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817628B3-73EC-4A53-938F-D6DAB0A3D72E}" xr6:coauthVersionLast="47" xr6:coauthVersionMax="47" xr10:uidLastSave="{00000000-0000-0000-0000-000000000000}"/>
  <bookViews>
    <workbookView xWindow="-108" yWindow="-108" windowWidth="23256" windowHeight="12576" firstSheet="15" activeTab="18" xr2:uid="{00000000-000D-0000-FFFF-FFFF00000000}"/>
  </bookViews>
  <sheets>
    <sheet name="taux de change($)" sheetId="2" r:id="rId1"/>
    <sheet name="taux de change(€)" sheetId="3" r:id="rId2"/>
    <sheet name="taux de change(Fcfa)" sheetId="4" r:id="rId3"/>
    <sheet name="taux de change(¥)" sheetId="5" r:id="rId4"/>
    <sheet name="Import bien" sheetId="6" r:id="rId5"/>
    <sheet name="Alim val" sheetId="7" r:id="rId6"/>
    <sheet name="produit concu" sheetId="8" r:id="rId7"/>
    <sheet name="Imports_G_cont_t12 (2)" sheetId="9" r:id="rId8"/>
    <sheet name="Tableau" sheetId="21" r:id="rId9"/>
    <sheet name="Exportation Mauritanienne ty.pr" sheetId="10" r:id="rId10"/>
    <sheet name="Export poisson" sheetId="11" r:id="rId11"/>
    <sheet name="Export smcp pays" sheetId="12" r:id="rId12"/>
    <sheet name="Export_Marché" sheetId="13" r:id="rId13"/>
    <sheet name="EVOLUTION EXPOR Mens Minfer" sheetId="14" r:id="rId14"/>
    <sheet name="Export smcp pays VOL" sheetId="15" r:id="rId15"/>
    <sheet name="Export smcp pays VAL" sheetId="19" r:id="rId16"/>
    <sheet name="Smpc export Vol" sheetId="16" r:id="rId17"/>
    <sheet name="smcp export val" sheetId="17" r:id="rId18"/>
    <sheet name="BP 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5" hidden="1">{"Main Economic Indicators",#N/A,FALSE,"C"}</definedName>
    <definedName name="dd" localSheetId="18" hidden="1">{"Main Economic Indicators",#N/A,FALSE,"C"}</definedName>
    <definedName name="dd" localSheetId="13" hidden="1">{"Main Economic Indicators",#N/A,FALSE,"C"}</definedName>
    <definedName name="dd" localSheetId="10" hidden="1">{"Main Economic Indicators",#N/A,FALSE,"C"}</definedName>
    <definedName name="dd" localSheetId="11" hidden="1">{"Main Economic Indicators",#N/A,FALSE,"C"}</definedName>
    <definedName name="dd" localSheetId="14" hidden="1">{"Main Economic Indicators",#N/A,FALSE,"C"}</definedName>
    <definedName name="dd" localSheetId="12" hidden="1">{"Main Economic Indicators",#N/A,FALSE,"C"}</definedName>
    <definedName name="dd" localSheetId="9" hidden="1">{"Main Economic Indicators",#N/A,FALSE,"C"}</definedName>
    <definedName name="dd" localSheetId="4" hidden="1">{"Main Economic Indicators",#N/A,FALSE,"C"}</definedName>
    <definedName name="dd" localSheetId="7" hidden="1">{"Main Economic Indicators",#N/A,FALSE,"C"}</definedName>
    <definedName name="dd" localSheetId="6" hidden="1">{"Main Economic Indicators",#N/A,FALSE,"C"}</definedName>
    <definedName name="dd" localSheetId="17" hidden="1">{"Main Economic Indicators",#N/A,FALSE,"C"}</definedName>
    <definedName name="dd" localSheetId="16" hidden="1">{"Main Economic Indicators",#N/A,FALSE,"C"}</definedName>
    <definedName name="dd" localSheetId="8" hidden="1">{"Main Economic Indicators",#N/A,FALSE,"C"}</definedName>
    <definedName name="dd" localSheetId="3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5" hidden="1">{"Main Economic Indicators",#N/A,FALSE,"C"}</definedName>
    <definedName name="ef" localSheetId="18" hidden="1">{"Main Economic Indicators",#N/A,FALSE,"C"}</definedName>
    <definedName name="ef" localSheetId="13" hidden="1">{"Main Economic Indicators",#N/A,FALSE,"C"}</definedName>
    <definedName name="ef" localSheetId="10" hidden="1">{"Main Economic Indicators",#N/A,FALSE,"C"}</definedName>
    <definedName name="ef" localSheetId="11" hidden="1">{"Main Economic Indicators",#N/A,FALSE,"C"}</definedName>
    <definedName name="ef" localSheetId="14" hidden="1">{"Main Economic Indicators",#N/A,FALSE,"C"}</definedName>
    <definedName name="ef" localSheetId="12" hidden="1">{"Main Economic Indicators",#N/A,FALSE,"C"}</definedName>
    <definedName name="ef" localSheetId="9" hidden="1">{"Main Economic Indicators",#N/A,FALSE,"C"}</definedName>
    <definedName name="ef" localSheetId="4" hidden="1">{"Main Economic Indicators",#N/A,FALSE,"C"}</definedName>
    <definedName name="ef" localSheetId="7" hidden="1">{"Main Economic Indicators",#N/A,FALSE,"C"}</definedName>
    <definedName name="ef" localSheetId="6" hidden="1">{"Main Economic Indicators",#N/A,FALSE,"C"}</definedName>
    <definedName name="ef" localSheetId="17" hidden="1">{"Main Economic Indicators",#N/A,FALSE,"C"}</definedName>
    <definedName name="ef" localSheetId="16" hidden="1">{"Main Economic Indicators",#N/A,FALSE,"C"}</definedName>
    <definedName name="ef" localSheetId="8" hidden="1">{"Main Economic Indicators",#N/A,FALSE,"C"}</definedName>
    <definedName name="ef" localSheetId="3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5" hidden="1">{"Main Economic Indicators",#N/A,FALSE,"C"}</definedName>
    <definedName name="ergferger" localSheetId="18" hidden="1">{"Main Economic Indicators",#N/A,FALSE,"C"}</definedName>
    <definedName name="ergferger" localSheetId="13" hidden="1">{"Main Economic Indicators",#N/A,FALSE,"C"}</definedName>
    <definedName name="ergferger" localSheetId="10" hidden="1">{"Main Economic Indicators",#N/A,FALSE,"C"}</definedName>
    <definedName name="ergferger" localSheetId="11" hidden="1">{"Main Economic Indicators",#N/A,FALSE,"C"}</definedName>
    <definedName name="ergferger" localSheetId="14" hidden="1">{"Main Economic Indicators",#N/A,FALSE,"C"}</definedName>
    <definedName name="ergferger" localSheetId="12" hidden="1">{"Main Economic Indicators",#N/A,FALSE,"C"}</definedName>
    <definedName name="ergferger" localSheetId="9" hidden="1">{"Main Economic Indicators",#N/A,FALSE,"C"}</definedName>
    <definedName name="ergferger" localSheetId="4" hidden="1">{"Main Economic Indicators",#N/A,FALSE,"C"}</definedName>
    <definedName name="ergferger" localSheetId="7" hidden="1">{"Main Economic Indicators",#N/A,FALSE,"C"}</definedName>
    <definedName name="ergferger" localSheetId="6" hidden="1">{"Main Economic Indicators",#N/A,FALSE,"C"}</definedName>
    <definedName name="ergferger" localSheetId="17" hidden="1">{"Main Economic Indicators",#N/A,FALSE,"C"}</definedName>
    <definedName name="ergferger" localSheetId="16" hidden="1">{"Main Economic Indicators",#N/A,FALSE,"C"}</definedName>
    <definedName name="ergferger" localSheetId="8" hidden="1">{"Main Economic Indicators",#N/A,FALSE,"C"}</definedName>
    <definedName name="ergferger" localSheetId="3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5" hidden="1">{"Main Economic Indicators",#N/A,FALSE,"C"}</definedName>
    <definedName name="ex" localSheetId="18" hidden="1">{"Main Economic Indicators",#N/A,FALSE,"C"}</definedName>
    <definedName name="ex" localSheetId="13" hidden="1">{"Main Economic Indicators",#N/A,FALSE,"C"}</definedName>
    <definedName name="ex" localSheetId="10" hidden="1">{"Main Economic Indicators",#N/A,FALSE,"C"}</definedName>
    <definedName name="ex" localSheetId="11" hidden="1">{"Main Economic Indicators",#N/A,FALSE,"C"}</definedName>
    <definedName name="ex" localSheetId="14" hidden="1">{"Main Economic Indicators",#N/A,FALSE,"C"}</definedName>
    <definedName name="ex" localSheetId="12" hidden="1">{"Main Economic Indicators",#N/A,FALSE,"C"}</definedName>
    <definedName name="ex" localSheetId="9" hidden="1">{"Main Economic Indicators",#N/A,FALSE,"C"}</definedName>
    <definedName name="ex" localSheetId="4" hidden="1">{"Main Economic Indicators",#N/A,FALSE,"C"}</definedName>
    <definedName name="ex" localSheetId="7" hidden="1">{"Main Economic Indicators",#N/A,FALSE,"C"}</definedName>
    <definedName name="ex" localSheetId="6" hidden="1">{"Main Economic Indicators",#N/A,FALSE,"C"}</definedName>
    <definedName name="ex" localSheetId="17" hidden="1">{"Main Economic Indicators",#N/A,FALSE,"C"}</definedName>
    <definedName name="ex" localSheetId="16" hidden="1">{"Main Economic Indicators",#N/A,FALSE,"C"}</definedName>
    <definedName name="ex" localSheetId="8" hidden="1">{"Main Economic Indicators",#N/A,FALSE,"C"}</definedName>
    <definedName name="ex" localSheetId="3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5" hidden="1">{"Main Economic Indicators",#N/A,FALSE,"C"}</definedName>
    <definedName name="export" localSheetId="18" hidden="1">{"Main Economic Indicators",#N/A,FALSE,"C"}</definedName>
    <definedName name="export" localSheetId="13" hidden="1">{"Main Economic Indicators",#N/A,FALSE,"C"}</definedName>
    <definedName name="export" localSheetId="10" hidden="1">{"Main Economic Indicators",#N/A,FALSE,"C"}</definedName>
    <definedName name="export" localSheetId="11" hidden="1">{"Main Economic Indicators",#N/A,FALSE,"C"}</definedName>
    <definedName name="export" localSheetId="14" hidden="1">{"Main Economic Indicators",#N/A,FALSE,"C"}</definedName>
    <definedName name="export" localSheetId="12" hidden="1">{"Main Economic Indicators",#N/A,FALSE,"C"}</definedName>
    <definedName name="export" localSheetId="9" hidden="1">{"Main Economic Indicators",#N/A,FALSE,"C"}</definedName>
    <definedName name="export" localSheetId="4" hidden="1">{"Main Economic Indicators",#N/A,FALSE,"C"}</definedName>
    <definedName name="export" localSheetId="7" hidden="1">{"Main Economic Indicators",#N/A,FALSE,"C"}</definedName>
    <definedName name="export" localSheetId="6" hidden="1">{"Main Economic Indicators",#N/A,FALSE,"C"}</definedName>
    <definedName name="export" localSheetId="17" hidden="1">{"Main Economic Indicators",#N/A,FALSE,"C"}</definedName>
    <definedName name="export" localSheetId="16" hidden="1">{"Main Economic Indicators",#N/A,FALSE,"C"}</definedName>
    <definedName name="export" localSheetId="8" hidden="1">{"Main Economic Indicators",#N/A,FALSE,"C"}</definedName>
    <definedName name="export" localSheetId="3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5" hidden="1">{"Main Economic Indicators",#N/A,FALSE,"C"}</definedName>
    <definedName name="ff" localSheetId="18" hidden="1">{"Main Economic Indicators",#N/A,FALSE,"C"}</definedName>
    <definedName name="ff" localSheetId="13" hidden="1">{"Main Economic Indicators",#N/A,FALSE,"C"}</definedName>
    <definedName name="ff" localSheetId="10" hidden="1">{"Main Economic Indicators",#N/A,FALSE,"C"}</definedName>
    <definedName name="ff" localSheetId="11" hidden="1">{"Main Economic Indicators",#N/A,FALSE,"C"}</definedName>
    <definedName name="ff" localSheetId="14" hidden="1">{"Main Economic Indicators",#N/A,FALSE,"C"}</definedName>
    <definedName name="ff" localSheetId="12" hidden="1">{"Main Economic Indicators",#N/A,FALSE,"C"}</definedName>
    <definedName name="ff" localSheetId="9" hidden="1">{"Main Economic Indicators",#N/A,FALSE,"C"}</definedName>
    <definedName name="ff" localSheetId="4" hidden="1">{"Main Economic Indicators",#N/A,FALSE,"C"}</definedName>
    <definedName name="ff" localSheetId="7" hidden="1">{"Main Economic Indicators",#N/A,FALSE,"C"}</definedName>
    <definedName name="ff" localSheetId="6" hidden="1">{"Main Economic Indicators",#N/A,FALSE,"C"}</definedName>
    <definedName name="ff" localSheetId="17" hidden="1">{"Main Economic Indicators",#N/A,FALSE,"C"}</definedName>
    <definedName name="ff" localSheetId="16" hidden="1">{"Main Economic Indicators",#N/A,FALSE,"C"}</definedName>
    <definedName name="ff" localSheetId="8" hidden="1">{"Main Economic Indicators",#N/A,FALSE,"C"}</definedName>
    <definedName name="ff" localSheetId="3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5" hidden="1">{"Main Economic Indicators",#N/A,FALSE,"C"}</definedName>
    <definedName name="ffffff" localSheetId="18" hidden="1">{"Main Economic Indicators",#N/A,FALSE,"C"}</definedName>
    <definedName name="ffffff" localSheetId="13" hidden="1">{"Main Economic Indicators",#N/A,FALSE,"C"}</definedName>
    <definedName name="ffffff" localSheetId="10" hidden="1">{"Main Economic Indicators",#N/A,FALSE,"C"}</definedName>
    <definedName name="ffffff" localSheetId="11" hidden="1">{"Main Economic Indicators",#N/A,FALSE,"C"}</definedName>
    <definedName name="ffffff" localSheetId="14" hidden="1">{"Main Economic Indicators",#N/A,FALSE,"C"}</definedName>
    <definedName name="ffffff" localSheetId="12" hidden="1">{"Main Economic Indicators",#N/A,FALSE,"C"}</definedName>
    <definedName name="ffffff" localSheetId="9" hidden="1">{"Main Economic Indicators",#N/A,FALSE,"C"}</definedName>
    <definedName name="ffffff" localSheetId="4" hidden="1">{"Main Economic Indicators",#N/A,FALSE,"C"}</definedName>
    <definedName name="ffffff" localSheetId="7" hidden="1">{"Main Economic Indicators",#N/A,FALSE,"C"}</definedName>
    <definedName name="ffffff" localSheetId="6" hidden="1">{"Main Economic Indicators",#N/A,FALSE,"C"}</definedName>
    <definedName name="ffffff" localSheetId="17" hidden="1">{"Main Economic Indicators",#N/A,FALSE,"C"}</definedName>
    <definedName name="ffffff" localSheetId="16" hidden="1">{"Main Economic Indicators",#N/A,FALSE,"C"}</definedName>
    <definedName name="ffffff" localSheetId="8" hidden="1">{"Main Economic Indicators",#N/A,FALSE,"C"}</definedName>
    <definedName name="ffffff" localSheetId="3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5" hidden="1">{"Main Economic Indicators",#N/A,FALSE,"C"}</definedName>
    <definedName name="fit" localSheetId="18" hidden="1">{"Main Economic Indicators",#N/A,FALSE,"C"}</definedName>
    <definedName name="fit" localSheetId="13" hidden="1">{"Main Economic Indicators",#N/A,FALSE,"C"}</definedName>
    <definedName name="fit" localSheetId="10" hidden="1">{"Main Economic Indicators",#N/A,FALSE,"C"}</definedName>
    <definedName name="fit" localSheetId="11" hidden="1">{"Main Economic Indicators",#N/A,FALSE,"C"}</definedName>
    <definedName name="fit" localSheetId="14" hidden="1">{"Main Economic Indicators",#N/A,FALSE,"C"}</definedName>
    <definedName name="fit" localSheetId="12" hidden="1">{"Main Economic Indicators",#N/A,FALSE,"C"}</definedName>
    <definedName name="fit" localSheetId="9" hidden="1">{"Main Economic Indicators",#N/A,FALSE,"C"}</definedName>
    <definedName name="fit" localSheetId="4" hidden="1">{"Main Economic Indicators",#N/A,FALSE,"C"}</definedName>
    <definedName name="fit" localSheetId="7" hidden="1">{"Main Economic Indicators",#N/A,FALSE,"C"}</definedName>
    <definedName name="fit" localSheetId="6" hidden="1">{"Main Economic Indicators",#N/A,FALSE,"C"}</definedName>
    <definedName name="fit" localSheetId="17" hidden="1">{"Main Economic Indicators",#N/A,FALSE,"C"}</definedName>
    <definedName name="fit" localSheetId="16" hidden="1">{"Main Economic Indicators",#N/A,FALSE,"C"}</definedName>
    <definedName name="fit" localSheetId="8" hidden="1">{"Main Economic Indicators",#N/A,FALSE,"C"}</definedName>
    <definedName name="fit" localSheetId="3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5" hidden="1">{"Main Economic Indicators",#N/A,FALSE,"C"}</definedName>
    <definedName name="g" localSheetId="18" hidden="1">{"Main Economic Indicators",#N/A,FALSE,"C"}</definedName>
    <definedName name="g" localSheetId="13" hidden="1">{"Main Economic Indicators",#N/A,FALSE,"C"}</definedName>
    <definedName name="g" localSheetId="10" hidden="1">{"Main Economic Indicators",#N/A,FALSE,"C"}</definedName>
    <definedName name="g" localSheetId="11" hidden="1">{"Main Economic Indicators",#N/A,FALSE,"C"}</definedName>
    <definedName name="g" localSheetId="14" hidden="1">{"Main Economic Indicators",#N/A,FALSE,"C"}</definedName>
    <definedName name="g" localSheetId="12" hidden="1">{"Main Economic Indicators",#N/A,FALSE,"C"}</definedName>
    <definedName name="g" localSheetId="9" hidden="1">{"Main Economic Indicators",#N/A,FALSE,"C"}</definedName>
    <definedName name="g" localSheetId="4" hidden="1">{"Main Economic Indicators",#N/A,FALSE,"C"}</definedName>
    <definedName name="g" localSheetId="7" hidden="1">{"Main Economic Indicators",#N/A,FALSE,"C"}</definedName>
    <definedName name="g" localSheetId="6" hidden="1">{"Main Economic Indicators",#N/A,FALSE,"C"}</definedName>
    <definedName name="g" localSheetId="17" hidden="1">{"Main Economic Indicators",#N/A,FALSE,"C"}</definedName>
    <definedName name="g" localSheetId="16" hidden="1">{"Main Economic Indicators",#N/A,FALSE,"C"}</definedName>
    <definedName name="g" localSheetId="3" hidden="1">{"Main Economic Indicators",#N/A,FALSE,"C"}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5" hidden="1">{"Main Economic Indicators",#N/A,FALSE,"C"}</definedName>
    <definedName name="hh" localSheetId="18" hidden="1">{"Main Economic Indicators",#N/A,FALSE,"C"}</definedName>
    <definedName name="hh" localSheetId="13" hidden="1">{"Main Economic Indicators",#N/A,FALSE,"C"}</definedName>
    <definedName name="hh" localSheetId="10" hidden="1">{"Main Economic Indicators",#N/A,FALSE,"C"}</definedName>
    <definedName name="hh" localSheetId="11" hidden="1">{"Main Economic Indicators",#N/A,FALSE,"C"}</definedName>
    <definedName name="hh" localSheetId="14" hidden="1">{"Main Economic Indicators",#N/A,FALSE,"C"}</definedName>
    <definedName name="hh" localSheetId="12" hidden="1">{"Main Economic Indicators",#N/A,FALSE,"C"}</definedName>
    <definedName name="hh" localSheetId="9" hidden="1">{"Main Economic Indicators",#N/A,FALSE,"C"}</definedName>
    <definedName name="hh" localSheetId="4" hidden="1">{"Main Economic Indicators",#N/A,FALSE,"C"}</definedName>
    <definedName name="hh" localSheetId="7" hidden="1">{"Main Economic Indicators",#N/A,FALSE,"C"}</definedName>
    <definedName name="hh" localSheetId="6" hidden="1">{"Main Economic Indicators",#N/A,FALSE,"C"}</definedName>
    <definedName name="hh" localSheetId="17" hidden="1">{"Main Economic Indicators",#N/A,FALSE,"C"}</definedName>
    <definedName name="hh" localSheetId="16" hidden="1">{"Main Economic Indicators",#N/A,FALSE,"C"}</definedName>
    <definedName name="hh" localSheetId="8" hidden="1">{"Main Economic Indicators",#N/A,FALSE,"C"}</definedName>
    <definedName name="hh" localSheetId="3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5" hidden="1">{"Main Economic Indicators",#N/A,FALSE,"C"}</definedName>
    <definedName name="hhhh" localSheetId="18" hidden="1">{"Main Economic Indicators",#N/A,FALSE,"C"}</definedName>
    <definedName name="hhhh" localSheetId="13" hidden="1">{"Main Economic Indicators",#N/A,FALSE,"C"}</definedName>
    <definedName name="hhhh" localSheetId="10" hidden="1">{"Main Economic Indicators",#N/A,FALSE,"C"}</definedName>
    <definedName name="hhhh" localSheetId="11" hidden="1">{"Main Economic Indicators",#N/A,FALSE,"C"}</definedName>
    <definedName name="hhhh" localSheetId="14" hidden="1">{"Main Economic Indicators",#N/A,FALSE,"C"}</definedName>
    <definedName name="hhhh" localSheetId="12" hidden="1">{"Main Economic Indicators",#N/A,FALSE,"C"}</definedName>
    <definedName name="hhhh" localSheetId="9" hidden="1">{"Main Economic Indicators",#N/A,FALSE,"C"}</definedName>
    <definedName name="hhhh" localSheetId="4" hidden="1">{"Main Economic Indicators",#N/A,FALSE,"C"}</definedName>
    <definedName name="hhhh" localSheetId="7" hidden="1">{"Main Economic Indicators",#N/A,FALSE,"C"}</definedName>
    <definedName name="hhhh" localSheetId="6" hidden="1">{"Main Economic Indicators",#N/A,FALSE,"C"}</definedName>
    <definedName name="hhhh" localSheetId="17" hidden="1">{"Main Economic Indicators",#N/A,FALSE,"C"}</definedName>
    <definedName name="hhhh" localSheetId="16" hidden="1">{"Main Economic Indicators",#N/A,FALSE,"C"}</definedName>
    <definedName name="hhhh" localSheetId="8" hidden="1">{"Main Economic Indicators",#N/A,FALSE,"C"}</definedName>
    <definedName name="hhhh" localSheetId="3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5" hidden="1">{"Main Economic Indicators",#N/A,FALSE,"C"}</definedName>
    <definedName name="iui" localSheetId="18" hidden="1">{"Main Economic Indicators",#N/A,FALSE,"C"}</definedName>
    <definedName name="iui" localSheetId="13" hidden="1">{"Main Economic Indicators",#N/A,FALSE,"C"}</definedName>
    <definedName name="iui" localSheetId="10" hidden="1">{"Main Economic Indicators",#N/A,FALSE,"C"}</definedName>
    <definedName name="iui" localSheetId="11" hidden="1">{"Main Economic Indicators",#N/A,FALSE,"C"}</definedName>
    <definedName name="iui" localSheetId="14" hidden="1">{"Main Economic Indicators",#N/A,FALSE,"C"}</definedName>
    <definedName name="iui" localSheetId="12" hidden="1">{"Main Economic Indicators",#N/A,FALSE,"C"}</definedName>
    <definedName name="iui" localSheetId="9" hidden="1">{"Main Economic Indicators",#N/A,FALSE,"C"}</definedName>
    <definedName name="iui" localSheetId="4" hidden="1">{"Main Economic Indicators",#N/A,FALSE,"C"}</definedName>
    <definedName name="iui" localSheetId="7" hidden="1">{"Main Economic Indicators",#N/A,FALSE,"C"}</definedName>
    <definedName name="iui" localSheetId="6" hidden="1">{"Main Economic Indicators",#N/A,FALSE,"C"}</definedName>
    <definedName name="iui" localSheetId="17" hidden="1">{"Main Economic Indicators",#N/A,FALSE,"C"}</definedName>
    <definedName name="iui" localSheetId="16" hidden="1">{"Main Economic Indicators",#N/A,FALSE,"C"}</definedName>
    <definedName name="iui" localSheetId="8" hidden="1">{"Main Economic Indicators",#N/A,FALSE,"C"}</definedName>
    <definedName name="iui" localSheetId="3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5" hidden="1">{"Main Economic Indicators",#N/A,FALSE,"C"}</definedName>
    <definedName name="ll" localSheetId="18" hidden="1">{"Main Economic Indicators",#N/A,FALSE,"C"}</definedName>
    <definedName name="ll" localSheetId="13" hidden="1">{"Main Economic Indicators",#N/A,FALSE,"C"}</definedName>
    <definedName name="ll" localSheetId="10" hidden="1">{"Main Economic Indicators",#N/A,FALSE,"C"}</definedName>
    <definedName name="ll" localSheetId="11" hidden="1">{"Main Economic Indicators",#N/A,FALSE,"C"}</definedName>
    <definedName name="ll" localSheetId="14" hidden="1">{"Main Economic Indicators",#N/A,FALSE,"C"}</definedName>
    <definedName name="ll" localSheetId="12" hidden="1">{"Main Economic Indicators",#N/A,FALSE,"C"}</definedName>
    <definedName name="ll" localSheetId="9" hidden="1">{"Main Economic Indicators",#N/A,FALSE,"C"}</definedName>
    <definedName name="ll" localSheetId="4" hidden="1">{"Main Economic Indicators",#N/A,FALSE,"C"}</definedName>
    <definedName name="ll" localSheetId="7" hidden="1">{"Main Economic Indicators",#N/A,FALSE,"C"}</definedName>
    <definedName name="ll" localSheetId="6" hidden="1">{"Main Economic Indicators",#N/A,FALSE,"C"}</definedName>
    <definedName name="ll" localSheetId="17" hidden="1">{"Main Economic Indicators",#N/A,FALSE,"C"}</definedName>
    <definedName name="ll" localSheetId="16" hidden="1">{"Main Economic Indicators",#N/A,FALSE,"C"}</definedName>
    <definedName name="ll" localSheetId="8" hidden="1">{"Main Economic Indicators",#N/A,FALSE,"C"}</definedName>
    <definedName name="ll" localSheetId="3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5" hidden="1">{"Main Economic Indicators",#N/A,FALSE,"C"}</definedName>
    <definedName name="nnn" localSheetId="18" hidden="1">{"Main Economic Indicators",#N/A,FALSE,"C"}</definedName>
    <definedName name="nnn" localSheetId="13" hidden="1">{"Main Economic Indicators",#N/A,FALSE,"C"}</definedName>
    <definedName name="nnn" localSheetId="10" hidden="1">{"Main Economic Indicators",#N/A,FALSE,"C"}</definedName>
    <definedName name="nnn" localSheetId="11" hidden="1">{"Main Economic Indicators",#N/A,FALSE,"C"}</definedName>
    <definedName name="nnn" localSheetId="14" hidden="1">{"Main Economic Indicators",#N/A,FALSE,"C"}</definedName>
    <definedName name="nnn" localSheetId="12" hidden="1">{"Main Economic Indicators",#N/A,FALSE,"C"}</definedName>
    <definedName name="nnn" localSheetId="9" hidden="1">{"Main Economic Indicators",#N/A,FALSE,"C"}</definedName>
    <definedName name="nnn" localSheetId="4" hidden="1">{"Main Economic Indicators",#N/A,FALSE,"C"}</definedName>
    <definedName name="nnn" localSheetId="7" hidden="1">{"Main Economic Indicators",#N/A,FALSE,"C"}</definedName>
    <definedName name="nnn" localSheetId="6" hidden="1">{"Main Economic Indicators",#N/A,FALSE,"C"}</definedName>
    <definedName name="nnn" localSheetId="17" hidden="1">{"Main Economic Indicators",#N/A,FALSE,"C"}</definedName>
    <definedName name="nnn" localSheetId="16" hidden="1">{"Main Economic Indicators",#N/A,FALSE,"C"}</definedName>
    <definedName name="nnn" localSheetId="8" hidden="1">{"Main Economic Indicators",#N/A,FALSE,"C"}</definedName>
    <definedName name="nnn" localSheetId="3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5" hidden="1">{"Main Economic Indicators",#N/A,FALSE,"C"}</definedName>
    <definedName name="rr" localSheetId="18" hidden="1">{"Main Economic Indicators",#N/A,FALSE,"C"}</definedName>
    <definedName name="rr" localSheetId="13" hidden="1">{"Main Economic Indicators",#N/A,FALSE,"C"}</definedName>
    <definedName name="rr" localSheetId="10" hidden="1">{"Main Economic Indicators",#N/A,FALSE,"C"}</definedName>
    <definedName name="rr" localSheetId="11" hidden="1">{"Main Economic Indicators",#N/A,FALSE,"C"}</definedName>
    <definedName name="rr" localSheetId="14" hidden="1">{"Main Economic Indicators",#N/A,FALSE,"C"}</definedName>
    <definedName name="rr" localSheetId="12" hidden="1">{"Main Economic Indicators",#N/A,FALSE,"C"}</definedName>
    <definedName name="rr" localSheetId="9" hidden="1">{"Main Economic Indicators",#N/A,FALSE,"C"}</definedName>
    <definedName name="rr" localSheetId="4" hidden="1">{"Main Economic Indicators",#N/A,FALSE,"C"}</definedName>
    <definedName name="rr" localSheetId="7" hidden="1">{"Main Economic Indicators",#N/A,FALSE,"C"}</definedName>
    <definedName name="rr" localSheetId="6" hidden="1">{"Main Economic Indicators",#N/A,FALSE,"C"}</definedName>
    <definedName name="rr" localSheetId="17" hidden="1">{"Main Economic Indicators",#N/A,FALSE,"C"}</definedName>
    <definedName name="rr" localSheetId="16" hidden="1">{"Main Economic Indicators",#N/A,FALSE,"C"}</definedName>
    <definedName name="rr" localSheetId="8" hidden="1">{"Main Economic Indicators",#N/A,FALSE,"C"}</definedName>
    <definedName name="rr" localSheetId="3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5" hidden="1">{"Main Economic Indicators",#N/A,FALSE,"C"}</definedName>
    <definedName name="rt" localSheetId="18" hidden="1">{"Main Economic Indicators",#N/A,FALSE,"C"}</definedName>
    <definedName name="rt" localSheetId="13" hidden="1">{"Main Economic Indicators",#N/A,FALSE,"C"}</definedName>
    <definedName name="rt" localSheetId="10" hidden="1">{"Main Economic Indicators",#N/A,FALSE,"C"}</definedName>
    <definedName name="rt" localSheetId="11" hidden="1">{"Main Economic Indicators",#N/A,FALSE,"C"}</definedName>
    <definedName name="rt" localSheetId="14" hidden="1">{"Main Economic Indicators",#N/A,FALSE,"C"}</definedName>
    <definedName name="rt" localSheetId="12" hidden="1">{"Main Economic Indicators",#N/A,FALSE,"C"}</definedName>
    <definedName name="rt" localSheetId="9" hidden="1">{"Main Economic Indicators",#N/A,FALSE,"C"}</definedName>
    <definedName name="rt" localSheetId="4" hidden="1">{"Main Economic Indicators",#N/A,FALSE,"C"}</definedName>
    <definedName name="rt" localSheetId="7" hidden="1">{"Main Economic Indicators",#N/A,FALSE,"C"}</definedName>
    <definedName name="rt" localSheetId="6" hidden="1">{"Main Economic Indicators",#N/A,FALSE,"C"}</definedName>
    <definedName name="rt" localSheetId="17" hidden="1">{"Main Economic Indicators",#N/A,FALSE,"C"}</definedName>
    <definedName name="rt" localSheetId="16" hidden="1">{"Main Economic Indicators",#N/A,FALSE,"C"}</definedName>
    <definedName name="rt" localSheetId="8" hidden="1">{"Main Economic Indicators",#N/A,FALSE,"C"}</definedName>
    <definedName name="rt" localSheetId="3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5" hidden="1">{"Main Economic Indicators",#N/A,FALSE,"C"}</definedName>
    <definedName name="rtre" localSheetId="18" hidden="1">{"Main Economic Indicators",#N/A,FALSE,"C"}</definedName>
    <definedName name="rtre" localSheetId="13" hidden="1">{"Main Economic Indicators",#N/A,FALSE,"C"}</definedName>
    <definedName name="rtre" localSheetId="10" hidden="1">{"Main Economic Indicators",#N/A,FALSE,"C"}</definedName>
    <definedName name="rtre" localSheetId="11" hidden="1">{"Main Economic Indicators",#N/A,FALSE,"C"}</definedName>
    <definedName name="rtre" localSheetId="14" hidden="1">{"Main Economic Indicators",#N/A,FALSE,"C"}</definedName>
    <definedName name="rtre" localSheetId="12" hidden="1">{"Main Economic Indicators",#N/A,FALSE,"C"}</definedName>
    <definedName name="rtre" localSheetId="9" hidden="1">{"Main Economic Indicators",#N/A,FALSE,"C"}</definedName>
    <definedName name="rtre" localSheetId="4" hidden="1">{"Main Economic Indicators",#N/A,FALSE,"C"}</definedName>
    <definedName name="rtre" localSheetId="7" hidden="1">{"Main Economic Indicators",#N/A,FALSE,"C"}</definedName>
    <definedName name="rtre" localSheetId="6" hidden="1">{"Main Economic Indicators",#N/A,FALSE,"C"}</definedName>
    <definedName name="rtre" localSheetId="17" hidden="1">{"Main Economic Indicators",#N/A,FALSE,"C"}</definedName>
    <definedName name="rtre" localSheetId="16" hidden="1">{"Main Economic Indicators",#N/A,FALSE,"C"}</definedName>
    <definedName name="rtre" localSheetId="8" hidden="1">{"Main Economic Indicators",#N/A,FALSE,"C"}</definedName>
    <definedName name="rtre" localSheetId="3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5" hidden="1">{"Main Economic Indicators",#N/A,FALSE,"C"}</definedName>
    <definedName name="s" localSheetId="18" hidden="1">{"Main Economic Indicators",#N/A,FALSE,"C"}</definedName>
    <definedName name="s" localSheetId="13" hidden="1">{"Main Economic Indicators",#N/A,FALSE,"C"}</definedName>
    <definedName name="s" localSheetId="10" hidden="1">{"Main Economic Indicators",#N/A,FALSE,"C"}</definedName>
    <definedName name="s" localSheetId="11" hidden="1">{"Main Economic Indicators",#N/A,FALSE,"C"}</definedName>
    <definedName name="s" localSheetId="14" hidden="1">{"Main Economic Indicators",#N/A,FALSE,"C"}</definedName>
    <definedName name="s" localSheetId="12" hidden="1">{"Main Economic Indicators",#N/A,FALSE,"C"}</definedName>
    <definedName name="s" localSheetId="9" hidden="1">{"Main Economic Indicators",#N/A,FALSE,"C"}</definedName>
    <definedName name="s" localSheetId="4" hidden="1">{"Main Economic Indicators",#N/A,FALSE,"C"}</definedName>
    <definedName name="s" localSheetId="7" hidden="1">{"Main Economic Indicators",#N/A,FALSE,"C"}</definedName>
    <definedName name="s" localSheetId="6" hidden="1">{"Main Economic Indicators",#N/A,FALSE,"C"}</definedName>
    <definedName name="s" localSheetId="17" hidden="1">{"Main Economic Indicators",#N/A,FALSE,"C"}</definedName>
    <definedName name="s" localSheetId="16" hidden="1">{"Main Economic Indicators",#N/A,FALSE,"C"}</definedName>
    <definedName name="s" localSheetId="8" hidden="1">{"Main Economic Indicators",#N/A,FALSE,"C"}</definedName>
    <definedName name="s" localSheetId="3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5" hidden="1">{"Main Economic Indicators",#N/A,FALSE,"C"}</definedName>
    <definedName name="ser" localSheetId="18" hidden="1">{"Main Economic Indicators",#N/A,FALSE,"C"}</definedName>
    <definedName name="ser" localSheetId="13" hidden="1">{"Main Economic Indicators",#N/A,FALSE,"C"}</definedName>
    <definedName name="ser" localSheetId="10" hidden="1">{"Main Economic Indicators",#N/A,FALSE,"C"}</definedName>
    <definedName name="ser" localSheetId="11" hidden="1">{"Main Economic Indicators",#N/A,FALSE,"C"}</definedName>
    <definedName name="ser" localSheetId="14" hidden="1">{"Main Economic Indicators",#N/A,FALSE,"C"}</definedName>
    <definedName name="ser" localSheetId="12" hidden="1">{"Main Economic Indicators",#N/A,FALSE,"C"}</definedName>
    <definedName name="ser" localSheetId="9" hidden="1">{"Main Economic Indicators",#N/A,FALSE,"C"}</definedName>
    <definedName name="ser" localSheetId="4" hidden="1">{"Main Economic Indicators",#N/A,FALSE,"C"}</definedName>
    <definedName name="ser" localSheetId="7" hidden="1">{"Main Economic Indicators",#N/A,FALSE,"C"}</definedName>
    <definedName name="ser" localSheetId="6" hidden="1">{"Main Economic Indicators",#N/A,FALSE,"C"}</definedName>
    <definedName name="ser" localSheetId="17" hidden="1">{"Main Economic Indicators",#N/A,FALSE,"C"}</definedName>
    <definedName name="ser" localSheetId="16" hidden="1">{"Main Economic Indicators",#N/A,FALSE,"C"}</definedName>
    <definedName name="ser" localSheetId="8" hidden="1">{"Main Economic Indicators",#N/A,FALSE,"C"}</definedName>
    <definedName name="ser" localSheetId="3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5" hidden="1">{"Main Economic Indicators",#N/A,FALSE,"C"}</definedName>
    <definedName name="ss" localSheetId="18" hidden="1">{"Main Economic Indicators",#N/A,FALSE,"C"}</definedName>
    <definedName name="ss" localSheetId="13" hidden="1">{"Main Economic Indicators",#N/A,FALSE,"C"}</definedName>
    <definedName name="ss" localSheetId="10" hidden="1">{"Main Economic Indicators",#N/A,FALSE,"C"}</definedName>
    <definedName name="ss" localSheetId="11" hidden="1">{"Main Economic Indicators",#N/A,FALSE,"C"}</definedName>
    <definedName name="ss" localSheetId="14" hidden="1">{"Main Economic Indicators",#N/A,FALSE,"C"}</definedName>
    <definedName name="ss" localSheetId="12" hidden="1">{"Main Economic Indicators",#N/A,FALSE,"C"}</definedName>
    <definedName name="ss" localSheetId="9" hidden="1">{"Main Economic Indicators",#N/A,FALSE,"C"}</definedName>
    <definedName name="ss" localSheetId="4" hidden="1">{"Main Economic Indicators",#N/A,FALSE,"C"}</definedName>
    <definedName name="ss" localSheetId="7" hidden="1">{"Main Economic Indicators",#N/A,FALSE,"C"}</definedName>
    <definedName name="ss" localSheetId="6" hidden="1">{"Main Economic Indicators",#N/A,FALSE,"C"}</definedName>
    <definedName name="ss" localSheetId="17" hidden="1">{"Main Economic Indicators",#N/A,FALSE,"C"}</definedName>
    <definedName name="ss" localSheetId="16" hidden="1">{"Main Economic Indicators",#N/A,FALSE,"C"}</definedName>
    <definedName name="ss" localSheetId="8" hidden="1">{"Main Economic Indicators",#N/A,FALSE,"C"}</definedName>
    <definedName name="ss" localSheetId="3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5" hidden="1">{"Main Economic Indicators",#N/A,FALSE,"C"}</definedName>
    <definedName name="st" localSheetId="18" hidden="1">{"Main Economic Indicators",#N/A,FALSE,"C"}</definedName>
    <definedName name="st" localSheetId="13" hidden="1">{"Main Economic Indicators",#N/A,FALSE,"C"}</definedName>
    <definedName name="st" localSheetId="10" hidden="1">{"Main Economic Indicators",#N/A,FALSE,"C"}</definedName>
    <definedName name="st" localSheetId="11" hidden="1">{"Main Economic Indicators",#N/A,FALSE,"C"}</definedName>
    <definedName name="st" localSheetId="14" hidden="1">{"Main Economic Indicators",#N/A,FALSE,"C"}</definedName>
    <definedName name="st" localSheetId="12" hidden="1">{"Main Economic Indicators",#N/A,FALSE,"C"}</definedName>
    <definedName name="st" localSheetId="9" hidden="1">{"Main Economic Indicators",#N/A,FALSE,"C"}</definedName>
    <definedName name="st" localSheetId="4" hidden="1">{"Main Economic Indicators",#N/A,FALSE,"C"}</definedName>
    <definedName name="st" localSheetId="7" hidden="1">{"Main Economic Indicators",#N/A,FALSE,"C"}</definedName>
    <definedName name="st" localSheetId="6" hidden="1">{"Main Economic Indicators",#N/A,FALSE,"C"}</definedName>
    <definedName name="st" localSheetId="17" hidden="1">{"Main Economic Indicators",#N/A,FALSE,"C"}</definedName>
    <definedName name="st" localSheetId="16" hidden="1">{"Main Economic Indicators",#N/A,FALSE,"C"}</definedName>
    <definedName name="st" localSheetId="8" hidden="1">{"Main Economic Indicators",#N/A,FALSE,"C"}</definedName>
    <definedName name="st" localSheetId="3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5" hidden="1">{"Main Economic Indicators",#N/A,FALSE,"C"}</definedName>
    <definedName name="tit" localSheetId="18" hidden="1">{"Main Economic Indicators",#N/A,FALSE,"C"}</definedName>
    <definedName name="tit" localSheetId="13" hidden="1">{"Main Economic Indicators",#N/A,FALSE,"C"}</definedName>
    <definedName name="tit" localSheetId="10" hidden="1">{"Main Economic Indicators",#N/A,FALSE,"C"}</definedName>
    <definedName name="tit" localSheetId="11" hidden="1">{"Main Economic Indicators",#N/A,FALSE,"C"}</definedName>
    <definedName name="tit" localSheetId="14" hidden="1">{"Main Economic Indicators",#N/A,FALSE,"C"}</definedName>
    <definedName name="tit" localSheetId="12" hidden="1">{"Main Economic Indicators",#N/A,FALSE,"C"}</definedName>
    <definedName name="tit" localSheetId="9" hidden="1">{"Main Economic Indicators",#N/A,FALSE,"C"}</definedName>
    <definedName name="tit" localSheetId="4" hidden="1">{"Main Economic Indicators",#N/A,FALSE,"C"}</definedName>
    <definedName name="tit" localSheetId="7" hidden="1">{"Main Economic Indicators",#N/A,FALSE,"C"}</definedName>
    <definedName name="tit" localSheetId="6" hidden="1">{"Main Economic Indicators",#N/A,FALSE,"C"}</definedName>
    <definedName name="tit" localSheetId="17" hidden="1">{"Main Economic Indicators",#N/A,FALSE,"C"}</definedName>
    <definedName name="tit" localSheetId="16" hidden="1">{"Main Economic Indicators",#N/A,FALSE,"C"}</definedName>
    <definedName name="tit" localSheetId="8" hidden="1">{"Main Economic Indicators",#N/A,FALSE,"C"}</definedName>
    <definedName name="tit" localSheetId="3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5" hidden="1">{"Main Economic Indicators",#N/A,FALSE,"C"}</definedName>
    <definedName name="tt" localSheetId="18" hidden="1">{"Main Economic Indicators",#N/A,FALSE,"C"}</definedName>
    <definedName name="tt" localSheetId="13" hidden="1">{"Main Economic Indicators",#N/A,FALSE,"C"}</definedName>
    <definedName name="tt" localSheetId="10" hidden="1">{"Main Economic Indicators",#N/A,FALSE,"C"}</definedName>
    <definedName name="tt" localSheetId="11" hidden="1">{"Main Economic Indicators",#N/A,FALSE,"C"}</definedName>
    <definedName name="tt" localSheetId="14" hidden="1">{"Main Economic Indicators",#N/A,FALSE,"C"}</definedName>
    <definedName name="tt" localSheetId="12" hidden="1">{"Main Economic Indicators",#N/A,FALSE,"C"}</definedName>
    <definedName name="tt" localSheetId="9" hidden="1">{"Main Economic Indicators",#N/A,FALSE,"C"}</definedName>
    <definedName name="tt" localSheetId="4" hidden="1">{"Main Economic Indicators",#N/A,FALSE,"C"}</definedName>
    <definedName name="tt" localSheetId="7" hidden="1">{"Main Economic Indicators",#N/A,FALSE,"C"}</definedName>
    <definedName name="tt" localSheetId="6" hidden="1">{"Main Economic Indicators",#N/A,FALSE,"C"}</definedName>
    <definedName name="tt" localSheetId="17" hidden="1">{"Main Economic Indicators",#N/A,FALSE,"C"}</definedName>
    <definedName name="tt" localSheetId="16" hidden="1">{"Main Economic Indicators",#N/A,FALSE,"C"}</definedName>
    <definedName name="tt" localSheetId="8" hidden="1">{"Main Economic Indicators",#N/A,FALSE,"C"}</definedName>
    <definedName name="tt" localSheetId="3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5" hidden="1">{"Main Economic Indicators",#N/A,FALSE,"C"}</definedName>
    <definedName name="wrn.Main._.Economic._.Indicators." localSheetId="18" hidden="1">{"Main Economic Indicators",#N/A,FALSE,"C"}</definedName>
    <definedName name="wrn.Main._.Economic._.Indicators." localSheetId="13" hidden="1">{"Main Economic Indicators",#N/A,FALSE,"C"}</definedName>
    <definedName name="wrn.Main._.Economic._.Indicators." localSheetId="10" hidden="1">{"Main Economic Indicators",#N/A,FALSE,"C"}</definedName>
    <definedName name="wrn.Main._.Economic._.Indicators." localSheetId="11" hidden="1">{"Main Economic Indicators",#N/A,FALSE,"C"}</definedName>
    <definedName name="wrn.Main._.Economic._.Indicators." localSheetId="14" hidden="1">{"Main Economic Indicators",#N/A,FALSE,"C"}</definedName>
    <definedName name="wrn.Main._.Economic._.Indicators." localSheetId="12" hidden="1">{"Main Economic Indicators",#N/A,FALSE,"C"}</definedName>
    <definedName name="wrn.Main._.Economic._.Indicators." localSheetId="9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7" hidden="1">{"Main Economic Indicators",#N/A,FALSE,"C"}</definedName>
    <definedName name="wrn.Main._.Economic._.Indicators." localSheetId="6" hidden="1">{"Main Economic Indicators",#N/A,FALSE,"C"}</definedName>
    <definedName name="wrn.Main._.Economic._.Indicators." localSheetId="17" hidden="1">{"Main Economic Indicators",#N/A,FALSE,"C"}</definedName>
    <definedName name="wrn.Main._.Economic._.Indicators." localSheetId="16" hidden="1">{"Main Economic Indicators",#N/A,FALSE,"C"}</definedName>
    <definedName name="wrn.Main._.Economic._.Indicators." localSheetId="8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5" hidden="1">{"Main Economic Indicators",#N/A,FALSE,"C"}</definedName>
    <definedName name="xf" localSheetId="18" hidden="1">{"Main Economic Indicators",#N/A,FALSE,"C"}</definedName>
    <definedName name="xf" localSheetId="13" hidden="1">{"Main Economic Indicators",#N/A,FALSE,"C"}</definedName>
    <definedName name="xf" localSheetId="10" hidden="1">{"Main Economic Indicators",#N/A,FALSE,"C"}</definedName>
    <definedName name="xf" localSheetId="11" hidden="1">{"Main Economic Indicators",#N/A,FALSE,"C"}</definedName>
    <definedName name="xf" localSheetId="14" hidden="1">{"Main Economic Indicators",#N/A,FALSE,"C"}</definedName>
    <definedName name="xf" localSheetId="12" hidden="1">{"Main Economic Indicators",#N/A,FALSE,"C"}</definedName>
    <definedName name="xf" localSheetId="9" hidden="1">{"Main Economic Indicators",#N/A,FALSE,"C"}</definedName>
    <definedName name="xf" localSheetId="4" hidden="1">{"Main Economic Indicators",#N/A,FALSE,"C"}</definedName>
    <definedName name="xf" localSheetId="7" hidden="1">{"Main Economic Indicators",#N/A,FALSE,"C"}</definedName>
    <definedName name="xf" localSheetId="6" hidden="1">{"Main Economic Indicators",#N/A,FALSE,"C"}</definedName>
    <definedName name="xf" localSheetId="17" hidden="1">{"Main Economic Indicators",#N/A,FALSE,"C"}</definedName>
    <definedName name="xf" localSheetId="16" hidden="1">{"Main Economic Indicators",#N/A,FALSE,"C"}</definedName>
    <definedName name="xf" localSheetId="8" hidden="1">{"Main Economic Indicators",#N/A,FALSE,"C"}</definedName>
    <definedName name="xf" localSheetId="3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8" l="1"/>
  <c r="P21" i="18"/>
  <c r="O21" i="18"/>
  <c r="N21" i="18"/>
  <c r="M21" i="18"/>
  <c r="L21" i="18"/>
  <c r="K21" i="18"/>
  <c r="L8" i="18"/>
  <c r="S158" i="17"/>
  <c r="S157" i="17"/>
  <c r="S156" i="17"/>
  <c r="S155" i="17"/>
  <c r="S154" i="17"/>
  <c r="S153" i="17"/>
  <c r="S152" i="17"/>
  <c r="S151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S149" i="17"/>
  <c r="S148" i="17"/>
  <c r="S147" i="17"/>
  <c r="S146" i="17"/>
  <c r="R145" i="17"/>
  <c r="R141" i="17" s="1"/>
  <c r="Q145" i="17"/>
  <c r="P145" i="17"/>
  <c r="P141" i="17" s="1"/>
  <c r="O145" i="17"/>
  <c r="O141" i="17" s="1"/>
  <c r="N145" i="17"/>
  <c r="N141" i="17" s="1"/>
  <c r="M145" i="17"/>
  <c r="M141" i="17" s="1"/>
  <c r="L145" i="17"/>
  <c r="L141" i="17" s="1"/>
  <c r="K145" i="17"/>
  <c r="J145" i="17"/>
  <c r="J141" i="17" s="1"/>
  <c r="I145" i="17"/>
  <c r="H145" i="17"/>
  <c r="H141" i="17" s="1"/>
  <c r="G145" i="17"/>
  <c r="G141" i="17" s="1"/>
  <c r="S144" i="17"/>
  <c r="S143" i="17"/>
  <c r="S142" i="17"/>
  <c r="Q141" i="17"/>
  <c r="I141" i="17"/>
  <c r="S140" i="17"/>
  <c r="S139" i="17"/>
  <c r="S138" i="17"/>
  <c r="S137" i="17"/>
  <c r="S136" i="17"/>
  <c r="S135" i="17"/>
  <c r="S134" i="17"/>
  <c r="S133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S131" i="17"/>
  <c r="S130" i="17"/>
  <c r="S129" i="17"/>
  <c r="S128" i="17"/>
  <c r="S127" i="17"/>
  <c r="S126" i="17"/>
  <c r="S125" i="17"/>
  <c r="S124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S122" i="17"/>
  <c r="S121" i="17"/>
  <c r="S120" i="17"/>
  <c r="S119" i="17"/>
  <c r="S118" i="17"/>
  <c r="S117" i="17"/>
  <c r="S116" i="17"/>
  <c r="S115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S113" i="17"/>
  <c r="S112" i="17"/>
  <c r="S111" i="17"/>
  <c r="S110" i="17"/>
  <c r="S109" i="17"/>
  <c r="S108" i="17"/>
  <c r="R107" i="17"/>
  <c r="R106" i="17" s="1"/>
  <c r="Q107" i="17"/>
  <c r="Q106" i="17" s="1"/>
  <c r="P107" i="17"/>
  <c r="P106" i="17" s="1"/>
  <c r="O107" i="17"/>
  <c r="O106" i="17" s="1"/>
  <c r="N107" i="17"/>
  <c r="N106" i="17" s="1"/>
  <c r="M107" i="17"/>
  <c r="M106" i="17" s="1"/>
  <c r="L107" i="17"/>
  <c r="L106" i="17" s="1"/>
  <c r="K107" i="17"/>
  <c r="J107" i="17"/>
  <c r="J106" i="17" s="1"/>
  <c r="I107" i="17"/>
  <c r="I106" i="17" s="1"/>
  <c r="H107" i="17"/>
  <c r="H106" i="17" s="1"/>
  <c r="G107" i="17"/>
  <c r="K106" i="17"/>
  <c r="S105" i="17"/>
  <c r="S104" i="17"/>
  <c r="S103" i="17"/>
  <c r="S102" i="17"/>
  <c r="S101" i="17"/>
  <c r="S100" i="17"/>
  <c r="R99" i="17"/>
  <c r="R98" i="17" s="1"/>
  <c r="Q99" i="17"/>
  <c r="Q98" i="17" s="1"/>
  <c r="P99" i="17"/>
  <c r="P98" i="17" s="1"/>
  <c r="O99" i="17"/>
  <c r="O98" i="17" s="1"/>
  <c r="N99" i="17"/>
  <c r="N98" i="17" s="1"/>
  <c r="M99" i="17"/>
  <c r="M98" i="17" s="1"/>
  <c r="L99" i="17"/>
  <c r="L98" i="17" s="1"/>
  <c r="K99" i="17"/>
  <c r="K98" i="17" s="1"/>
  <c r="J99" i="17"/>
  <c r="J98" i="17" s="1"/>
  <c r="I99" i="17"/>
  <c r="I98" i="17" s="1"/>
  <c r="H99" i="17"/>
  <c r="H98" i="17" s="1"/>
  <c r="G99" i="17"/>
  <c r="S97" i="17"/>
  <c r="S96" i="17"/>
  <c r="S95" i="17"/>
  <c r="S94" i="17"/>
  <c r="S93" i="17"/>
  <c r="S92" i="17"/>
  <c r="R91" i="17"/>
  <c r="R90" i="17" s="1"/>
  <c r="Q91" i="17"/>
  <c r="Q90" i="17" s="1"/>
  <c r="P91" i="17"/>
  <c r="O91" i="17"/>
  <c r="O90" i="17" s="1"/>
  <c r="N91" i="17"/>
  <c r="N90" i="17" s="1"/>
  <c r="M91" i="17"/>
  <c r="M90" i="17" s="1"/>
  <c r="L91" i="17"/>
  <c r="L90" i="17" s="1"/>
  <c r="K91" i="17"/>
  <c r="K90" i="17" s="1"/>
  <c r="J91" i="17"/>
  <c r="J90" i="17" s="1"/>
  <c r="I91" i="17"/>
  <c r="I90" i="17" s="1"/>
  <c r="H91" i="17"/>
  <c r="G91" i="17"/>
  <c r="P90" i="17"/>
  <c r="H90" i="17"/>
  <c r="S89" i="17"/>
  <c r="S88" i="17"/>
  <c r="S87" i="17"/>
  <c r="S86" i="17"/>
  <c r="S85" i="17"/>
  <c r="S84" i="17"/>
  <c r="R83" i="17"/>
  <c r="R82" i="17" s="1"/>
  <c r="Q83" i="17"/>
  <c r="Q82" i="17" s="1"/>
  <c r="P83" i="17"/>
  <c r="P82" i="17" s="1"/>
  <c r="O83" i="17"/>
  <c r="O82" i="17" s="1"/>
  <c r="N83" i="17"/>
  <c r="N82" i="17" s="1"/>
  <c r="M83" i="17"/>
  <c r="M82" i="17" s="1"/>
  <c r="L83" i="17"/>
  <c r="L82" i="17" s="1"/>
  <c r="K83" i="17"/>
  <c r="K82" i="17" s="1"/>
  <c r="J83" i="17"/>
  <c r="J82" i="17" s="1"/>
  <c r="I83" i="17"/>
  <c r="I82" i="17" s="1"/>
  <c r="H83" i="17"/>
  <c r="H82" i="17" s="1"/>
  <c r="G83" i="17"/>
  <c r="S81" i="17"/>
  <c r="S80" i="17"/>
  <c r="S79" i="17"/>
  <c r="S78" i="17"/>
  <c r="S77" i="17"/>
  <c r="S76" i="17"/>
  <c r="S75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S73" i="17"/>
  <c r="S72" i="17"/>
  <c r="S71" i="17"/>
  <c r="S70" i="17"/>
  <c r="S69" i="17"/>
  <c r="S68" i="17"/>
  <c r="S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S65" i="17"/>
  <c r="S64" i="17"/>
  <c r="S63" i="17"/>
  <c r="S62" i="17"/>
  <c r="S61" i="17"/>
  <c r="S60" i="17"/>
  <c r="S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S57" i="17"/>
  <c r="S56" i="17"/>
  <c r="S55" i="17"/>
  <c r="R54" i="17"/>
  <c r="R50" i="17" s="1"/>
  <c r="Q54" i="17"/>
  <c r="Q50" i="17" s="1"/>
  <c r="P54" i="17"/>
  <c r="O54" i="17"/>
  <c r="N54" i="17"/>
  <c r="N50" i="17" s="1"/>
  <c r="M54" i="17"/>
  <c r="M50" i="17" s="1"/>
  <c r="L54" i="17"/>
  <c r="L50" i="17" s="1"/>
  <c r="K54" i="17"/>
  <c r="K50" i="17" s="1"/>
  <c r="J54" i="17"/>
  <c r="J50" i="17" s="1"/>
  <c r="I54" i="17"/>
  <c r="I50" i="17" s="1"/>
  <c r="H54" i="17"/>
  <c r="G54" i="17"/>
  <c r="G50" i="17" s="1"/>
  <c r="S53" i="17"/>
  <c r="S52" i="17"/>
  <c r="S51" i="17"/>
  <c r="P50" i="17"/>
  <c r="O50" i="17"/>
  <c r="H50" i="17"/>
  <c r="S49" i="17"/>
  <c r="S48" i="17"/>
  <c r="S47" i="17"/>
  <c r="R46" i="17"/>
  <c r="R42" i="17" s="1"/>
  <c r="Q46" i="17"/>
  <c r="Q42" i="17" s="1"/>
  <c r="P46" i="17"/>
  <c r="P42" i="17" s="1"/>
  <c r="O46" i="17"/>
  <c r="O42" i="17" s="1"/>
  <c r="N46" i="17"/>
  <c r="M46" i="17"/>
  <c r="M42" i="17" s="1"/>
  <c r="L46" i="17"/>
  <c r="L42" i="17" s="1"/>
  <c r="K46" i="17"/>
  <c r="J46" i="17"/>
  <c r="J42" i="17" s="1"/>
  <c r="I46" i="17"/>
  <c r="I42" i="17" s="1"/>
  <c r="H46" i="17"/>
  <c r="H42" i="17" s="1"/>
  <c r="G46" i="17"/>
  <c r="G42" i="17" s="1"/>
  <c r="S45" i="17"/>
  <c r="S44" i="17"/>
  <c r="S43" i="17"/>
  <c r="N42" i="17"/>
  <c r="K42" i="17"/>
  <c r="S41" i="17"/>
  <c r="S40" i="17"/>
  <c r="S39" i="17"/>
  <c r="R38" i="17"/>
  <c r="R34" i="17" s="1"/>
  <c r="Q38" i="17"/>
  <c r="Q34" i="17" s="1"/>
  <c r="P38" i="17"/>
  <c r="P34" i="17" s="1"/>
  <c r="O38" i="17"/>
  <c r="O34" i="17" s="1"/>
  <c r="N38" i="17"/>
  <c r="N34" i="17" s="1"/>
  <c r="M38" i="17"/>
  <c r="M34" i="17" s="1"/>
  <c r="L38" i="17"/>
  <c r="L34" i="17" s="1"/>
  <c r="K38" i="17"/>
  <c r="K34" i="17" s="1"/>
  <c r="J38" i="17"/>
  <c r="J34" i="17" s="1"/>
  <c r="I38" i="17"/>
  <c r="I34" i="17" s="1"/>
  <c r="H38" i="17"/>
  <c r="H34" i="17" s="1"/>
  <c r="G38" i="17"/>
  <c r="G34" i="17" s="1"/>
  <c r="S37" i="17"/>
  <c r="S36" i="17"/>
  <c r="S35" i="17"/>
  <c r="S33" i="17"/>
  <c r="S32" i="17"/>
  <c r="S31" i="17"/>
  <c r="R30" i="17"/>
  <c r="R26" i="17" s="1"/>
  <c r="Q30" i="17"/>
  <c r="Q26" i="17" s="1"/>
  <c r="P30" i="17"/>
  <c r="P26" i="17" s="1"/>
  <c r="O30" i="17"/>
  <c r="O26" i="17" s="1"/>
  <c r="N30" i="17"/>
  <c r="N26" i="17" s="1"/>
  <c r="M30" i="17"/>
  <c r="M26" i="17" s="1"/>
  <c r="L30" i="17"/>
  <c r="L26" i="17" s="1"/>
  <c r="K30" i="17"/>
  <c r="J30" i="17"/>
  <c r="J26" i="17" s="1"/>
  <c r="I30" i="17"/>
  <c r="I26" i="17" s="1"/>
  <c r="H30" i="17"/>
  <c r="H26" i="17" s="1"/>
  <c r="G30" i="17"/>
  <c r="G26" i="17" s="1"/>
  <c r="S29" i="17"/>
  <c r="S28" i="17"/>
  <c r="S27" i="17"/>
  <c r="K26" i="17"/>
  <c r="S25" i="17"/>
  <c r="S24" i="17"/>
  <c r="S23" i="17"/>
  <c r="R22" i="17"/>
  <c r="R18" i="17" s="1"/>
  <c r="Q22" i="17"/>
  <c r="Q18" i="17" s="1"/>
  <c r="P22" i="17"/>
  <c r="O22" i="17"/>
  <c r="O18" i="17" s="1"/>
  <c r="N22" i="17"/>
  <c r="N18" i="17" s="1"/>
  <c r="M22" i="17"/>
  <c r="M18" i="17" s="1"/>
  <c r="L22" i="17"/>
  <c r="L18" i="17" s="1"/>
  <c r="K22" i="17"/>
  <c r="K18" i="17" s="1"/>
  <c r="J22" i="17"/>
  <c r="J18" i="17" s="1"/>
  <c r="I22" i="17"/>
  <c r="I18" i="17" s="1"/>
  <c r="H22" i="17"/>
  <c r="H18" i="17" s="1"/>
  <c r="G22" i="17"/>
  <c r="G18" i="17" s="1"/>
  <c r="S21" i="17"/>
  <c r="S20" i="17"/>
  <c r="S19" i="17"/>
  <c r="P18" i="17"/>
  <c r="S17" i="17"/>
  <c r="S16" i="17"/>
  <c r="S15" i="17"/>
  <c r="R14" i="17"/>
  <c r="R10" i="17" s="1"/>
  <c r="Q14" i="17"/>
  <c r="Q10" i="17" s="1"/>
  <c r="P14" i="17"/>
  <c r="P10" i="17" s="1"/>
  <c r="O14" i="17"/>
  <c r="N14" i="17"/>
  <c r="N10" i="17" s="1"/>
  <c r="M14" i="17"/>
  <c r="M10" i="17" s="1"/>
  <c r="L14" i="17"/>
  <c r="L10" i="17" s="1"/>
  <c r="K14" i="17"/>
  <c r="K10" i="17" s="1"/>
  <c r="J14" i="17"/>
  <c r="J10" i="17" s="1"/>
  <c r="I14" i="17"/>
  <c r="I10" i="17" s="1"/>
  <c r="H14" i="17"/>
  <c r="H10" i="17" s="1"/>
  <c r="G14" i="17"/>
  <c r="S13" i="17"/>
  <c r="S12" i="17"/>
  <c r="S11" i="17"/>
  <c r="O10" i="17"/>
  <c r="G10" i="17"/>
  <c r="S9" i="17"/>
  <c r="S8" i="17"/>
  <c r="S7" i="17"/>
  <c r="R6" i="17"/>
  <c r="R2" i="17" s="1"/>
  <c r="Q6" i="17"/>
  <c r="Q2" i="17" s="1"/>
  <c r="P6" i="17"/>
  <c r="P2" i="17" s="1"/>
  <c r="O6" i="17"/>
  <c r="O2" i="17" s="1"/>
  <c r="N6" i="17"/>
  <c r="N2" i="17" s="1"/>
  <c r="M6" i="17"/>
  <c r="M2" i="17" s="1"/>
  <c r="L6" i="17"/>
  <c r="K6" i="17"/>
  <c r="J6" i="17"/>
  <c r="J2" i="17" s="1"/>
  <c r="I6" i="17"/>
  <c r="I2" i="17" s="1"/>
  <c r="H6" i="17"/>
  <c r="H2" i="17" s="1"/>
  <c r="G6" i="17"/>
  <c r="G2" i="17" s="1"/>
  <c r="S5" i="17"/>
  <c r="S4" i="17"/>
  <c r="S3" i="17"/>
  <c r="L2" i="17"/>
  <c r="K2" i="17"/>
  <c r="S160" i="16"/>
  <c r="S159" i="16"/>
  <c r="S158" i="16"/>
  <c r="S157" i="16"/>
  <c r="S156" i="16"/>
  <c r="S155" i="16"/>
  <c r="S154" i="16"/>
  <c r="S153" i="16"/>
  <c r="R152" i="16"/>
  <c r="Q152" i="16"/>
  <c r="P152" i="16"/>
  <c r="O152" i="16"/>
  <c r="N152" i="16"/>
  <c r="M152" i="16"/>
  <c r="L152" i="16"/>
  <c r="K152" i="16"/>
  <c r="J152" i="16"/>
  <c r="I152" i="16"/>
  <c r="H152" i="16"/>
  <c r="G152" i="16"/>
  <c r="S151" i="16"/>
  <c r="S150" i="16"/>
  <c r="S149" i="16"/>
  <c r="S148" i="16"/>
  <c r="R147" i="16"/>
  <c r="R143" i="16" s="1"/>
  <c r="Q147" i="16"/>
  <c r="Q143" i="16" s="1"/>
  <c r="P147" i="16"/>
  <c r="P143" i="16" s="1"/>
  <c r="O147" i="16"/>
  <c r="O143" i="16" s="1"/>
  <c r="N147" i="16"/>
  <c r="N143" i="16" s="1"/>
  <c r="M147" i="16"/>
  <c r="M143" i="16" s="1"/>
  <c r="L147" i="16"/>
  <c r="L143" i="16" s="1"/>
  <c r="K147" i="16"/>
  <c r="K143" i="16" s="1"/>
  <c r="J147" i="16"/>
  <c r="I147" i="16"/>
  <c r="I143" i="16" s="1"/>
  <c r="H147" i="16"/>
  <c r="H143" i="16" s="1"/>
  <c r="G147" i="16"/>
  <c r="G143" i="16" s="1"/>
  <c r="S146" i="16"/>
  <c r="S145" i="16"/>
  <c r="S144" i="16"/>
  <c r="J143" i="16"/>
  <c r="S142" i="16"/>
  <c r="S141" i="16"/>
  <c r="S140" i="16"/>
  <c r="S139" i="16"/>
  <c r="S138" i="16"/>
  <c r="S137" i="16"/>
  <c r="S136" i="16"/>
  <c r="S135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S133" i="16"/>
  <c r="S132" i="16"/>
  <c r="S131" i="16"/>
  <c r="S130" i="16"/>
  <c r="S129" i="16"/>
  <c r="S128" i="16"/>
  <c r="S127" i="16"/>
  <c r="S126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S124" i="16"/>
  <c r="S123" i="16"/>
  <c r="S122" i="16"/>
  <c r="S121" i="16"/>
  <c r="S120" i="16"/>
  <c r="S119" i="16"/>
  <c r="S118" i="16"/>
  <c r="S117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S115" i="16"/>
  <c r="S114" i="16"/>
  <c r="S113" i="16"/>
  <c r="S112" i="16"/>
  <c r="S111" i="16"/>
  <c r="S110" i="16"/>
  <c r="R109" i="16"/>
  <c r="R108" i="16" s="1"/>
  <c r="Q109" i="16"/>
  <c r="Q108" i="16" s="1"/>
  <c r="P109" i="16"/>
  <c r="P108" i="16" s="1"/>
  <c r="O109" i="16"/>
  <c r="O108" i="16" s="1"/>
  <c r="N109" i="16"/>
  <c r="N108" i="16" s="1"/>
  <c r="M109" i="16"/>
  <c r="L109" i="16"/>
  <c r="L108" i="16" s="1"/>
  <c r="K109" i="16"/>
  <c r="K108" i="16" s="1"/>
  <c r="J109" i="16"/>
  <c r="J108" i="16" s="1"/>
  <c r="I109" i="16"/>
  <c r="I108" i="16" s="1"/>
  <c r="H109" i="16"/>
  <c r="H108" i="16" s="1"/>
  <c r="G109" i="16"/>
  <c r="M108" i="16"/>
  <c r="S107" i="16"/>
  <c r="S106" i="16"/>
  <c r="S105" i="16"/>
  <c r="S104" i="16"/>
  <c r="S103" i="16"/>
  <c r="S102" i="16"/>
  <c r="R101" i="16"/>
  <c r="R100" i="16" s="1"/>
  <c r="Q101" i="16"/>
  <c r="Q100" i="16" s="1"/>
  <c r="P101" i="16"/>
  <c r="P100" i="16" s="1"/>
  <c r="O101" i="16"/>
  <c r="O100" i="16" s="1"/>
  <c r="N101" i="16"/>
  <c r="M101" i="16"/>
  <c r="L101" i="16"/>
  <c r="K101" i="16"/>
  <c r="K100" i="16" s="1"/>
  <c r="J101" i="16"/>
  <c r="I101" i="16"/>
  <c r="I100" i="16" s="1"/>
  <c r="H101" i="16"/>
  <c r="H100" i="16" s="1"/>
  <c r="G101" i="16"/>
  <c r="N100" i="16"/>
  <c r="M100" i="16"/>
  <c r="L100" i="16"/>
  <c r="J100" i="16"/>
  <c r="S99" i="16"/>
  <c r="S98" i="16"/>
  <c r="S97" i="16"/>
  <c r="S96" i="16"/>
  <c r="S95" i="16"/>
  <c r="S94" i="16"/>
  <c r="R93" i="16"/>
  <c r="R92" i="16" s="1"/>
  <c r="Q93" i="16"/>
  <c r="Q92" i="16" s="1"/>
  <c r="P93" i="16"/>
  <c r="P92" i="16" s="1"/>
  <c r="O93" i="16"/>
  <c r="O92" i="16" s="1"/>
  <c r="N93" i="16"/>
  <c r="N92" i="16" s="1"/>
  <c r="M93" i="16"/>
  <c r="M92" i="16" s="1"/>
  <c r="L93" i="16"/>
  <c r="L92" i="16" s="1"/>
  <c r="K93" i="16"/>
  <c r="K92" i="16" s="1"/>
  <c r="J93" i="16"/>
  <c r="J92" i="16" s="1"/>
  <c r="I93" i="16"/>
  <c r="I92" i="16" s="1"/>
  <c r="H93" i="16"/>
  <c r="H92" i="16" s="1"/>
  <c r="G93" i="16"/>
  <c r="S91" i="16"/>
  <c r="S90" i="16"/>
  <c r="S89" i="16"/>
  <c r="S88" i="16"/>
  <c r="S87" i="16"/>
  <c r="S86" i="16"/>
  <c r="S85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S83" i="16"/>
  <c r="S82" i="16"/>
  <c r="S81" i="16"/>
  <c r="S80" i="16"/>
  <c r="S79" i="16"/>
  <c r="S78" i="16"/>
  <c r="S77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S75" i="16"/>
  <c r="S74" i="16"/>
  <c r="S73" i="16"/>
  <c r="S72" i="16"/>
  <c r="S71" i="16"/>
  <c r="S70" i="16"/>
  <c r="S69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S67" i="16"/>
  <c r="S66" i="16"/>
  <c r="S65" i="16"/>
  <c r="S64" i="16"/>
  <c r="S63" i="16"/>
  <c r="S62" i="16"/>
  <c r="S61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S59" i="16"/>
  <c r="S58" i="16"/>
  <c r="S57" i="16"/>
  <c r="R56" i="16"/>
  <c r="R52" i="16" s="1"/>
  <c r="Q56" i="16"/>
  <c r="Q52" i="16" s="1"/>
  <c r="P56" i="16"/>
  <c r="P52" i="16" s="1"/>
  <c r="O56" i="16"/>
  <c r="O52" i="16" s="1"/>
  <c r="N56" i="16"/>
  <c r="N52" i="16" s="1"/>
  <c r="M56" i="16"/>
  <c r="M52" i="16" s="1"/>
  <c r="L56" i="16"/>
  <c r="L52" i="16" s="1"/>
  <c r="K56" i="16"/>
  <c r="K52" i="16" s="1"/>
  <c r="J56" i="16"/>
  <c r="J52" i="16" s="1"/>
  <c r="I56" i="16"/>
  <c r="I52" i="16" s="1"/>
  <c r="H56" i="16"/>
  <c r="H52" i="16" s="1"/>
  <c r="G56" i="16"/>
  <c r="G52" i="16" s="1"/>
  <c r="S55" i="16"/>
  <c r="S54" i="16"/>
  <c r="S53" i="16"/>
  <c r="S51" i="16"/>
  <c r="S50" i="16"/>
  <c r="S49" i="16"/>
  <c r="R48" i="16"/>
  <c r="R44" i="16" s="1"/>
  <c r="Q48" i="16"/>
  <c r="Q44" i="16" s="1"/>
  <c r="P48" i="16"/>
  <c r="P44" i="16" s="1"/>
  <c r="O48" i="16"/>
  <c r="O44" i="16" s="1"/>
  <c r="N48" i="16"/>
  <c r="N44" i="16" s="1"/>
  <c r="M48" i="16"/>
  <c r="M44" i="16" s="1"/>
  <c r="L48" i="16"/>
  <c r="L44" i="16" s="1"/>
  <c r="K48" i="16"/>
  <c r="K44" i="16" s="1"/>
  <c r="J48" i="16"/>
  <c r="J44" i="16" s="1"/>
  <c r="I48" i="16"/>
  <c r="I44" i="16" s="1"/>
  <c r="H48" i="16"/>
  <c r="H44" i="16" s="1"/>
  <c r="G48" i="16"/>
  <c r="S47" i="16"/>
  <c r="S46" i="16"/>
  <c r="S45" i="16"/>
  <c r="S43" i="16"/>
  <c r="S42" i="16"/>
  <c r="S41" i="16"/>
  <c r="R40" i="16"/>
  <c r="Q40" i="16"/>
  <c r="P40" i="16"/>
  <c r="P36" i="16" s="1"/>
  <c r="O40" i="16"/>
  <c r="O36" i="16" s="1"/>
  <c r="N40" i="16"/>
  <c r="N36" i="16" s="1"/>
  <c r="M40" i="16"/>
  <c r="M36" i="16" s="1"/>
  <c r="L40" i="16"/>
  <c r="L36" i="16" s="1"/>
  <c r="K40" i="16"/>
  <c r="K36" i="16" s="1"/>
  <c r="J40" i="16"/>
  <c r="J36" i="16" s="1"/>
  <c r="I40" i="16"/>
  <c r="H40" i="16"/>
  <c r="H36" i="16" s="1"/>
  <c r="G40" i="16"/>
  <c r="G36" i="16" s="1"/>
  <c r="S39" i="16"/>
  <c r="S38" i="16"/>
  <c r="S37" i="16"/>
  <c r="R36" i="16"/>
  <c r="Q36" i="16"/>
  <c r="I36" i="16"/>
  <c r="S35" i="16"/>
  <c r="S34" i="16"/>
  <c r="S33" i="16"/>
  <c r="R32" i="16"/>
  <c r="R28" i="16" s="1"/>
  <c r="Q32" i="16"/>
  <c r="Q28" i="16" s="1"/>
  <c r="P32" i="16"/>
  <c r="P28" i="16" s="1"/>
  <c r="O32" i="16"/>
  <c r="O28" i="16" s="1"/>
  <c r="N32" i="16"/>
  <c r="N28" i="16" s="1"/>
  <c r="M32" i="16"/>
  <c r="M28" i="16" s="1"/>
  <c r="L32" i="16"/>
  <c r="L28" i="16" s="1"/>
  <c r="K32" i="16"/>
  <c r="K28" i="16" s="1"/>
  <c r="J32" i="16"/>
  <c r="J28" i="16" s="1"/>
  <c r="I32" i="16"/>
  <c r="I28" i="16" s="1"/>
  <c r="H32" i="16"/>
  <c r="H28" i="16" s="1"/>
  <c r="G32" i="16"/>
  <c r="G28" i="16" s="1"/>
  <c r="S31" i="16"/>
  <c r="S30" i="16"/>
  <c r="S29" i="16"/>
  <c r="S27" i="16"/>
  <c r="S26" i="16"/>
  <c r="S25" i="16"/>
  <c r="R24" i="16"/>
  <c r="R20" i="16" s="1"/>
  <c r="Q24" i="16"/>
  <c r="Q20" i="16" s="1"/>
  <c r="P24" i="16"/>
  <c r="P20" i="16" s="1"/>
  <c r="O24" i="16"/>
  <c r="O20" i="16" s="1"/>
  <c r="N24" i="16"/>
  <c r="M24" i="16"/>
  <c r="M20" i="16" s="1"/>
  <c r="L24" i="16"/>
  <c r="L20" i="16" s="1"/>
  <c r="K24" i="16"/>
  <c r="K20" i="16" s="1"/>
  <c r="J24" i="16"/>
  <c r="J20" i="16" s="1"/>
  <c r="I24" i="16"/>
  <c r="I20" i="16" s="1"/>
  <c r="H24" i="16"/>
  <c r="H20" i="16" s="1"/>
  <c r="G24" i="16"/>
  <c r="G20" i="16" s="1"/>
  <c r="S23" i="16"/>
  <c r="S22" i="16"/>
  <c r="S21" i="16"/>
  <c r="N20" i="16"/>
  <c r="S19" i="16"/>
  <c r="S18" i="16"/>
  <c r="S17" i="16"/>
  <c r="R16" i="16"/>
  <c r="R12" i="16" s="1"/>
  <c r="Q16" i="16"/>
  <c r="Q12" i="16" s="1"/>
  <c r="P16" i="16"/>
  <c r="P12" i="16" s="1"/>
  <c r="O16" i="16"/>
  <c r="O12" i="16" s="1"/>
  <c r="N16" i="16"/>
  <c r="N12" i="16" s="1"/>
  <c r="M16" i="16"/>
  <c r="M12" i="16" s="1"/>
  <c r="L16" i="16"/>
  <c r="L12" i="16" s="1"/>
  <c r="K16" i="16"/>
  <c r="J16" i="16"/>
  <c r="J12" i="16" s="1"/>
  <c r="I16" i="16"/>
  <c r="I12" i="16" s="1"/>
  <c r="H16" i="16"/>
  <c r="H12" i="16" s="1"/>
  <c r="G16" i="16"/>
  <c r="G12" i="16" s="1"/>
  <c r="S15" i="16"/>
  <c r="S14" i="16"/>
  <c r="S13" i="16"/>
  <c r="K12" i="16"/>
  <c r="S11" i="16"/>
  <c r="S10" i="16"/>
  <c r="S9" i="16"/>
  <c r="R8" i="16"/>
  <c r="R4" i="16" s="1"/>
  <c r="Q8" i="16"/>
  <c r="Q4" i="16" s="1"/>
  <c r="P8" i="16"/>
  <c r="P4" i="16" s="1"/>
  <c r="O8" i="16"/>
  <c r="O4" i="16" s="1"/>
  <c r="N8" i="16"/>
  <c r="M8" i="16"/>
  <c r="M4" i="16" s="1"/>
  <c r="L8" i="16"/>
  <c r="L4" i="16" s="1"/>
  <c r="K8" i="16"/>
  <c r="K4" i="16" s="1"/>
  <c r="J8" i="16"/>
  <c r="J4" i="16" s="1"/>
  <c r="I8" i="16"/>
  <c r="I4" i="16" s="1"/>
  <c r="H8" i="16"/>
  <c r="H4" i="16" s="1"/>
  <c r="G8" i="16"/>
  <c r="G4" i="16" s="1"/>
  <c r="S7" i="16"/>
  <c r="S6" i="16"/>
  <c r="S5" i="16"/>
  <c r="N4" i="16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S88" i="15"/>
  <c r="S87" i="15"/>
  <c r="S86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S84" i="15"/>
  <c r="S83" i="15"/>
  <c r="S82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S80" i="15"/>
  <c r="S79" i="15"/>
  <c r="S78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S76" i="15"/>
  <c r="S75" i="15"/>
  <c r="S74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S72" i="15"/>
  <c r="S71" i="15"/>
  <c r="S70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S68" i="15"/>
  <c r="S67" i="15"/>
  <c r="S66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S64" i="15"/>
  <c r="S63" i="15"/>
  <c r="S62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S60" i="15"/>
  <c r="S59" i="15"/>
  <c r="S58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S56" i="15"/>
  <c r="S55" i="15"/>
  <c r="S54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S52" i="15"/>
  <c r="S51" i="15"/>
  <c r="S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S48" i="15"/>
  <c r="S47" i="15"/>
  <c r="S46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S44" i="15"/>
  <c r="S43" i="15"/>
  <c r="S42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S40" i="15"/>
  <c r="S39" i="15"/>
  <c r="S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S36" i="15"/>
  <c r="S35" i="15"/>
  <c r="S34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S32" i="15"/>
  <c r="S31" i="15"/>
  <c r="S30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S28" i="15"/>
  <c r="S27" i="15"/>
  <c r="S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S24" i="15"/>
  <c r="S23" i="15"/>
  <c r="S22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S20" i="15"/>
  <c r="S19" i="15"/>
  <c r="S18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S16" i="15"/>
  <c r="S15" i="15"/>
  <c r="S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S12" i="15"/>
  <c r="S11" i="15"/>
  <c r="S10" i="15"/>
  <c r="R9" i="15"/>
  <c r="Q9" i="15"/>
  <c r="P9" i="15"/>
  <c r="O9" i="15"/>
  <c r="N9" i="15"/>
  <c r="M9" i="15"/>
  <c r="L9" i="15"/>
  <c r="K9" i="15"/>
  <c r="J9" i="15"/>
  <c r="I9" i="15"/>
  <c r="H9" i="15"/>
  <c r="G9" i="15"/>
  <c r="S8" i="15"/>
  <c r="S7" i="15"/>
  <c r="S6" i="15"/>
  <c r="R5" i="15"/>
  <c r="Q5" i="15"/>
  <c r="P5" i="15"/>
  <c r="O5" i="15"/>
  <c r="N5" i="15"/>
  <c r="M5" i="15"/>
  <c r="L5" i="15"/>
  <c r="K5" i="15"/>
  <c r="J5" i="15"/>
  <c r="I5" i="15"/>
  <c r="H5" i="15"/>
  <c r="G5" i="15"/>
  <c r="S81" i="14"/>
  <c r="S80" i="14"/>
  <c r="S79" i="14"/>
  <c r="S77" i="14"/>
  <c r="S76" i="14"/>
  <c r="S75" i="14"/>
  <c r="S73" i="14"/>
  <c r="S72" i="14"/>
  <c r="S71" i="14"/>
  <c r="S69" i="14"/>
  <c r="S68" i="14"/>
  <c r="S67" i="14"/>
  <c r="S65" i="14"/>
  <c r="S64" i="14"/>
  <c r="S63" i="14"/>
  <c r="S61" i="14"/>
  <c r="S60" i="14"/>
  <c r="S59" i="14"/>
  <c r="S57" i="14"/>
  <c r="S56" i="14"/>
  <c r="S55" i="14"/>
  <c r="S53" i="14"/>
  <c r="S52" i="14"/>
  <c r="S51" i="14"/>
  <c r="S49" i="14"/>
  <c r="S48" i="14"/>
  <c r="S47" i="14"/>
  <c r="S45" i="14"/>
  <c r="S44" i="14"/>
  <c r="S43" i="14"/>
  <c r="S61" i="15" l="1"/>
  <c r="S5" i="15"/>
  <c r="S37" i="15"/>
  <c r="S33" i="15"/>
  <c r="S145" i="17"/>
  <c r="S66" i="17"/>
  <c r="S60" i="16"/>
  <c r="S29" i="15"/>
  <c r="S25" i="15"/>
  <c r="S57" i="15"/>
  <c r="S21" i="15"/>
  <c r="S53" i="15"/>
  <c r="S17" i="15"/>
  <c r="S49" i="15"/>
  <c r="S13" i="15"/>
  <c r="S45" i="15"/>
  <c r="S9" i="15"/>
  <c r="S41" i="15"/>
  <c r="S85" i="15"/>
  <c r="S77" i="15"/>
  <c r="S73" i="15"/>
  <c r="S65" i="15"/>
  <c r="S81" i="15"/>
  <c r="S69" i="15"/>
  <c r="S48" i="16"/>
  <c r="S44" i="16" s="1"/>
  <c r="S56" i="16"/>
  <c r="S93" i="16"/>
  <c r="S92" i="16" s="1"/>
  <c r="S116" i="16"/>
  <c r="S24" i="16"/>
  <c r="S20" i="16" s="1"/>
  <c r="S76" i="16"/>
  <c r="S152" i="16"/>
  <c r="S16" i="16"/>
  <c r="S12" i="16" s="1"/>
  <c r="G44" i="16"/>
  <c r="S84" i="16"/>
  <c r="S125" i="16"/>
  <c r="S40" i="16"/>
  <c r="S36" i="16" s="1"/>
  <c r="S147" i="16"/>
  <c r="S134" i="16"/>
  <c r="S8" i="16"/>
  <c r="S4" i="16" s="1"/>
  <c r="S68" i="16"/>
  <c r="S109" i="16"/>
  <c r="S108" i="16" s="1"/>
  <c r="S143" i="16"/>
  <c r="S32" i="16"/>
  <c r="S28" i="16" s="1"/>
  <c r="S101" i="16"/>
  <c r="S100" i="16" s="1"/>
  <c r="S58" i="17"/>
  <c r="S6" i="17"/>
  <c r="S2" i="17" s="1"/>
  <c r="S38" i="17"/>
  <c r="S34" i="17" s="1"/>
  <c r="S132" i="17"/>
  <c r="K141" i="17"/>
  <c r="S141" i="17" s="1"/>
  <c r="S30" i="17"/>
  <c r="S26" i="17" s="1"/>
  <c r="S83" i="17"/>
  <c r="S82" i="17" s="1"/>
  <c r="S22" i="17"/>
  <c r="S18" i="17" s="1"/>
  <c r="S54" i="17"/>
  <c r="S50" i="17" s="1"/>
  <c r="S91" i="17"/>
  <c r="S90" i="17" s="1"/>
  <c r="S123" i="17"/>
  <c r="S150" i="17"/>
  <c r="S114" i="17"/>
  <c r="S74" i="17"/>
  <c r="S99" i="17"/>
  <c r="S98" i="17" s="1"/>
  <c r="S14" i="17"/>
  <c r="S10" i="17" s="1"/>
  <c r="S46" i="17"/>
  <c r="S42" i="17" s="1"/>
  <c r="S107" i="17"/>
  <c r="S106" i="17" s="1"/>
  <c r="G82" i="17"/>
  <c r="G90" i="17"/>
  <c r="G98" i="17"/>
  <c r="G106" i="17"/>
  <c r="S52" i="16"/>
  <c r="G92" i="16"/>
  <c r="G100" i="16"/>
  <c r="G108" i="16"/>
  <c r="AE15" i="12" l="1"/>
  <c r="AD15" i="12"/>
  <c r="AB15" i="12"/>
  <c r="AE4" i="12"/>
  <c r="AD4" i="12"/>
  <c r="AB4" i="12"/>
  <c r="AA4" i="12"/>
  <c r="AJ7" i="11"/>
  <c r="AJ6" i="11"/>
  <c r="AJ4" i="11"/>
  <c r="AJ10" i="11" s="1"/>
  <c r="AJ3" i="11"/>
  <c r="Y51" i="9"/>
  <c r="X51" i="9"/>
  <c r="W51" i="9"/>
  <c r="V51" i="9"/>
  <c r="U51" i="9"/>
  <c r="AK2" i="6"/>
  <c r="AJ2" i="6"/>
  <c r="AI2" i="6"/>
  <c r="AH2" i="6"/>
  <c r="AG2" i="6"/>
  <c r="AF2" i="6"/>
  <c r="AE2" i="6"/>
  <c r="AD2" i="6"/>
  <c r="AC2" i="6"/>
  <c r="AB2" i="6"/>
  <c r="AA2" i="6"/>
  <c r="AE14" i="5"/>
  <c r="AE14" i="4"/>
  <c r="AE14" i="3"/>
  <c r="AE14" i="2"/>
  <c r="AJ9" i="11" l="1"/>
</calcChain>
</file>

<file path=xl/sharedStrings.xml><?xml version="1.0" encoding="utf-8"?>
<sst xmlns="http://schemas.openxmlformats.org/spreadsheetml/2006/main" count="4266" uniqueCount="388">
  <si>
    <t>S_theme</t>
  </si>
  <si>
    <t>Nom</t>
  </si>
  <si>
    <t>Description</t>
  </si>
  <si>
    <t>titre_fr</t>
  </si>
  <si>
    <t>source_fr</t>
  </si>
  <si>
    <t>source_ar</t>
  </si>
  <si>
    <t>ordre</t>
  </si>
  <si>
    <t>Code</t>
  </si>
  <si>
    <t>parent</t>
  </si>
  <si>
    <t>des_fr</t>
  </si>
  <si>
    <t>Agreg</t>
  </si>
  <si>
    <t>ECHANGES EXTERIEUR</t>
  </si>
  <si>
    <t>TABLEAU 5.1 : Taux de change du dollar E.U. "$" en ouguiya</t>
  </si>
  <si>
    <t>Source : Banque Centrale de Mauritanie</t>
  </si>
  <si>
    <t>Janvier</t>
  </si>
  <si>
    <t>Moyenne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</si>
  <si>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</si>
  <si>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</si>
  <si>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</si>
  <si>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</si>
  <si>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</si>
  <si>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</si>
  <si>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</si>
  <si>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</si>
  <si>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</si>
  <si>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</si>
  <si>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</si>
  <si>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Cours moyen</t>
  </si>
  <si>
    <t>TABLEAU 5.2 :  Taux de change Euro. "€" en ouguiya</t>
  </si>
  <si>
    <t>TABLEAU 5.3 :  Taux de change de 1000 Fcfa en ouguiya</t>
  </si>
  <si>
    <t>TABLEAU 5.4 :  Taux de change du Yen "¥" en ouguiya</t>
  </si>
  <si>
    <t>TABLEAU 5.5 : Importations de la mauritanie en valeur (CAF) en million MRU</t>
  </si>
  <si>
    <r>
      <t>Source : Direction Générale des Douanes/</t>
    </r>
    <r>
      <rPr>
        <b/>
        <i/>
        <sz val="10"/>
        <rFont val="Sakkal Majalla"/>
      </rPr>
      <t>SYDONIA</t>
    </r>
  </si>
  <si>
    <r>
      <t xml:space="preserve">المصدر : الإدارة العامة للجمارك/ </t>
    </r>
    <r>
      <rPr>
        <b/>
        <i/>
        <sz val="10"/>
        <rFont val="Arabic Typesetting"/>
        <family val="4"/>
      </rPr>
      <t xml:space="preserve">سيدونيا </t>
    </r>
  </si>
  <si>
    <t>total importions</t>
  </si>
  <si>
    <t>Somme</t>
  </si>
  <si>
    <t>Produits pétroliers et leurs dérivés</t>
  </si>
  <si>
    <t>Produits alimentaires</t>
  </si>
  <si>
    <t>B.équip</t>
  </si>
  <si>
    <t>MCO</t>
  </si>
  <si>
    <t>Matériels de transports</t>
  </si>
  <si>
    <t>Produits chimiques divers</t>
  </si>
  <si>
    <t>Produits divers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</si>
  <si>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</si>
  <si>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</si>
  <si>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</si>
  <si>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</si>
  <si>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</si>
  <si>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</si>
  <si>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</si>
  <si>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</si>
  <si>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</si>
  <si>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</si>
  <si>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TABLEAU 5.6 : Importations de principaux produits alimentaires en million MRU</t>
  </si>
  <si>
    <t>Boissons</t>
  </si>
  <si>
    <t>Café, thé et cacao</t>
  </si>
  <si>
    <t>Céréales non transformées</t>
  </si>
  <si>
    <t>Blé</t>
  </si>
  <si>
    <t>Maïs</t>
  </si>
  <si>
    <t>Riz</t>
  </si>
  <si>
    <t>Céréales transofmées</t>
  </si>
  <si>
    <t>Farine de maïs</t>
  </si>
  <si>
    <t>Farines de blé</t>
  </si>
  <si>
    <t>Fruits</t>
  </si>
  <si>
    <t>Huiles et graisses animale</t>
  </si>
  <si>
    <t>Laits et produits laitiers</t>
  </si>
  <si>
    <t>Légumes</t>
  </si>
  <si>
    <t>Oeufs d'oiseaux</t>
  </si>
  <si>
    <t>Préparations alimentaires diverses</t>
  </si>
  <si>
    <t>Produits à base de céréales</t>
  </si>
  <si>
    <t>Produits de pêche</t>
  </si>
  <si>
    <t>Sel, y.c. le sel préparé pour la table</t>
  </si>
  <si>
    <t>Sucre et sucrerie</t>
  </si>
  <si>
    <t>Autres dérivés du sucre</t>
  </si>
  <si>
    <t>Miel naturel</t>
  </si>
  <si>
    <t>Sucre blanc</t>
  </si>
  <si>
    <t>Viandes et ses préparations</t>
  </si>
  <si>
    <t>Tableau 10.18: Importations des produits concurrentiels en Millions MRU</t>
  </si>
  <si>
    <r>
      <t>Source : Direction Générale des Douanes/</t>
    </r>
    <r>
      <rPr>
        <b/>
        <i/>
        <sz val="18"/>
        <rFont val="Sakkal Majalla"/>
      </rPr>
      <t>SYDONIA</t>
    </r>
  </si>
  <si>
    <t>Maroc</t>
  </si>
  <si>
    <t>Pays-bas</t>
  </si>
  <si>
    <t>Viandes volailles</t>
  </si>
  <si>
    <t>Etats-Unis</t>
  </si>
  <si>
    <t>Turquie</t>
  </si>
  <si>
    <t xml:space="preserve">      </t>
  </si>
  <si>
    <t>Brésil</t>
  </si>
  <si>
    <t>Lait liquide</t>
  </si>
  <si>
    <t>Allemagne</t>
  </si>
  <si>
    <t>Egypte</t>
  </si>
  <si>
    <t>Danemark</t>
  </si>
  <si>
    <t>Arabie Saoudite</t>
  </si>
  <si>
    <t>Espagne</t>
  </si>
  <si>
    <t>France</t>
  </si>
  <si>
    <t>Emirats Arabes Unis</t>
  </si>
  <si>
    <t>Thaïlande</t>
  </si>
  <si>
    <t>Inde</t>
  </si>
  <si>
    <t>Japon</t>
  </si>
  <si>
    <t>Barres de fer</t>
  </si>
  <si>
    <t>Algérie</t>
  </si>
  <si>
    <t>Belgique</t>
  </si>
  <si>
    <t>Sénégal</t>
  </si>
  <si>
    <t>Chine</t>
  </si>
  <si>
    <t>Savons</t>
  </si>
  <si>
    <t>Indonésie</t>
  </si>
  <si>
    <t>Singapour</t>
  </si>
  <si>
    <t>Dattes</t>
  </si>
  <si>
    <t>Tunisie</t>
  </si>
  <si>
    <t>Libye</t>
  </si>
  <si>
    <t>Viandes</t>
  </si>
  <si>
    <t>Colombie</t>
  </si>
  <si>
    <t>Couscous et pâtes alimentaires</t>
  </si>
  <si>
    <t>Conserves de poissons</t>
  </si>
  <si>
    <t>Portugal</t>
  </si>
  <si>
    <t>Biscuits</t>
  </si>
  <si>
    <t>Peintures et vernis</t>
  </si>
  <si>
    <t>Ciments blanc</t>
  </si>
  <si>
    <t>Bélgique</t>
  </si>
  <si>
    <t>Eaux minérales</t>
  </si>
  <si>
    <t>Yoghourts</t>
  </si>
  <si>
    <t xml:space="preserve">TABLEAU 5.7 : Importations de la Mauritanie selon l'origine en million MRU </t>
  </si>
  <si>
    <t>Total importations</t>
  </si>
  <si>
    <t>Afrique</t>
  </si>
  <si>
    <t>UMA</t>
  </si>
  <si>
    <t>Autres UMA</t>
  </si>
  <si>
    <t>CEDEAO</t>
  </si>
  <si>
    <t>Mali</t>
  </si>
  <si>
    <t>Autres CEDEAO</t>
  </si>
  <si>
    <t>Autres Afrique</t>
  </si>
  <si>
    <t>Asie</t>
  </si>
  <si>
    <t>Australie</t>
  </si>
  <si>
    <t>République de Corée</t>
  </si>
  <si>
    <t>Vietnam</t>
  </si>
  <si>
    <t>Malaisie</t>
  </si>
  <si>
    <t>Bangladesh</t>
  </si>
  <si>
    <t>Taïwan</t>
  </si>
  <si>
    <t>Autres Asie</t>
  </si>
  <si>
    <t>Moyen-Orient</t>
  </si>
  <si>
    <t>Emirats rabes unis</t>
  </si>
  <si>
    <t>Oman</t>
  </si>
  <si>
    <t>Liban</t>
  </si>
  <si>
    <t>Autres Moyen-Orient</t>
  </si>
  <si>
    <t>Europe</t>
  </si>
  <si>
    <t>Suisse</t>
  </si>
  <si>
    <t>Italie</t>
  </si>
  <si>
    <t>Fédération de Russie</t>
  </si>
  <si>
    <t>Pologne</t>
  </si>
  <si>
    <t>Pays-Bas</t>
  </si>
  <si>
    <t>Autres Europe</t>
  </si>
  <si>
    <t>Amérique</t>
  </si>
  <si>
    <t>Canada</t>
  </si>
  <si>
    <t>États-Unis</t>
  </si>
  <si>
    <t>Mexique</t>
  </si>
  <si>
    <t>Argentine</t>
  </si>
  <si>
    <t>Panama</t>
  </si>
  <si>
    <t>Autres Amérique</t>
  </si>
  <si>
    <t>Autres Pays</t>
  </si>
  <si>
    <t>TABLEAU 5.8 : Exportations Mauritaniennes par type de produit en million MRU</t>
  </si>
  <si>
    <t>Total exportations</t>
  </si>
  <si>
    <t>Minerais de fer</t>
  </si>
  <si>
    <t>Minerais de cuivre</t>
  </si>
  <si>
    <t>Or</t>
  </si>
  <si>
    <t>Poissons frais ou congélés</t>
  </si>
  <si>
    <t>Farine de poissons</t>
  </si>
  <si>
    <t>Huiles de poissons</t>
  </si>
  <si>
    <t>Poissons salés, séchés ou fumés</t>
  </si>
  <si>
    <t>Autres Produits exportés</t>
  </si>
  <si>
    <t xml:space="preserve">TABLEAU 5.10 : Exportations des produits de la pêche par type de congélation </t>
  </si>
  <si>
    <r>
      <t xml:space="preserve">Source : </t>
    </r>
    <r>
      <rPr>
        <b/>
        <i/>
        <sz val="10"/>
        <rFont val="Sakkal Majalla"/>
      </rPr>
      <t>Société Mauritanienne de Commercialisation de Poissons (SMCP)</t>
    </r>
  </si>
  <si>
    <t>Congélation à bord</t>
  </si>
  <si>
    <t xml:space="preserve">Tonnes </t>
  </si>
  <si>
    <t>16 722</t>
  </si>
  <si>
    <t>Milliers de $US</t>
  </si>
  <si>
    <t>Congélation à terre</t>
  </si>
  <si>
    <t>Ensemble</t>
  </si>
  <si>
    <t>TABLEAU 5.11 : Exportations annuelles de la SMCP par espèces en quantité et en valeur</t>
  </si>
  <si>
    <r>
      <t xml:space="preserve">Source : </t>
    </r>
    <r>
      <rPr>
        <b/>
        <i/>
        <sz val="18"/>
        <rFont val="Sakkal Majalla"/>
      </rPr>
      <t>Société Mauritanienne de Commercialisation de Poissons (SMCP)</t>
    </r>
  </si>
  <si>
    <t>Unité : tonnes</t>
  </si>
  <si>
    <t>Total</t>
  </si>
  <si>
    <t>Démersaux</t>
  </si>
  <si>
    <t>Pélagiques</t>
  </si>
  <si>
    <t>Crustacés</t>
  </si>
  <si>
    <t>Molusques</t>
  </si>
  <si>
    <t>Poutargue</t>
  </si>
  <si>
    <t>Cépholopodes</t>
  </si>
  <si>
    <t>Poulpes</t>
  </si>
  <si>
    <t>Seiches</t>
  </si>
  <si>
    <t>Calamar</t>
  </si>
  <si>
    <r>
      <t xml:space="preserve">Unité : </t>
    </r>
    <r>
      <rPr>
        <i/>
        <sz val="18"/>
        <rFont val="Sakkal Majalla"/>
      </rPr>
      <t>milliers $ E.U.</t>
    </r>
  </si>
  <si>
    <t>TABLEAU 5.12 : Exportations annuelles de la SMCP selon le marché de destination</t>
  </si>
  <si>
    <t>Unité : Tonnes</t>
  </si>
  <si>
    <t>Proportion</t>
  </si>
  <si>
    <t>8,7%</t>
  </si>
  <si>
    <t>54,14%</t>
  </si>
  <si>
    <r>
      <t xml:space="preserve">Unité : </t>
    </r>
    <r>
      <rPr>
        <i/>
        <sz val="18"/>
        <rFont val="Sakkal Majalla"/>
      </rPr>
      <t>Milliers $ E.U.</t>
    </r>
  </si>
  <si>
    <t>23,7%</t>
  </si>
  <si>
    <t>8,25%</t>
  </si>
  <si>
    <t>Sept.</t>
  </si>
  <si>
    <t>Nov.</t>
  </si>
  <si>
    <t>Déc.</t>
  </si>
  <si>
    <t>En milliers de tonnes</t>
  </si>
  <si>
    <t>En millions ouguiya</t>
  </si>
  <si>
    <t>En millions $</t>
  </si>
  <si>
    <r>
      <t xml:space="preserve">Source : </t>
    </r>
    <r>
      <rPr>
        <b/>
        <i/>
        <sz val="10"/>
        <rFont val="Sakkal Majalla"/>
      </rPr>
      <t>Société Nationale Industrielle et Minière (SNIM)</t>
    </r>
  </si>
  <si>
    <t>Septemb</t>
  </si>
  <si>
    <t>Novemb</t>
  </si>
  <si>
    <t>Décemb</t>
  </si>
  <si>
    <t>JAPON</t>
  </si>
  <si>
    <t>EUROPE</t>
  </si>
  <si>
    <t>AFRIQUE</t>
  </si>
  <si>
    <r>
      <t xml:space="preserve">Unités : </t>
    </r>
    <r>
      <rPr>
        <b/>
        <i/>
        <sz val="12"/>
        <color indexed="57"/>
        <rFont val="Times New Roman"/>
        <family val="1"/>
      </rPr>
      <t>Milliers $ E.U.</t>
    </r>
  </si>
  <si>
    <r>
      <t xml:space="preserve">Source : </t>
    </r>
    <r>
      <rPr>
        <b/>
        <i/>
        <sz val="14"/>
        <rFont val="Sakkal Majalla"/>
      </rPr>
      <t>Société Mauritanienne de Commercialisation de Poissons (SMCP)</t>
    </r>
  </si>
  <si>
    <r>
      <t xml:space="preserve">Source : </t>
    </r>
    <r>
      <rPr>
        <b/>
        <i/>
        <sz val="10"/>
        <rFont val="Sakkal Majalla"/>
      </rPr>
      <t xml:space="preserve">BCM </t>
    </r>
  </si>
  <si>
    <t>Taux de change du dollar E.U. "$" en ouguiya</t>
  </si>
  <si>
    <t>Taux de change de l'Euro "€" en ouguiya</t>
  </si>
  <si>
    <t>Balance commerciale</t>
  </si>
  <si>
    <t>Exportations</t>
  </si>
  <si>
    <t>Importations</t>
  </si>
  <si>
    <t>Services et revenus (nets)</t>
  </si>
  <si>
    <t xml:space="preserve">  Services nets</t>
  </si>
  <si>
    <t xml:space="preserve">  Revenus nets</t>
  </si>
  <si>
    <t xml:space="preserve">      dont: Intérêts sur la dette officielle</t>
  </si>
  <si>
    <t>Transferts courants</t>
  </si>
  <si>
    <t xml:space="preserve">    Transfert prives (net)</t>
  </si>
  <si>
    <t xml:space="preserve">    Transfert officiels</t>
  </si>
  <si>
    <t>Solde des transactions courantes</t>
  </si>
  <si>
    <t>Compte de capital</t>
  </si>
  <si>
    <t>Compte financier</t>
  </si>
  <si>
    <t xml:space="preserve">Investissements directs nets </t>
  </si>
  <si>
    <t>Dont : prospection pétrolières (net)</t>
  </si>
  <si>
    <t>Prêts officiels à moyen et long termes</t>
  </si>
  <si>
    <t>Autres transactions privées en capital</t>
  </si>
  <si>
    <t>Compte de capital et d'opération financières</t>
  </si>
  <si>
    <t>Erreurs et omissions</t>
  </si>
  <si>
    <t>Balance globale</t>
  </si>
  <si>
    <t>Financement</t>
  </si>
  <si>
    <t xml:space="preserve">   Actifs extérieurs net</t>
  </si>
  <si>
    <t xml:space="preserve">      BCM</t>
  </si>
  <si>
    <t xml:space="preserve">         Avoirs</t>
  </si>
  <si>
    <t xml:space="preserve">         Engagements </t>
  </si>
  <si>
    <t xml:space="preserve">      Banques commerciales (net)</t>
  </si>
  <si>
    <t xml:space="preserve">      Compte pétrolier</t>
  </si>
  <si>
    <t xml:space="preserve">   Financements exceptionnel</t>
  </si>
  <si>
    <t>TABLEAU 5.21 : Exportations mensuelles de la smcp par especes</t>
  </si>
  <si>
    <t>TABLEAU 5.21 : Exportations mensuelles de la smcp par especes en tonne</t>
  </si>
  <si>
    <t>desc_fr</t>
  </si>
  <si>
    <t>TABLEAU 5.22 : Exportations mensuelles de la smcp par especes</t>
  </si>
  <si>
    <t>TABLEAU 5.20 : Exportations mensuelles de la smcp selon le marché de destination en tonne</t>
  </si>
  <si>
    <t>TABLEAU 5.20 : Exportations mensuelles de la smcp selon le marché de destination en 1000$ E.U.</t>
  </si>
  <si>
    <t>TABLEAU 5.21 : Exportations mensuelles de la smcp selon le marché de destination en 1000$ E.U.</t>
  </si>
  <si>
    <t>TABLEAU 5.16 : Evolution des exportations mensuelles de minerai de fer</t>
  </si>
  <si>
    <t xml:space="preserve">TABLEAU 5.17 : Evolution de la balance des paiements </t>
  </si>
  <si>
    <t>TABLEAU 5.9 : Exportations de la mauritanie selon la destination en million MRU</t>
  </si>
  <si>
    <t>Emirats arabes unis</t>
  </si>
  <si>
    <t>2021</t>
  </si>
  <si>
    <t>2022</t>
  </si>
  <si>
    <t>2023</t>
  </si>
  <si>
    <t>total exportations</t>
  </si>
  <si>
    <t>105 260,99</t>
  </si>
  <si>
    <t>116 977,58</t>
  </si>
  <si>
    <t>137 576,64</t>
  </si>
  <si>
    <t>144 544,10</t>
  </si>
  <si>
    <t>169 681,09</t>
  </si>
  <si>
    <t>8 349,66</t>
  </si>
  <si>
    <t>8 226,83</t>
  </si>
  <si>
    <t>17 226,60</t>
  </si>
  <si>
    <t>22 427,00</t>
  </si>
  <si>
    <t>23 943,64</t>
  </si>
  <si>
    <t>5 844,53</t>
  </si>
  <si>
    <t>12 083,00</t>
  </si>
  <si>
    <t>6 240,03</t>
  </si>
  <si>
    <t>5 713,43</t>
  </si>
  <si>
    <t>11 933,99</t>
  </si>
  <si>
    <t>6 013,36</t>
  </si>
  <si>
    <t>6 979,04</t>
  </si>
  <si>
    <t>7 303,37</t>
  </si>
  <si>
    <t>9 848,73</t>
  </si>
  <si>
    <t>7 077,63</t>
  </si>
  <si>
    <t>12 769,02</t>
  </si>
  <si>
    <t>1 181,24</t>
  </si>
  <si>
    <t>Côte d'Ivoire</t>
  </si>
  <si>
    <t>2 700,39</t>
  </si>
  <si>
    <t>3 773,49</t>
  </si>
  <si>
    <t>5 076,91</t>
  </si>
  <si>
    <t>2 529,10</t>
  </si>
  <si>
    <t>3 834,20</t>
  </si>
  <si>
    <t>Ghana</t>
  </si>
  <si>
    <t>1 052,23</t>
  </si>
  <si>
    <t>1 286,20</t>
  </si>
  <si>
    <t>Guinée</t>
  </si>
  <si>
    <t>Nigéria</t>
  </si>
  <si>
    <t>1 240,20</t>
  </si>
  <si>
    <t>2 658,32</t>
  </si>
  <si>
    <t>1 742,66</t>
  </si>
  <si>
    <t>1 849,24</t>
  </si>
  <si>
    <t>2 159,45</t>
  </si>
  <si>
    <t>2 632,35</t>
  </si>
  <si>
    <t>1 198,57</t>
  </si>
  <si>
    <t>1 533,33</t>
  </si>
  <si>
    <t>3 266,38</t>
  </si>
  <si>
    <t>4 934,60</t>
  </si>
  <si>
    <t>43 974,86</t>
  </si>
  <si>
    <t>61 868,43</t>
  </si>
  <si>
    <t>43 689,52</t>
  </si>
  <si>
    <t>44 265,93</t>
  </si>
  <si>
    <t>53 615,84</t>
  </si>
  <si>
    <t>4 548,21</t>
  </si>
  <si>
    <t>8 060,46</t>
  </si>
  <si>
    <t>6 709,83</t>
  </si>
  <si>
    <t>5 127,36</t>
  </si>
  <si>
    <t>3 960,93</t>
  </si>
  <si>
    <t>35 693,83</t>
  </si>
  <si>
    <t>48 519,07</t>
  </si>
  <si>
    <t>31 737,61</t>
  </si>
  <si>
    <t>33 629,67</t>
  </si>
  <si>
    <t>44 400,62</t>
  </si>
  <si>
    <t>2 762,98</t>
  </si>
  <si>
    <t>4 309,23</t>
  </si>
  <si>
    <t>3 329,00</t>
  </si>
  <si>
    <t>3 821,57</t>
  </si>
  <si>
    <t>2 924,76</t>
  </si>
  <si>
    <t xml:space="preserve">Corée République </t>
  </si>
  <si>
    <t>1 321,80</t>
  </si>
  <si>
    <t>TaïwanProvince de Chine</t>
  </si>
  <si>
    <t>8 357,75</t>
  </si>
  <si>
    <t>7 179,07</t>
  </si>
  <si>
    <t>5 998,07</t>
  </si>
  <si>
    <t>8 327,23</t>
  </si>
  <si>
    <t>7 176,15</t>
  </si>
  <si>
    <t>5 971,91</t>
  </si>
  <si>
    <t xml:space="preserve">Autres </t>
  </si>
  <si>
    <t>42 007,88</t>
  </si>
  <si>
    <t>34 860,06</t>
  </si>
  <si>
    <t>41 517,65</t>
  </si>
  <si>
    <t>35 031,49</t>
  </si>
  <si>
    <t>41 684,41</t>
  </si>
  <si>
    <t>Union Euroépenne</t>
  </si>
  <si>
    <t>19 294,78</t>
  </si>
  <si>
    <t>31 611,75</t>
  </si>
  <si>
    <t>29 254,04</t>
  </si>
  <si>
    <t>22 423,70</t>
  </si>
  <si>
    <t>25 534,39</t>
  </si>
  <si>
    <t>6 914,55</t>
  </si>
  <si>
    <t>11 147,55</t>
  </si>
  <si>
    <t>15 143,62</t>
  </si>
  <si>
    <t>8 954,32</t>
  </si>
  <si>
    <t>13 194,22</t>
  </si>
  <si>
    <t>1 619,86</t>
  </si>
  <si>
    <t>1 764,68</t>
  </si>
  <si>
    <t>2 925,08</t>
  </si>
  <si>
    <t>2 519,24</t>
  </si>
  <si>
    <t>1 819,87</t>
  </si>
  <si>
    <t>3 048,41</t>
  </si>
  <si>
    <t>3 334,35</t>
  </si>
  <si>
    <t>3 633,46</t>
  </si>
  <si>
    <t>1 430,94</t>
  </si>
  <si>
    <t>1 230,77</t>
  </si>
  <si>
    <t>3 008,04</t>
  </si>
  <si>
    <t>1 127,27</t>
  </si>
  <si>
    <t>Grèce</t>
  </si>
  <si>
    <t>4 787,47</t>
  </si>
  <si>
    <t>12 526,38</t>
  </si>
  <si>
    <t>6 952,03</t>
  </si>
  <si>
    <t>5 513,68</t>
  </si>
  <si>
    <t>5 591,81</t>
  </si>
  <si>
    <t>Suède</t>
  </si>
  <si>
    <t>Autres UE</t>
  </si>
  <si>
    <t>Royaume-Uni</t>
  </si>
  <si>
    <t>1 151,23</t>
  </si>
  <si>
    <t>Norvège</t>
  </si>
  <si>
    <t>Ukraine</t>
  </si>
  <si>
    <t>17 981,47</t>
  </si>
  <si>
    <t>9 841,74</t>
  </si>
  <si>
    <t>10 748,00</t>
  </si>
  <si>
    <t>14 688,89</t>
  </si>
  <si>
    <t>RussieFédération de</t>
  </si>
  <si>
    <t>3 575,44</t>
  </si>
  <si>
    <t>1 826,83</t>
  </si>
  <si>
    <t>10 738,68</t>
  </si>
  <si>
    <t>12 006,53</t>
  </si>
  <si>
    <t>26 784,96</t>
  </si>
  <si>
    <t>35 640,01</t>
  </si>
  <si>
    <t>44 438,32</t>
  </si>
  <si>
    <t>10 523,96</t>
  </si>
  <si>
    <t>11 568,37</t>
  </si>
  <si>
    <t>26 118,67</t>
  </si>
  <si>
    <t>34 477,35</t>
  </si>
  <si>
    <t>44 339,05</t>
  </si>
  <si>
    <t>1 013,62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</si>
</sst>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_ ;\-#,##0.0\ "/>
    <numFmt numFmtId="169" formatCode="_-* #,##0.00\ _€_-;\-* #,##0.00\ _€_-;_-* &quot;-&quot;??\ _€_-;_-@_-"/>
    <numFmt numFmtId="170" formatCode="General_)"/>
    <numFmt numFmtId="171" formatCode="_-* #,##0\ _F_-;\-* #,##0\ _F_-;_-* &quot;-&quot;\ _F_-;_-@_-"/>
    <numFmt numFmtId="172" formatCode="0.0%"/>
    <numFmt numFmtId="173" formatCode="#,##0.0"/>
    <numFmt numFmtId="174" formatCode="_-* #,##0.00\ _U_M_-;\-* #,##0.00\ _U_M_-;_-* &quot;-&quot;??\ _U_M_-;_-@_-"/>
    <numFmt numFmtId="175" formatCode="0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4"/>
      <color theme="1"/>
      <name val="Sakkal Majalla"/>
    </font>
    <font>
      <sz val="18"/>
      <color theme="1"/>
      <name val="Sakkal Majalla"/>
    </font>
    <font>
      <sz val="18"/>
      <color theme="0"/>
      <name val="Sakkal Majalla"/>
    </font>
    <font>
      <b/>
      <sz val="18"/>
      <color theme="0"/>
      <name val="Sakkal Majalla"/>
    </font>
    <font>
      <sz val="10"/>
      <name val="Arial"/>
      <family val="2"/>
    </font>
    <font>
      <b/>
      <sz val="18"/>
      <name val="Sakkal Majalla"/>
    </font>
    <font>
      <sz val="10"/>
      <name val="MS Sans Serif"/>
      <family val="2"/>
    </font>
    <font>
      <b/>
      <sz val="18"/>
      <name val="Arabic Typesetting"/>
      <family val="4"/>
    </font>
    <font>
      <b/>
      <sz val="10"/>
      <name val="Sakkal Majalla"/>
    </font>
    <font>
      <b/>
      <i/>
      <sz val="10"/>
      <name val="Sakkal Majalla"/>
    </font>
    <font>
      <b/>
      <sz val="10"/>
      <name val="Arabic Typesetting"/>
      <family val="4"/>
    </font>
    <font>
      <b/>
      <i/>
      <sz val="10"/>
      <name val="Arabic Typesetting"/>
      <family val="4"/>
    </font>
    <font>
      <sz val="18"/>
      <name val="Sakkal Majalla"/>
    </font>
    <font>
      <sz val="18"/>
      <color theme="1"/>
      <name val="Arabic Typesetting"/>
      <family val="4"/>
    </font>
    <font>
      <b/>
      <sz val="18"/>
      <color theme="1"/>
      <name val="Sakkal Majalla"/>
    </font>
    <font>
      <sz val="18"/>
      <name val="Arabic Typesetting"/>
      <family val="4"/>
    </font>
    <font>
      <sz val="18"/>
      <color rgb="FF000000"/>
      <name val="Sakkal Majalla"/>
    </font>
    <font>
      <b/>
      <i/>
      <sz val="18"/>
      <name val="Sakkal Majalla"/>
    </font>
    <font>
      <sz val="11"/>
      <color rgb="FF000000"/>
      <name val="Sakkal Majalla"/>
    </font>
    <font>
      <sz val="10"/>
      <name val="Courier"/>
      <family val="3"/>
    </font>
    <font>
      <b/>
      <sz val="11"/>
      <name val="Times New Roman"/>
      <family val="1"/>
    </font>
    <font>
      <i/>
      <sz val="18"/>
      <name val="Sakkal Majalla"/>
    </font>
    <font>
      <b/>
      <sz val="20"/>
      <color theme="2"/>
      <name val="Sakkal Majalla"/>
    </font>
    <font>
      <b/>
      <sz val="18"/>
      <color theme="2"/>
      <name val="Sakkal Majalla"/>
    </font>
    <font>
      <b/>
      <sz val="12"/>
      <name val="Times New Roman"/>
      <family val="1"/>
    </font>
    <font>
      <b/>
      <i/>
      <sz val="12"/>
      <color indexed="57"/>
      <name val="Times New Roman"/>
      <family val="1"/>
    </font>
    <font>
      <b/>
      <sz val="14"/>
      <name val="Sakkal Majalla"/>
    </font>
    <font>
      <b/>
      <i/>
      <sz val="14"/>
      <name val="Sakkal Majalla"/>
    </font>
    <font>
      <sz val="14"/>
      <name val="Sakkal Majalla"/>
    </font>
    <font>
      <sz val="14"/>
      <name val="Arabic Typesetting"/>
      <family val="4"/>
    </font>
    <font>
      <sz val="8"/>
      <name val="Arial Narrow"/>
      <family val="2"/>
    </font>
    <font>
      <sz val="12"/>
      <name val="Courier"/>
      <family val="3"/>
    </font>
    <font>
      <sz val="18"/>
      <color rgb="FFFF0000"/>
      <name val="Sakkal Majalla"/>
    </font>
    <font>
      <b/>
      <sz val="16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7" fillId="0" borderId="0"/>
    <xf numFmtId="171" fontId="22" fillId="0" borderId="0"/>
    <xf numFmtId="0" fontId="7" fillId="0" borderId="0"/>
    <xf numFmtId="0" fontId="7" fillId="0" borderId="0"/>
    <xf numFmtId="0" fontId="7" fillId="0" borderId="0"/>
    <xf numFmtId="174" fontId="34" fillId="0" borderId="0"/>
    <xf numFmtId="40" fontId="9" fillId="0" borderId="0" applyFont="0" applyFill="0" applyBorder="0" applyAlignment="0" applyProtection="0"/>
    <xf numFmtId="0" fontId="7" fillId="0" borderId="0"/>
    <xf numFmtId="0" fontId="33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5" fillId="2" borderId="0" xfId="2" applyFont="1" applyFill="1"/>
    <xf numFmtId="0" fontId="6" fillId="2" borderId="6" xfId="2" applyFont="1" applyFill="1" applyBorder="1" applyAlignment="1">
      <alignment horizontal="center" vertical="top"/>
    </xf>
    <xf numFmtId="0" fontId="6" fillId="2" borderId="7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8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8" fillId="0" borderId="1" xfId="2" applyFont="1" applyBorder="1"/>
    <xf numFmtId="0" fontId="10" fillId="0" borderId="9" xfId="2" applyFont="1" applyBorder="1" applyAlignment="1">
      <alignment vertical="top"/>
    </xf>
    <xf numFmtId="164" fontId="15" fillId="0" borderId="1" xfId="2" applyNumberFormat="1" applyFont="1" applyBorder="1"/>
    <xf numFmtId="164" fontId="4" fillId="0" borderId="1" xfId="5" applyNumberFormat="1" applyFont="1" applyFill="1" applyBorder="1" applyAlignment="1">
      <alignment vertical="top"/>
    </xf>
    <xf numFmtId="0" fontId="8" fillId="0" borderId="1" xfId="2" applyFont="1" applyBorder="1" applyAlignment="1">
      <alignment vertical="top"/>
    </xf>
    <xf numFmtId="164" fontId="15" fillId="0" borderId="1" xfId="2" applyNumberFormat="1" applyFont="1" applyBorder="1" applyAlignment="1">
      <alignment vertical="top"/>
    </xf>
    <xf numFmtId="164" fontId="4" fillId="0" borderId="10" xfId="5" applyNumberFormat="1" applyFont="1" applyFill="1" applyBorder="1" applyAlignment="1">
      <alignment vertical="top"/>
    </xf>
    <xf numFmtId="0" fontId="13" fillId="0" borderId="0" xfId="4" applyFont="1" applyAlignment="1">
      <alignment horizontal="right" vertical="center"/>
    </xf>
    <xf numFmtId="0" fontId="4" fillId="0" borderId="0" xfId="2" applyFont="1"/>
    <xf numFmtId="0" fontId="8" fillId="0" borderId="8" xfId="4" applyFont="1" applyBorder="1" applyAlignment="1">
      <alignment horizontal="right" vertical="center"/>
    </xf>
    <xf numFmtId="0" fontId="4" fillId="0" borderId="8" xfId="2" applyFont="1" applyBorder="1"/>
    <xf numFmtId="0" fontId="6" fillId="2" borderId="1" xfId="2" applyFont="1" applyFill="1" applyBorder="1"/>
    <xf numFmtId="0" fontId="8" fillId="0" borderId="0" xfId="4" applyFont="1" applyAlignment="1">
      <alignment vertical="center"/>
    </xf>
    <xf numFmtId="0" fontId="17" fillId="0" borderId="1" xfId="2" applyFont="1" applyBorder="1" applyAlignment="1">
      <alignment horizontal="left"/>
    </xf>
    <xf numFmtId="0" fontId="10" fillId="0" borderId="1" xfId="2" applyFont="1" applyBorder="1" applyAlignment="1">
      <alignment vertical="center"/>
    </xf>
    <xf numFmtId="164" fontId="17" fillId="0" borderId="1" xfId="2" applyNumberFormat="1" applyFont="1" applyBorder="1" applyAlignment="1">
      <alignment horizontal="right" vertical="center"/>
    </xf>
    <xf numFmtId="165" fontId="17" fillId="0" borderId="1" xfId="5" applyNumberFormat="1" applyFont="1" applyBorder="1" applyAlignment="1">
      <alignment horizontal="right" vertical="center"/>
    </xf>
    <xf numFmtId="164" fontId="4" fillId="0" borderId="1" xfId="2" applyNumberFormat="1" applyFont="1" applyBorder="1" applyAlignment="1">
      <alignment horizontal="right" vertical="center"/>
    </xf>
    <xf numFmtId="165" fontId="4" fillId="0" borderId="1" xfId="5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165" fontId="4" fillId="0" borderId="11" xfId="5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/>
    </xf>
    <xf numFmtId="165" fontId="17" fillId="0" borderId="8" xfId="5" applyNumberFormat="1" applyFont="1" applyFill="1" applyBorder="1" applyAlignment="1">
      <alignment vertical="center"/>
    </xf>
    <xf numFmtId="165" fontId="17" fillId="0" borderId="0" xfId="5" applyNumberFormat="1" applyFont="1" applyFill="1" applyBorder="1" applyAlignment="1">
      <alignment vertical="center"/>
    </xf>
    <xf numFmtId="0" fontId="17" fillId="0" borderId="1" xfId="0" applyFont="1" applyBorder="1"/>
    <xf numFmtId="166" fontId="17" fillId="0" borderId="1" xfId="6" applyNumberFormat="1" applyFont="1" applyBorder="1"/>
    <xf numFmtId="165" fontId="4" fillId="0" borderId="1" xfId="5" applyNumberFormat="1" applyFont="1" applyBorder="1"/>
    <xf numFmtId="0" fontId="4" fillId="0" borderId="1" xfId="0" applyFont="1" applyBorder="1" applyAlignment="1">
      <alignment horizontal="left" indent="3"/>
    </xf>
    <xf numFmtId="0" fontId="8" fillId="0" borderId="0" xfId="7" applyFont="1" applyAlignment="1">
      <alignment vertical="center"/>
    </xf>
    <xf numFmtId="0" fontId="16" fillId="0" borderId="1" xfId="2" applyFont="1" applyBorder="1"/>
    <xf numFmtId="165" fontId="4" fillId="0" borderId="1" xfId="2" applyNumberFormat="1" applyFont="1" applyBorder="1"/>
    <xf numFmtId="164" fontId="17" fillId="0" borderId="1" xfId="5" applyNumberFormat="1" applyFont="1" applyBorder="1" applyAlignment="1">
      <alignment horizontal="right"/>
    </xf>
    <xf numFmtId="164" fontId="17" fillId="0" borderId="0" xfId="5" applyNumberFormat="1" applyFont="1" applyBorder="1" applyAlignment="1">
      <alignment horizontal="right"/>
    </xf>
    <xf numFmtId="164" fontId="17" fillId="0" borderId="0" xfId="0" applyNumberFormat="1" applyFont="1" applyAlignment="1">
      <alignment horizontal="right"/>
    </xf>
    <xf numFmtId="0" fontId="21" fillId="0" borderId="1" xfId="0" applyFont="1" applyBorder="1" applyAlignment="1">
      <alignment horizontal="left" vertical="center"/>
    </xf>
    <xf numFmtId="0" fontId="16" fillId="0" borderId="1" xfId="2" applyFont="1" applyBorder="1" applyAlignment="1">
      <alignment horizontal="right" vertical="top"/>
    </xf>
    <xf numFmtId="0" fontId="15" fillId="0" borderId="1" xfId="3" applyFont="1" applyBorder="1" applyAlignment="1">
      <alignment horizontal="left" vertical="center"/>
    </xf>
    <xf numFmtId="165" fontId="17" fillId="0" borderId="8" xfId="5" applyNumberFormat="1" applyFont="1" applyBorder="1"/>
    <xf numFmtId="165" fontId="17" fillId="0" borderId="0" xfId="5" applyNumberFormat="1" applyFont="1" applyBorder="1"/>
    <xf numFmtId="0" fontId="8" fillId="0" borderId="0" xfId="3" applyFont="1"/>
    <xf numFmtId="167" fontId="4" fillId="0" borderId="1" xfId="5" applyNumberFormat="1" applyFont="1" applyBorder="1"/>
    <xf numFmtId="0" fontId="15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horizontal="left"/>
    </xf>
    <xf numFmtId="167" fontId="4" fillId="0" borderId="1" xfId="2" applyNumberFormat="1" applyFont="1" applyBorder="1"/>
    <xf numFmtId="0" fontId="4" fillId="0" borderId="0" xfId="2" applyFont="1" applyAlignment="1">
      <alignment horizontal="left" indent="1"/>
    </xf>
    <xf numFmtId="0" fontId="16" fillId="0" borderId="0" xfId="2" applyFont="1" applyAlignment="1">
      <alignment horizontal="right" vertical="top" indent="1"/>
    </xf>
    <xf numFmtId="169" fontId="4" fillId="0" borderId="0" xfId="2" applyNumberFormat="1" applyFont="1"/>
    <xf numFmtId="165" fontId="4" fillId="0" borderId="0" xfId="5" applyNumberFormat="1" applyFont="1" applyBorder="1"/>
    <xf numFmtId="170" fontId="8" fillId="0" borderId="0" xfId="9" applyNumberFormat="1" applyFont="1" applyAlignment="1">
      <alignment horizontal="left" vertical="center"/>
    </xf>
    <xf numFmtId="0" fontId="11" fillId="0" borderId="0" xfId="10" applyFont="1" applyAlignment="1">
      <alignment horizontal="left" vertical="center"/>
    </xf>
    <xf numFmtId="1" fontId="10" fillId="0" borderId="0" xfId="9" applyNumberFormat="1" applyFont="1" applyAlignment="1">
      <alignment horizontal="right" vertical="center"/>
    </xf>
    <xf numFmtId="170" fontId="15" fillId="0" borderId="1" xfId="9" applyNumberFormat="1" applyFont="1" applyBorder="1" applyAlignment="1">
      <alignment horizontal="left" vertical="center"/>
    </xf>
    <xf numFmtId="0" fontId="15" fillId="0" borderId="1" xfId="9" applyFont="1" applyBorder="1" applyAlignment="1">
      <alignment horizontal="right"/>
    </xf>
    <xf numFmtId="3" fontId="15" fillId="0" borderId="1" xfId="9" applyNumberFormat="1" applyFont="1" applyBorder="1" applyAlignment="1">
      <alignment horizontal="right" vertical="center"/>
    </xf>
    <xf numFmtId="170" fontId="15" fillId="0" borderId="1" xfId="11" applyNumberFormat="1" applyFont="1" applyBorder="1" applyAlignment="1">
      <alignment horizontal="left" vertical="center"/>
    </xf>
    <xf numFmtId="170" fontId="15" fillId="0" borderId="1" xfId="11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170" fontId="15" fillId="0" borderId="1" xfId="9" applyNumberFormat="1" applyFont="1" applyBorder="1" applyAlignment="1">
      <alignment horizontal="right" vertical="center"/>
    </xf>
    <xf numFmtId="3" fontId="15" fillId="0" borderId="1" xfId="9" applyNumberFormat="1" applyFont="1" applyBorder="1" applyAlignment="1">
      <alignment horizontal="right"/>
    </xf>
    <xf numFmtId="0" fontId="15" fillId="0" borderId="0" xfId="9" applyFont="1" applyAlignment="1">
      <alignment horizontal="right"/>
    </xf>
    <xf numFmtId="0" fontId="23" fillId="0" borderId="0" xfId="10" applyFont="1" applyAlignment="1">
      <alignment vertical="center"/>
    </xf>
    <xf numFmtId="0" fontId="8" fillId="0" borderId="0" xfId="10" applyFont="1" applyAlignment="1">
      <alignment horizontal="left" vertical="center"/>
    </xf>
    <xf numFmtId="0" fontId="15" fillId="0" borderId="12" xfId="10" applyFont="1" applyBorder="1" applyAlignment="1">
      <alignment horizontal="left"/>
    </xf>
    <xf numFmtId="1" fontId="18" fillId="0" borderId="13" xfId="9" applyNumberFormat="1" applyFont="1" applyBorder="1" applyAlignment="1">
      <alignment horizontal="left"/>
    </xf>
    <xf numFmtId="0" fontId="15" fillId="0" borderId="13" xfId="10" applyFont="1" applyBorder="1" applyAlignment="1">
      <alignment horizontal="left" indent="2"/>
    </xf>
    <xf numFmtId="3" fontId="15" fillId="0" borderId="14" xfId="10" applyNumberFormat="1" applyFont="1" applyBorder="1" applyAlignment="1">
      <alignment horizontal="center"/>
    </xf>
    <xf numFmtId="3" fontId="15" fillId="0" borderId="1" xfId="10" applyNumberFormat="1" applyFont="1" applyBorder="1" applyAlignment="1">
      <alignment horizontal="right" vertical="justify"/>
    </xf>
    <xf numFmtId="0" fontId="15" fillId="0" borderId="1" xfId="10" applyFont="1" applyBorder="1" applyAlignment="1">
      <alignment horizontal="left" vertical="center"/>
    </xf>
    <xf numFmtId="3" fontId="15" fillId="0" borderId="1" xfId="10" applyNumberFormat="1" applyFont="1" applyBorder="1" applyAlignment="1">
      <alignment vertical="justify"/>
    </xf>
    <xf numFmtId="0" fontId="15" fillId="0" borderId="1" xfId="10" applyFont="1" applyBorder="1" applyAlignment="1">
      <alignment horizontal="left" vertical="center" indent="1"/>
    </xf>
    <xf numFmtId="164" fontId="15" fillId="0" borderId="1" xfId="10" applyNumberFormat="1" applyFont="1" applyBorder="1" applyAlignment="1">
      <alignment horizontal="left" vertical="center"/>
    </xf>
    <xf numFmtId="164" fontId="15" fillId="0" borderId="1" xfId="10" applyNumberFormat="1" applyFont="1" applyBorder="1" applyAlignment="1">
      <alignment horizontal="left" vertical="center" indent="1"/>
    </xf>
    <xf numFmtId="0" fontId="15" fillId="0" borderId="1" xfId="10" applyFont="1" applyBorder="1" applyAlignment="1">
      <alignment horizontal="left" vertical="center" indent="2"/>
    </xf>
    <xf numFmtId="3" fontId="15" fillId="0" borderId="1" xfId="10" applyNumberFormat="1" applyFont="1" applyBorder="1" applyAlignment="1">
      <alignment horizontal="right" vertical="center"/>
    </xf>
    <xf numFmtId="3" fontId="15" fillId="0" borderId="1" xfId="10" applyNumberFormat="1" applyFont="1" applyBorder="1" applyAlignment="1">
      <alignment horizontal="right"/>
    </xf>
    <xf numFmtId="0" fontId="15" fillId="0" borderId="1" xfId="10" applyFont="1" applyBorder="1" applyAlignment="1">
      <alignment horizontal="center" vertical="center"/>
    </xf>
    <xf numFmtId="0" fontId="8" fillId="0" borderId="0" xfId="10" applyFont="1" applyAlignment="1">
      <alignment vertical="center"/>
    </xf>
    <xf numFmtId="3" fontId="15" fillId="0" borderId="1" xfId="10" applyNumberFormat="1" applyFont="1" applyBorder="1" applyAlignment="1">
      <alignment horizontal="left" vertical="center"/>
    </xf>
    <xf numFmtId="172" fontId="15" fillId="0" borderId="1" xfId="10" applyNumberFormat="1" applyFont="1" applyBorder="1" applyAlignment="1">
      <alignment horizontal="right"/>
    </xf>
    <xf numFmtId="10" fontId="15" fillId="0" borderId="1" xfId="10" applyNumberFormat="1" applyFont="1" applyBorder="1" applyAlignment="1">
      <alignment horizontal="right"/>
    </xf>
    <xf numFmtId="172" fontId="15" fillId="0" borderId="1" xfId="10" applyNumberFormat="1" applyFont="1" applyBorder="1" applyAlignment="1">
      <alignment vertical="justify"/>
    </xf>
    <xf numFmtId="172" fontId="15" fillId="0" borderId="1" xfId="1" applyNumberFormat="1" applyFont="1" applyBorder="1" applyAlignment="1">
      <alignment horizontal="right" vertical="justify"/>
    </xf>
    <xf numFmtId="9" fontId="15" fillId="0" borderId="1" xfId="1" applyFont="1" applyBorder="1" applyAlignment="1">
      <alignment horizontal="right" vertical="justify"/>
    </xf>
    <xf numFmtId="3" fontId="15" fillId="0" borderId="11" xfId="10" applyNumberFormat="1" applyFont="1" applyBorder="1" applyAlignment="1">
      <alignment horizontal="right" vertical="justify"/>
    </xf>
    <xf numFmtId="0" fontId="15" fillId="0" borderId="1" xfId="10" applyFont="1" applyBorder="1" applyAlignment="1">
      <alignment horizontal="right"/>
    </xf>
    <xf numFmtId="0" fontId="15" fillId="0" borderId="15" xfId="10" applyFont="1" applyBorder="1" applyAlignment="1">
      <alignment horizontal="center" vertical="center"/>
    </xf>
    <xf numFmtId="0" fontId="8" fillId="0" borderId="16" xfId="12" applyFont="1" applyBorder="1" applyAlignment="1">
      <alignment horizontal="left" vertical="center"/>
    </xf>
    <xf numFmtId="173" fontId="15" fillId="0" borderId="17" xfId="12" applyNumberFormat="1" applyFont="1" applyBorder="1" applyAlignment="1">
      <alignment horizontal="right" vertical="center"/>
    </xf>
    <xf numFmtId="173" fontId="18" fillId="0" borderId="17" xfId="12" applyNumberFormat="1" applyFont="1" applyBorder="1" applyAlignment="1">
      <alignment horizontal="right" vertical="center"/>
    </xf>
    <xf numFmtId="173" fontId="8" fillId="0" borderId="19" xfId="12" applyNumberFormat="1" applyFont="1" applyBorder="1" applyAlignment="1">
      <alignment horizontal="right" vertical="center"/>
    </xf>
    <xf numFmtId="0" fontId="15" fillId="0" borderId="18" xfId="12" applyFont="1" applyBorder="1" applyAlignment="1">
      <alignment horizontal="left" vertical="center" indent="1"/>
    </xf>
    <xf numFmtId="173" fontId="15" fillId="0" borderId="11" xfId="12" applyNumberFormat="1" applyFont="1" applyBorder="1" applyAlignment="1">
      <alignment horizontal="right" vertical="center"/>
    </xf>
    <xf numFmtId="173" fontId="18" fillId="0" borderId="11" xfId="12" applyNumberFormat="1" applyFont="1" applyBorder="1" applyAlignment="1">
      <alignment horizontal="right" vertical="center"/>
    </xf>
    <xf numFmtId="173" fontId="8" fillId="0" borderId="20" xfId="12" applyNumberFormat="1" applyFont="1" applyBorder="1" applyAlignment="1">
      <alignment horizontal="right" vertical="center"/>
    </xf>
    <xf numFmtId="0" fontId="8" fillId="0" borderId="18" xfId="12" applyFont="1" applyBorder="1" applyAlignment="1">
      <alignment horizontal="left" vertical="center"/>
    </xf>
    <xf numFmtId="0" fontId="8" fillId="0" borderId="11" xfId="12" applyFont="1" applyBorder="1" applyAlignment="1">
      <alignment horizontal="left" vertical="center"/>
    </xf>
    <xf numFmtId="173" fontId="8" fillId="0" borderId="11" xfId="12" applyNumberFormat="1" applyFont="1" applyBorder="1" applyAlignment="1">
      <alignment horizontal="right" vertical="center"/>
    </xf>
    <xf numFmtId="0" fontId="15" fillId="0" borderId="11" xfId="12" applyFont="1" applyBorder="1" applyAlignment="1">
      <alignment horizontal="left" vertical="center" indent="1"/>
    </xf>
    <xf numFmtId="0" fontId="8" fillId="0" borderId="1" xfId="12" applyFont="1" applyBorder="1" applyAlignment="1">
      <alignment horizontal="left" vertical="center"/>
    </xf>
    <xf numFmtId="173" fontId="15" fillId="0" borderId="1" xfId="12" applyNumberFormat="1" applyFont="1" applyBorder="1" applyAlignment="1">
      <alignment horizontal="right" vertical="center"/>
    </xf>
    <xf numFmtId="173" fontId="18" fillId="0" borderId="1" xfId="12" applyNumberFormat="1" applyFont="1" applyBorder="1" applyAlignment="1">
      <alignment horizontal="right" vertical="center"/>
    </xf>
    <xf numFmtId="173" fontId="8" fillId="0" borderId="1" xfId="12" applyNumberFormat="1" applyFont="1" applyBorder="1" applyAlignment="1">
      <alignment horizontal="right" vertical="center"/>
    </xf>
    <xf numFmtId="0" fontId="15" fillId="0" borderId="1" xfId="12" applyFont="1" applyBorder="1" applyAlignment="1">
      <alignment horizontal="left" vertical="center" indent="1"/>
    </xf>
    <xf numFmtId="0" fontId="15" fillId="0" borderId="1" xfId="12" applyFont="1" applyBorder="1" applyAlignment="1">
      <alignment horizontal="left" indent="2"/>
    </xf>
    <xf numFmtId="173" fontId="15" fillId="0" borderId="1" xfId="12" applyNumberFormat="1" applyFont="1" applyBorder="1" applyAlignment="1">
      <alignment horizontal="center"/>
    </xf>
    <xf numFmtId="164" fontId="15" fillId="0" borderId="1" xfId="12" applyNumberFormat="1" applyFont="1" applyBorder="1" applyAlignment="1">
      <alignment horizontal="center"/>
    </xf>
    <xf numFmtId="164" fontId="18" fillId="0" borderId="1" xfId="12" applyNumberFormat="1" applyFont="1" applyBorder="1" applyAlignment="1">
      <alignment horizontal="center"/>
    </xf>
    <xf numFmtId="1" fontId="8" fillId="0" borderId="1" xfId="12" applyNumberFormat="1" applyFont="1" applyBorder="1" applyAlignment="1">
      <alignment horizontal="center"/>
    </xf>
    <xf numFmtId="0" fontId="15" fillId="0" borderId="0" xfId="12" applyFont="1" applyAlignment="1">
      <alignment horizontal="left" vertical="center" indent="1"/>
    </xf>
    <xf numFmtId="173" fontId="15" fillId="0" borderId="0" xfId="12" applyNumberFormat="1" applyFont="1" applyAlignment="1">
      <alignment horizontal="center"/>
    </xf>
    <xf numFmtId="0" fontId="11" fillId="0" borderId="0" xfId="12" applyFont="1" applyAlignment="1">
      <alignment vertical="center"/>
    </xf>
    <xf numFmtId="0" fontId="15" fillId="0" borderId="0" xfId="12" applyFont="1" applyAlignment="1">
      <alignment vertical="center"/>
    </xf>
    <xf numFmtId="1" fontId="15" fillId="0" borderId="0" xfId="8" applyNumberFormat="1" applyFont="1" applyAlignment="1">
      <alignment vertical="center"/>
    </xf>
    <xf numFmtId="0" fontId="18" fillId="0" borderId="0" xfId="12" applyFont="1" applyAlignment="1">
      <alignment vertical="center"/>
    </xf>
    <xf numFmtId="0" fontId="8" fillId="0" borderId="0" xfId="12" applyFont="1" applyAlignment="1">
      <alignment horizontal="center" vertical="center"/>
    </xf>
    <xf numFmtId="164" fontId="15" fillId="0" borderId="0" xfId="10" applyNumberFormat="1" applyFont="1" applyAlignment="1">
      <alignment horizontal="center"/>
    </xf>
    <xf numFmtId="0" fontId="15" fillId="0" borderId="0" xfId="10" applyFont="1" applyAlignment="1">
      <alignment horizontal="center"/>
    </xf>
    <xf numFmtId="0" fontId="15" fillId="0" borderId="0" xfId="10" applyFont="1"/>
    <xf numFmtId="0" fontId="18" fillId="0" borderId="0" xfId="10" applyFont="1"/>
    <xf numFmtId="0" fontId="8" fillId="0" borderId="0" xfId="10" applyFont="1"/>
    <xf numFmtId="4" fontId="15" fillId="0" borderId="0" xfId="10" applyNumberFormat="1" applyFont="1" applyAlignment="1">
      <alignment horizontal="center"/>
    </xf>
    <xf numFmtId="3" fontId="15" fillId="0" borderId="1" xfId="10" applyNumberFormat="1" applyFont="1" applyBorder="1" applyAlignment="1">
      <alignment vertical="center"/>
    </xf>
    <xf numFmtId="0" fontId="15" fillId="0" borderId="1" xfId="10" applyFont="1" applyBorder="1" applyAlignment="1">
      <alignment horizontal="left"/>
    </xf>
    <xf numFmtId="0" fontId="15" fillId="0" borderId="1" xfId="10" applyFont="1" applyBorder="1" applyAlignment="1">
      <alignment horizontal="center"/>
    </xf>
    <xf numFmtId="0" fontId="15" fillId="0" borderId="1" xfId="10" applyFont="1" applyBorder="1"/>
    <xf numFmtId="3" fontId="15" fillId="0" borderId="1" xfId="10" applyNumberFormat="1" applyFont="1" applyBorder="1"/>
    <xf numFmtId="3" fontId="15" fillId="0" borderId="1" xfId="10" applyNumberFormat="1" applyFont="1" applyBorder="1" applyAlignment="1">
      <alignment horizontal="center"/>
    </xf>
    <xf numFmtId="164" fontId="15" fillId="0" borderId="0" xfId="10" applyNumberFormat="1" applyFont="1" applyAlignment="1">
      <alignment horizontal="left" vertical="center" indent="1"/>
    </xf>
    <xf numFmtId="0" fontId="15" fillId="0" borderId="0" xfId="10" applyFont="1" applyAlignment="1">
      <alignment horizontal="right"/>
    </xf>
    <xf numFmtId="0" fontId="15" fillId="0" borderId="1" xfId="10" applyFont="1" applyBorder="1" applyAlignment="1">
      <alignment vertical="center"/>
    </xf>
    <xf numFmtId="3" fontId="15" fillId="0" borderId="0" xfId="10" applyNumberFormat="1" applyFont="1" applyAlignment="1">
      <alignment horizontal="right"/>
    </xf>
    <xf numFmtId="164" fontId="15" fillId="0" borderId="0" xfId="10" applyNumberFormat="1" applyFont="1" applyAlignment="1">
      <alignment horizontal="center" vertical="center"/>
    </xf>
    <xf numFmtId="0" fontId="15" fillId="0" borderId="0" xfId="10" applyFont="1" applyAlignment="1">
      <alignment horizontal="center" vertical="center"/>
    </xf>
    <xf numFmtId="0" fontId="8" fillId="0" borderId="0" xfId="9" applyFont="1" applyAlignment="1">
      <alignment vertical="center"/>
    </xf>
    <xf numFmtId="0" fontId="10" fillId="0" borderId="0" xfId="9" applyFont="1" applyAlignment="1">
      <alignment vertical="center"/>
    </xf>
    <xf numFmtId="0" fontId="27" fillId="0" borderId="0" xfId="10" applyFont="1" applyAlignment="1">
      <alignment vertical="center"/>
    </xf>
    <xf numFmtId="0" fontId="15" fillId="0" borderId="1" xfId="10" applyFont="1" applyBorder="1" applyAlignment="1">
      <alignment horizontal="left" indent="1"/>
    </xf>
    <xf numFmtId="164" fontId="15" fillId="0" borderId="1" xfId="10" applyNumberFormat="1" applyFont="1" applyBorder="1" applyAlignment="1">
      <alignment horizontal="left" indent="1"/>
    </xf>
    <xf numFmtId="0" fontId="15" fillId="0" borderId="1" xfId="10" applyFont="1" applyBorder="1" applyAlignment="1">
      <alignment horizontal="left" indent="2"/>
    </xf>
    <xf numFmtId="3" fontId="15" fillId="0" borderId="1" xfId="10" applyNumberFormat="1" applyFont="1" applyBorder="1" applyAlignment="1">
      <alignment horizontal="left" indent="2"/>
    </xf>
    <xf numFmtId="0" fontId="25" fillId="2" borderId="6" xfId="0" applyFont="1" applyFill="1" applyBorder="1" applyAlignment="1">
      <alignment vertical="center"/>
    </xf>
    <xf numFmtId="0" fontId="15" fillId="0" borderId="4" xfId="10" applyFont="1" applyBorder="1" applyAlignment="1">
      <alignment horizontal="left"/>
    </xf>
    <xf numFmtId="3" fontId="15" fillId="0" borderId="5" xfId="10" applyNumberFormat="1" applyFont="1" applyBorder="1" applyAlignment="1">
      <alignment horizontal="right"/>
    </xf>
    <xf numFmtId="0" fontId="15" fillId="0" borderId="22" xfId="10" applyFont="1" applyBorder="1" applyAlignment="1">
      <alignment horizontal="left" indent="1"/>
    </xf>
    <xf numFmtId="164" fontId="15" fillId="0" borderId="22" xfId="10" applyNumberFormat="1" applyFont="1" applyBorder="1" applyAlignment="1">
      <alignment horizontal="left" indent="1"/>
    </xf>
    <xf numFmtId="0" fontId="15" fillId="0" borderId="22" xfId="10" applyFont="1" applyBorder="1" applyAlignment="1">
      <alignment horizontal="left" indent="2"/>
    </xf>
    <xf numFmtId="0" fontId="15" fillId="0" borderId="22" xfId="10" applyFont="1" applyBorder="1" applyAlignment="1">
      <alignment horizontal="left"/>
    </xf>
    <xf numFmtId="0" fontId="15" fillId="0" borderId="23" xfId="10" applyFont="1" applyBorder="1" applyAlignment="1">
      <alignment horizontal="left" indent="2"/>
    </xf>
    <xf numFmtId="3" fontId="15" fillId="0" borderId="24" xfId="10" applyNumberFormat="1" applyFont="1" applyBorder="1" applyAlignment="1">
      <alignment horizontal="right"/>
    </xf>
    <xf numFmtId="0" fontId="15" fillId="0" borderId="25" xfId="10" applyFont="1" applyBorder="1" applyAlignment="1">
      <alignment horizontal="left" indent="2"/>
    </xf>
    <xf numFmtId="3" fontId="15" fillId="0" borderId="21" xfId="10" applyNumberFormat="1" applyFont="1" applyBorder="1" applyAlignment="1">
      <alignment horizontal="right"/>
    </xf>
    <xf numFmtId="0" fontId="29" fillId="0" borderId="0" xfId="10" applyFont="1" applyAlignment="1">
      <alignment horizontal="left" vertical="center"/>
    </xf>
    <xf numFmtId="0" fontId="31" fillId="0" borderId="0" xfId="10" applyFont="1" applyAlignment="1">
      <alignment horizontal="center" vertical="justify"/>
    </xf>
    <xf numFmtId="0" fontId="31" fillId="0" borderId="0" xfId="10" applyFont="1" applyAlignment="1">
      <alignment vertical="justify"/>
    </xf>
    <xf numFmtId="0" fontId="32" fillId="0" borderId="0" xfId="10" applyFont="1" applyAlignment="1">
      <alignment vertical="justify"/>
    </xf>
    <xf numFmtId="0" fontId="29" fillId="0" borderId="0" xfId="10" applyFont="1" applyAlignment="1">
      <alignment vertical="justify"/>
    </xf>
    <xf numFmtId="0" fontId="6" fillId="2" borderId="1" xfId="13" applyFont="1" applyFill="1" applyBorder="1" applyAlignment="1">
      <alignment horizontal="center"/>
    </xf>
    <xf numFmtId="0" fontId="11" fillId="0" borderId="0" xfId="14" applyFont="1"/>
    <xf numFmtId="0" fontId="13" fillId="0" borderId="0" xfId="13" applyFont="1"/>
    <xf numFmtId="175" fontId="15" fillId="0" borderId="1" xfId="15" applyNumberFormat="1" applyFont="1" applyBorder="1" applyAlignment="1">
      <alignment horizontal="left"/>
    </xf>
    <xf numFmtId="175" fontId="18" fillId="0" borderId="1" xfId="15" applyNumberFormat="1" applyFont="1" applyBorder="1"/>
    <xf numFmtId="4" fontId="15" fillId="0" borderId="1" xfId="16" applyNumberFormat="1" applyFont="1" applyBorder="1"/>
    <xf numFmtId="4" fontId="15" fillId="0" borderId="1" xfId="16" applyNumberFormat="1" applyFont="1" applyFill="1" applyBorder="1"/>
    <xf numFmtId="0" fontId="4" fillId="0" borderId="1" xfId="0" applyFont="1" applyBorder="1" applyAlignment="1">
      <alignment horizontal="right" vertical="center" wrapText="1"/>
    </xf>
    <xf numFmtId="4" fontId="15" fillId="0" borderId="1" xfId="16" applyNumberFormat="1" applyFont="1" applyBorder="1" applyAlignment="1">
      <alignment horizontal="right"/>
    </xf>
    <xf numFmtId="4" fontId="15" fillId="0" borderId="1" xfId="16" applyNumberFormat="1" applyFont="1" applyFill="1" applyBorder="1" applyAlignment="1">
      <alignment horizontal="right"/>
    </xf>
    <xf numFmtId="175" fontId="8" fillId="0" borderId="1" xfId="15" applyNumberFormat="1" applyFont="1" applyBorder="1"/>
    <xf numFmtId="4" fontId="8" fillId="0" borderId="1" xfId="16" applyNumberFormat="1" applyFont="1" applyBorder="1" applyAlignment="1">
      <alignment horizontal="right"/>
    </xf>
    <xf numFmtId="4" fontId="8" fillId="0" borderId="1" xfId="16" applyNumberFormat="1" applyFont="1" applyFill="1" applyBorder="1" applyAlignment="1">
      <alignment horizontal="right"/>
    </xf>
    <xf numFmtId="4" fontId="17" fillId="0" borderId="1" xfId="0" applyNumberFormat="1" applyFont="1" applyBorder="1" applyAlignment="1">
      <alignment horizontal="right" vertical="center" wrapText="1"/>
    </xf>
    <xf numFmtId="175" fontId="15" fillId="0" borderId="1" xfId="15" applyNumberFormat="1" applyFont="1" applyBorder="1" applyAlignment="1">
      <alignment horizontal="left" indent="1"/>
    </xf>
    <xf numFmtId="4" fontId="4" fillId="0" borderId="1" xfId="0" applyNumberFormat="1" applyFont="1" applyBorder="1" applyAlignment="1">
      <alignment horizontal="right" vertical="center" wrapText="1"/>
    </xf>
    <xf numFmtId="175" fontId="8" fillId="0" borderId="1" xfId="15" applyNumberFormat="1" applyFont="1" applyBorder="1" applyAlignment="1">
      <alignment horizontal="left"/>
    </xf>
    <xf numFmtId="4" fontId="8" fillId="0" borderId="1" xfId="16" applyNumberFormat="1" applyFont="1" applyBorder="1"/>
    <xf numFmtId="4" fontId="8" fillId="0" borderId="1" xfId="16" applyNumberFormat="1" applyFont="1" applyFill="1" applyBorder="1"/>
    <xf numFmtId="0" fontId="15" fillId="0" borderId="1" xfId="17" applyFont="1" applyBorder="1"/>
    <xf numFmtId="175" fontId="8" fillId="0" borderId="1" xfId="15" applyNumberFormat="1" applyFont="1" applyBorder="1" applyAlignment="1">
      <alignment horizontal="left" indent="1"/>
    </xf>
    <xf numFmtId="175" fontId="15" fillId="0" borderId="1" xfId="15" applyNumberFormat="1" applyFont="1" applyBorder="1" applyAlignment="1">
      <alignment horizontal="left" indent="2"/>
    </xf>
    <xf numFmtId="175" fontId="15" fillId="0" borderId="1" xfId="15" applyNumberFormat="1" applyFont="1" applyBorder="1" applyAlignment="1">
      <alignment horizontal="left" indent="3"/>
    </xf>
    <xf numFmtId="4" fontId="15" fillId="0" borderId="11" xfId="16" applyNumberFormat="1" applyFont="1" applyFill="1" applyBorder="1"/>
    <xf numFmtId="4" fontId="8" fillId="0" borderId="1" xfId="16" applyNumberFormat="1" applyFont="1" applyBorder="1" applyAlignment="1">
      <alignment horizontal="right" vertical="center"/>
    </xf>
    <xf numFmtId="4" fontId="8" fillId="0" borderId="1" xfId="16" applyNumberFormat="1" applyFont="1" applyFill="1" applyBorder="1" applyAlignment="1">
      <alignment horizontal="right" vertical="center"/>
    </xf>
    <xf numFmtId="0" fontId="15" fillId="0" borderId="0" xfId="13" applyFont="1" applyAlignment="1">
      <alignment horizontal="right" readingOrder="2"/>
    </xf>
    <xf numFmtId="0" fontId="35" fillId="0" borderId="0" xfId="13" applyFont="1" applyAlignment="1">
      <alignment horizontal="right" readingOrder="2"/>
    </xf>
    <xf numFmtId="0" fontId="25" fillId="2" borderId="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8" fillId="0" borderId="0" xfId="18" applyFont="1" applyAlignment="1">
      <alignment horizontal="left" vertical="center"/>
    </xf>
    <xf numFmtId="0" fontId="27" fillId="0" borderId="0" xfId="7" applyFont="1"/>
    <xf numFmtId="0" fontId="36" fillId="0" borderId="9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left"/>
    </xf>
    <xf numFmtId="0" fontId="36" fillId="0" borderId="10" xfId="0" applyFont="1" applyBorder="1" applyAlignment="1">
      <alignment horizontal="right" vertical="center"/>
    </xf>
    <xf numFmtId="0" fontId="36" fillId="0" borderId="1" xfId="19" applyNumberFormat="1" applyFont="1" applyBorder="1"/>
    <xf numFmtId="0" fontId="36" fillId="0" borderId="1" xfId="19" applyNumberFormat="1" applyFont="1" applyBorder="1" applyAlignment="1">
      <alignment horizontal="right"/>
    </xf>
    <xf numFmtId="164" fontId="36" fillId="0" borderId="9" xfId="0" applyNumberFormat="1" applyFont="1" applyBorder="1" applyAlignment="1">
      <alignment horizontal="right"/>
    </xf>
  </cellXfs>
  <cellStyles count="20">
    <cellStyle name="Milliers" xfId="19" builtinId="3"/>
    <cellStyle name="Milliers 2 3" xfId="5" xr:uid="{E985AACB-E036-418D-B60E-5D4C6E36D1E4}"/>
    <cellStyle name="Milliers 3" xfId="16" xr:uid="{89C22BD4-0C2B-4F46-B136-AE7747924883}"/>
    <cellStyle name="Milliers 7 2" xfId="6" xr:uid="{6513A143-364D-47C0-8786-4F14689E70A6}"/>
    <cellStyle name="Normal" xfId="0" builtinId="0"/>
    <cellStyle name="Normal 14" xfId="11" xr:uid="{0F87C492-2C85-4283-9E7B-BFDFD455D344}"/>
    <cellStyle name="Normal 2 4" xfId="13" xr:uid="{63227203-BF31-4500-B543-9048415AD941}"/>
    <cellStyle name="Normal 3 2 2" xfId="2" xr:uid="{6B80FA80-C920-4476-8F9B-FC2FB0CFFA20}"/>
    <cellStyle name="Normal_Annuaire Bilingue 2003 ONS" xfId="4" xr:uid="{ADA2724E-501C-4E31-A4F5-B769B712FB58}"/>
    <cellStyle name="Normal_base de données mensuelle modif" xfId="10" xr:uid="{EC5FD547-920A-410C-8B26-C3ADC75DCE12}"/>
    <cellStyle name="Normal_cours mensuel du brent en $" xfId="18" xr:uid="{3BCD4268-A83E-4332-99CF-AC6CF9C2A1E6}"/>
    <cellStyle name="Normal_GUINEE 2 2" xfId="15" xr:uid="{D8F1C961-CFFD-482D-94B7-B2F5CE266A83}"/>
    <cellStyle name="Normal_Importation et exports par type de bien" xfId="3" xr:uid="{FD0597A2-BAA9-4BAB-AF2B-B4AB4DE4ECD9}"/>
    <cellStyle name="Normal_Importations selon l'origine 92-2004" xfId="7" xr:uid="{F9D0DA79-3842-4360-B6C8-18675B7BE3FB}"/>
    <cellStyle name="Normal_Industrie" xfId="8" xr:uid="{036CD5C1-9124-4DA1-BCBD-DF99920F62AF}"/>
    <cellStyle name="Normal_Masse_montaire_et_contreparties_95_2005 2" xfId="14" xr:uid="{F40352E0-9B8C-4B76-8BC0-18151EDC5E56}"/>
    <cellStyle name="Normal_Pêche annuaire" xfId="9" xr:uid="{1ED84D99-4EE4-4797-B076-6FA20AA9706A}"/>
    <cellStyle name="Normal_peche oumar" xfId="17" xr:uid="{53746117-8951-4742-BA6E-7A9215AE8C59}"/>
    <cellStyle name="Normal_STATISTIQUES_SNIM" xfId="12" xr:uid="{14243060-9892-4090-926C-0715524349EC}"/>
    <cellStyle name="Pourcentage" xfId="1" builtinId="5"/>
  </cellStyles>
  <dxfs count="0"/>
  <tableStyles count="1" defaultTableStyle="TableStyleMedium2" defaultPivotStyle="PivotStyleLight16">
    <tableStyle name="Invisible" pivot="0" table="0" count="0" xr9:uid="{7BA2D62D-7516-4641-A9FE-95B9DE470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2F2-33CA-4BAB-9E83-B39B54BBB789}">
  <sheetPr>
    <tabColor rgb="FF92D050"/>
  </sheetPr>
  <dimension ref="A1:AE14"/>
  <sheetViews>
    <sheetView zoomScale="56" workbookViewId="0">
      <selection activeCell="Q8" sqref="Q8"/>
    </sheetView>
  </sheetViews>
  <sheetFormatPr baseColWidth="10" defaultRowHeight="14.4" x14ac:dyDescent="0.3"/>
  <cols>
    <col min="2" max="2" width="19.33203125" customWidth="1"/>
    <col min="9" max="9" width="24.88671875" customWidth="1"/>
    <col min="10" max="10" width="22.21875" customWidth="1"/>
    <col min="14" max="14" width="15.33203125" customWidth="1"/>
    <col min="23" max="24" width="14.6640625" customWidth="1"/>
    <col min="31" max="31" width="15.33203125" customWidth="1"/>
  </cols>
  <sheetData>
    <row r="1" spans="1:3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A2" s="3"/>
      <c r="B2" s="3" t="s">
        <v>11</v>
      </c>
      <c r="C2" s="3"/>
      <c r="D2" s="4" t="s">
        <v>12</v>
      </c>
      <c r="E2" s="3" t="s">
        <v>13</v>
      </c>
      <c r="F2" s="3">
        <v>1</v>
      </c>
      <c r="G2" s="3">
        <v>1</v>
      </c>
      <c r="H2" s="3"/>
      <c r="I2" s="5" t="s">
        <v>14</v>
      </c>
      <c r="J2" s="6" t="s">
        <v>15</v>
      </c>
      <c r="K2" s="6">
        <v>26.512999999999998</v>
      </c>
      <c r="L2" s="6">
        <v>25.901999999999997</v>
      </c>
      <c r="M2" s="6">
        <v>26.860000000000003</v>
      </c>
      <c r="N2" s="6">
        <v>26.860000000000003</v>
      </c>
      <c r="O2" s="6">
        <v>25</v>
      </c>
      <c r="P2" s="6">
        <v>25.9</v>
      </c>
      <c r="Q2" s="6">
        <v>26.169999999999998</v>
      </c>
      <c r="R2" s="6">
        <v>28.395999999999997</v>
      </c>
      <c r="S2" s="6">
        <v>29.04</v>
      </c>
      <c r="T2" s="6">
        <v>29.98</v>
      </c>
      <c r="U2" s="6">
        <v>30.05</v>
      </c>
      <c r="V2" s="6">
        <v>31.338999999999999</v>
      </c>
      <c r="W2" s="6">
        <v>34.052</v>
      </c>
      <c r="X2" s="6">
        <v>35.757999999999996</v>
      </c>
      <c r="Y2" s="6">
        <v>35.33</v>
      </c>
      <c r="Z2" s="6">
        <v>36.299999999999997</v>
      </c>
      <c r="AA2" s="6">
        <v>37.299999999999997</v>
      </c>
      <c r="AB2" s="6">
        <v>36.1</v>
      </c>
      <c r="AC2" s="6">
        <v>36.31</v>
      </c>
      <c r="AD2" s="6">
        <v>36.19</v>
      </c>
      <c r="AE2" s="6">
        <v>39.755000000000003</v>
      </c>
    </row>
    <row r="3" spans="1:31" ht="26.4" x14ac:dyDescent="0.7">
      <c r="A3" s="3"/>
      <c r="B3" s="3" t="s">
        <v>11</v>
      </c>
      <c r="C3" s="3"/>
      <c r="D3" s="4" t="s">
        <v>12</v>
      </c>
      <c r="E3" s="3" t="s">
        <v>13</v>
      </c>
      <c r="F3" s="3">
        <v>2</v>
      </c>
      <c r="G3" s="3">
        <v>2</v>
      </c>
      <c r="H3" s="3"/>
      <c r="I3" s="5" t="s">
        <v>16</v>
      </c>
      <c r="J3" s="6" t="s">
        <v>15</v>
      </c>
      <c r="K3" s="6">
        <v>26.530999999999999</v>
      </c>
      <c r="L3" s="6">
        <v>26.032</v>
      </c>
      <c r="M3" s="6">
        <v>26.860000000000003</v>
      </c>
      <c r="N3" s="6">
        <v>26.839999999999996</v>
      </c>
      <c r="O3" s="6">
        <v>25.09</v>
      </c>
      <c r="P3" s="6">
        <v>25.869999999999997</v>
      </c>
      <c r="Q3" s="6">
        <v>26.15</v>
      </c>
      <c r="R3" s="6">
        <v>28.220999999999997</v>
      </c>
      <c r="S3" s="6">
        <v>29.27</v>
      </c>
      <c r="T3" s="6">
        <v>29.860000000000003</v>
      </c>
      <c r="U3" s="6">
        <v>30.04</v>
      </c>
      <c r="V3" s="6">
        <v>31.250999999999998</v>
      </c>
      <c r="W3" s="6">
        <v>34.305999999999997</v>
      </c>
      <c r="X3" s="6">
        <v>35.805999999999997</v>
      </c>
      <c r="Y3" s="6">
        <v>35.17</v>
      </c>
      <c r="Z3" s="6">
        <v>36.42</v>
      </c>
      <c r="AA3" s="6">
        <v>37.270000000000003</v>
      </c>
      <c r="AB3" s="6">
        <v>35.9</v>
      </c>
      <c r="AC3" s="6">
        <v>36.31</v>
      </c>
      <c r="AD3" s="6">
        <v>35.08</v>
      </c>
      <c r="AE3" s="6">
        <v>40</v>
      </c>
    </row>
    <row r="4" spans="1:31" ht="26.4" x14ac:dyDescent="0.7">
      <c r="A4" s="3"/>
      <c r="B4" s="3" t="s">
        <v>11</v>
      </c>
      <c r="C4" s="3"/>
      <c r="D4" s="4" t="s">
        <v>12</v>
      </c>
      <c r="E4" s="3" t="s">
        <v>13</v>
      </c>
      <c r="F4" s="3">
        <v>3</v>
      </c>
      <c r="G4" s="3">
        <v>3</v>
      </c>
      <c r="H4" s="3"/>
      <c r="I4" s="5" t="s">
        <v>17</v>
      </c>
      <c r="J4" s="6" t="s">
        <v>15</v>
      </c>
      <c r="K4" s="6">
        <v>26.526999999999997</v>
      </c>
      <c r="L4" s="6">
        <v>26.207999999999998</v>
      </c>
      <c r="M4" s="6">
        <v>26.860000000000003</v>
      </c>
      <c r="N4" s="6">
        <v>26.85</v>
      </c>
      <c r="O4" s="6">
        <v>24.47</v>
      </c>
      <c r="P4" s="6">
        <v>26.369999999999997</v>
      </c>
      <c r="Q4" s="6">
        <v>26.439999999999998</v>
      </c>
      <c r="R4" s="6">
        <v>27.498000000000001</v>
      </c>
      <c r="S4" s="6">
        <v>29.3</v>
      </c>
      <c r="T4" s="6">
        <v>29.889999999999997</v>
      </c>
      <c r="U4" s="6">
        <v>29.919999999999998</v>
      </c>
      <c r="V4" s="6">
        <v>31.639999999999997</v>
      </c>
      <c r="W4" s="6">
        <v>34.774999999999999</v>
      </c>
      <c r="X4" s="6">
        <v>35.908000000000001</v>
      </c>
      <c r="Y4" s="6">
        <v>35.26</v>
      </c>
      <c r="Z4" s="6">
        <v>36.42</v>
      </c>
      <c r="AA4" s="6">
        <v>37.22</v>
      </c>
      <c r="AB4" s="6">
        <v>35.9</v>
      </c>
      <c r="AC4" s="6">
        <v>36.39</v>
      </c>
      <c r="AD4" s="6">
        <v>34.47</v>
      </c>
      <c r="AE4" s="6">
        <v>39.879999999999995</v>
      </c>
    </row>
    <row r="5" spans="1:31" ht="26.4" x14ac:dyDescent="0.7">
      <c r="A5" s="3"/>
      <c r="B5" s="3" t="s">
        <v>11</v>
      </c>
      <c r="C5" s="3"/>
      <c r="D5" s="4" t="s">
        <v>12</v>
      </c>
      <c r="E5" s="3" t="s">
        <v>13</v>
      </c>
      <c r="F5" s="3">
        <v>4</v>
      </c>
      <c r="G5" s="3">
        <v>4</v>
      </c>
      <c r="H5" s="3"/>
      <c r="I5" s="5" t="s">
        <v>18</v>
      </c>
      <c r="J5" s="6" t="s">
        <v>15</v>
      </c>
      <c r="K5" s="6">
        <v>26.610000000000003</v>
      </c>
      <c r="L5" s="6">
        <v>26.558</v>
      </c>
      <c r="M5" s="6">
        <v>26.860000000000003</v>
      </c>
      <c r="N5" s="6">
        <v>26.75</v>
      </c>
      <c r="O5" s="6">
        <v>24.11</v>
      </c>
      <c r="P5" s="6">
        <v>26.57</v>
      </c>
      <c r="Q5" s="6">
        <v>26.689999999999998</v>
      </c>
      <c r="R5" s="6">
        <v>27.26</v>
      </c>
      <c r="S5" s="6">
        <v>29.141000000000002</v>
      </c>
      <c r="T5" s="6">
        <v>29.97</v>
      </c>
      <c r="U5" s="6">
        <v>29.869999999999997</v>
      </c>
      <c r="V5" s="6">
        <v>31.892000000000003</v>
      </c>
      <c r="W5" s="6">
        <v>36.164000000000001</v>
      </c>
      <c r="X5" s="6">
        <v>35.947000000000003</v>
      </c>
      <c r="Y5" s="6">
        <v>35.39</v>
      </c>
      <c r="Z5" s="6">
        <v>36.49</v>
      </c>
      <c r="AA5" s="6">
        <v>37.340000000000003</v>
      </c>
      <c r="AB5" s="6">
        <v>35.9</v>
      </c>
      <c r="AC5" s="6">
        <v>36.42</v>
      </c>
      <c r="AD5" s="6">
        <v>34.22</v>
      </c>
      <c r="AE5" s="6">
        <v>39.64</v>
      </c>
    </row>
    <row r="6" spans="1:31" ht="26.4" x14ac:dyDescent="0.7">
      <c r="A6" s="3"/>
      <c r="B6" s="3" t="s">
        <v>11</v>
      </c>
      <c r="C6" s="3"/>
      <c r="D6" s="4" t="s">
        <v>12</v>
      </c>
      <c r="E6" s="3" t="s">
        <v>13</v>
      </c>
      <c r="F6" s="3">
        <v>5</v>
      </c>
      <c r="G6" s="3">
        <v>5</v>
      </c>
      <c r="H6" s="3"/>
      <c r="I6" s="5" t="s">
        <v>19</v>
      </c>
      <c r="J6" s="6" t="s">
        <v>15</v>
      </c>
      <c r="K6" s="6">
        <v>26.732999999999997</v>
      </c>
      <c r="L6" s="6">
        <v>26.512</v>
      </c>
      <c r="M6" s="6">
        <v>26.860000000000003</v>
      </c>
      <c r="N6" s="6">
        <v>26.05</v>
      </c>
      <c r="O6" s="6">
        <v>23.95</v>
      </c>
      <c r="P6" s="6">
        <v>26.74</v>
      </c>
      <c r="Q6" s="6">
        <v>27.160000000000004</v>
      </c>
      <c r="R6" s="6">
        <v>27.46</v>
      </c>
      <c r="S6" s="6">
        <v>29.314</v>
      </c>
      <c r="T6" s="6">
        <v>30.27</v>
      </c>
      <c r="U6" s="6">
        <v>29.919999999999998</v>
      </c>
      <c r="V6" s="6">
        <v>32.131</v>
      </c>
      <c r="W6" s="6">
        <v>35.344999999999999</v>
      </c>
      <c r="X6" s="6">
        <v>35.966999999999999</v>
      </c>
      <c r="Y6" s="6">
        <v>35.57</v>
      </c>
      <c r="Z6" s="6">
        <v>36.590000000000003</v>
      </c>
      <c r="AA6" s="6">
        <v>37.299999999999997</v>
      </c>
      <c r="AB6" s="6">
        <v>36</v>
      </c>
      <c r="AC6" s="6">
        <v>36.47</v>
      </c>
      <c r="AD6" s="6">
        <v>34.29</v>
      </c>
      <c r="AE6" s="6">
        <v>39.68</v>
      </c>
    </row>
    <row r="7" spans="1:31" ht="26.4" x14ac:dyDescent="0.7">
      <c r="A7" s="3"/>
      <c r="B7" s="3" t="s">
        <v>11</v>
      </c>
      <c r="C7" s="3"/>
      <c r="D7" s="4" t="s">
        <v>12</v>
      </c>
      <c r="E7" s="3" t="s">
        <v>13</v>
      </c>
      <c r="F7" s="3">
        <v>6</v>
      </c>
      <c r="G7" s="3">
        <v>6</v>
      </c>
      <c r="H7" s="3"/>
      <c r="I7" s="5" t="s">
        <v>20</v>
      </c>
      <c r="J7" s="6" t="s">
        <v>15</v>
      </c>
      <c r="K7" s="6">
        <v>26.605</v>
      </c>
      <c r="L7" s="6">
        <v>26.55</v>
      </c>
      <c r="M7" s="6">
        <v>26.860000000000003</v>
      </c>
      <c r="N7" s="6">
        <v>25.79</v>
      </c>
      <c r="O7" s="6">
        <v>23.6</v>
      </c>
      <c r="P7" s="6">
        <v>26.49</v>
      </c>
      <c r="Q7" s="6">
        <v>27.23</v>
      </c>
      <c r="R7" s="6">
        <v>27.629000000000001</v>
      </c>
      <c r="S7" s="6">
        <v>29.48</v>
      </c>
      <c r="T7" s="6">
        <v>30.360000000000003</v>
      </c>
      <c r="U7" s="6">
        <v>30</v>
      </c>
      <c r="V7" s="6">
        <v>32.458999999999996</v>
      </c>
      <c r="W7" s="6">
        <v>35.454999999999998</v>
      </c>
      <c r="X7" s="6">
        <v>35.972000000000001</v>
      </c>
      <c r="Y7" s="6">
        <v>35.630000000000003</v>
      </c>
      <c r="Z7" s="6">
        <v>36.67</v>
      </c>
      <c r="AA7" s="6">
        <v>37.549999999999997</v>
      </c>
      <c r="AB7" s="6">
        <v>36.1</v>
      </c>
      <c r="AC7" s="6">
        <v>36.42</v>
      </c>
      <c r="AD7" s="6">
        <v>34.42</v>
      </c>
      <c r="AE7" s="6">
        <v>39.365000000000002</v>
      </c>
    </row>
    <row r="8" spans="1:31" ht="26.4" x14ac:dyDescent="0.7">
      <c r="A8" s="3"/>
      <c r="B8" s="3" t="s">
        <v>11</v>
      </c>
      <c r="C8" s="3"/>
      <c r="D8" s="4" t="s">
        <v>12</v>
      </c>
      <c r="E8" s="3" t="s">
        <v>13</v>
      </c>
      <c r="F8" s="3">
        <v>7</v>
      </c>
      <c r="G8" s="3">
        <v>7</v>
      </c>
      <c r="H8" s="3"/>
      <c r="I8" s="5" t="s">
        <v>21</v>
      </c>
      <c r="J8" s="6" t="s">
        <v>15</v>
      </c>
      <c r="K8" s="6">
        <v>26.733999999999998</v>
      </c>
      <c r="L8" s="6">
        <v>26.55</v>
      </c>
      <c r="M8" s="6">
        <v>26.860000000000003</v>
      </c>
      <c r="N8" s="6">
        <v>25.6</v>
      </c>
      <c r="O8" s="6">
        <v>22.95</v>
      </c>
      <c r="P8" s="6">
        <v>26.389999999999997</v>
      </c>
      <c r="Q8" s="6">
        <v>28.389999999999997</v>
      </c>
      <c r="R8" s="6">
        <v>27.988999999999997</v>
      </c>
      <c r="S8" s="6">
        <v>27.931000000000001</v>
      </c>
      <c r="T8" s="6">
        <v>30.369999999999997</v>
      </c>
      <c r="U8" s="6">
        <v>30.03</v>
      </c>
      <c r="V8" s="6">
        <v>32.695999999999998</v>
      </c>
      <c r="W8" s="6">
        <v>35.475000000000001</v>
      </c>
      <c r="X8" s="6">
        <v>35.939</v>
      </c>
      <c r="Y8" s="6">
        <v>35.700000000000003</v>
      </c>
      <c r="Z8" s="6">
        <v>36.68</v>
      </c>
      <c r="AA8" s="6">
        <v>37.57</v>
      </c>
      <c r="AB8" s="6">
        <v>36.1</v>
      </c>
      <c r="AC8" s="6">
        <v>37.085000000000001</v>
      </c>
      <c r="AD8" s="6">
        <v>36.369999999999997</v>
      </c>
      <c r="AE8" s="6">
        <v>39.68</v>
      </c>
    </row>
    <row r="9" spans="1:31" ht="26.4" x14ac:dyDescent="0.7">
      <c r="A9" s="3"/>
      <c r="B9" s="3" t="s">
        <v>11</v>
      </c>
      <c r="C9" s="3"/>
      <c r="D9" s="4" t="s">
        <v>12</v>
      </c>
      <c r="E9" s="3" t="s">
        <v>13</v>
      </c>
      <c r="F9" s="3">
        <v>8</v>
      </c>
      <c r="G9" s="3">
        <v>8</v>
      </c>
      <c r="H9" s="3"/>
      <c r="I9" s="5" t="s">
        <v>22</v>
      </c>
      <c r="J9" s="6" t="s">
        <v>15</v>
      </c>
      <c r="K9" s="6">
        <v>26.71</v>
      </c>
      <c r="L9" s="6">
        <v>26.55</v>
      </c>
      <c r="M9" s="6">
        <v>26.860000000000003</v>
      </c>
      <c r="N9" s="6">
        <v>25.5</v>
      </c>
      <c r="O9" s="6">
        <v>22.84</v>
      </c>
      <c r="P9" s="6">
        <v>26.089999999999996</v>
      </c>
      <c r="Q9" s="6">
        <v>28.639999999999997</v>
      </c>
      <c r="R9" s="6">
        <v>28.345999999999997</v>
      </c>
      <c r="S9" s="6">
        <v>30.112000000000002</v>
      </c>
      <c r="T9" s="6">
        <v>30.380000000000003</v>
      </c>
      <c r="U9" s="6">
        <v>30.03</v>
      </c>
      <c r="V9" s="6">
        <v>32.762999999999998</v>
      </c>
      <c r="W9" s="6">
        <v>35.552</v>
      </c>
      <c r="X9" s="6">
        <v>35.781999999999996</v>
      </c>
      <c r="Y9" s="6">
        <v>35.78</v>
      </c>
      <c r="Z9" s="6">
        <v>36.61</v>
      </c>
      <c r="AA9" s="6">
        <v>37.200000000000003</v>
      </c>
      <c r="AB9" s="6">
        <v>36.1</v>
      </c>
      <c r="AC9" s="6">
        <v>37.685000000000002</v>
      </c>
      <c r="AD9" s="6">
        <v>37.83</v>
      </c>
      <c r="AE9" s="6">
        <v>39.700000000000003</v>
      </c>
    </row>
    <row r="10" spans="1:31" ht="26.4" x14ac:dyDescent="0.7">
      <c r="A10" s="3"/>
      <c r="B10" s="3" t="s">
        <v>11</v>
      </c>
      <c r="C10" s="3"/>
      <c r="D10" s="4" t="s">
        <v>12</v>
      </c>
      <c r="E10" s="3" t="s">
        <v>13</v>
      </c>
      <c r="F10" s="3">
        <v>9</v>
      </c>
      <c r="G10" s="3">
        <v>9</v>
      </c>
      <c r="H10" s="3"/>
      <c r="I10" s="5" t="s">
        <v>23</v>
      </c>
      <c r="J10" s="6" t="s">
        <v>15</v>
      </c>
      <c r="K10" s="6">
        <v>26.598000000000003</v>
      </c>
      <c r="L10" s="6">
        <v>26.55</v>
      </c>
      <c r="M10" s="6">
        <v>26.860000000000003</v>
      </c>
      <c r="N10" s="6">
        <v>25.619999999999997</v>
      </c>
      <c r="O10" s="6">
        <v>23.169999999999998</v>
      </c>
      <c r="P10" s="6">
        <v>26.03</v>
      </c>
      <c r="Q10" s="6">
        <v>28.580000000000002</v>
      </c>
      <c r="R10" s="6">
        <v>28.143000000000001</v>
      </c>
      <c r="S10" s="6">
        <v>30.191000000000003</v>
      </c>
      <c r="T10" s="6">
        <v>30.339999999999996</v>
      </c>
      <c r="U10" s="6">
        <v>30.189999999999998</v>
      </c>
      <c r="V10" s="6">
        <v>32.920999999999999</v>
      </c>
      <c r="W10" s="6">
        <v>35.634</v>
      </c>
      <c r="X10" s="6">
        <v>35.581000000000003</v>
      </c>
      <c r="Y10" s="6">
        <v>35.69</v>
      </c>
      <c r="Z10" s="6">
        <v>36.700000000000003</v>
      </c>
      <c r="AA10" s="6">
        <v>36.94</v>
      </c>
      <c r="AB10" s="6">
        <v>36.1</v>
      </c>
      <c r="AC10" s="6">
        <v>37.835000000000001</v>
      </c>
      <c r="AD10" s="6">
        <v>37.93</v>
      </c>
      <c r="AE10" s="6">
        <v>39.67</v>
      </c>
    </row>
    <row r="11" spans="1:31" ht="26.4" x14ac:dyDescent="0.7">
      <c r="A11" s="3"/>
      <c r="B11" s="3" t="s">
        <v>11</v>
      </c>
      <c r="C11" s="3"/>
      <c r="D11" s="4" t="s">
        <v>12</v>
      </c>
      <c r="E11" s="3" t="s">
        <v>13</v>
      </c>
      <c r="F11" s="3">
        <v>10</v>
      </c>
      <c r="G11" s="3">
        <v>10</v>
      </c>
      <c r="H11" s="3"/>
      <c r="I11" s="5" t="s">
        <v>24</v>
      </c>
      <c r="J11" s="6" t="s">
        <v>15</v>
      </c>
      <c r="K11" s="6">
        <v>26.536000000000001</v>
      </c>
      <c r="L11" s="6">
        <v>26.638999999999999</v>
      </c>
      <c r="M11" s="6">
        <v>26.860000000000003</v>
      </c>
      <c r="N11" s="6">
        <v>25.57</v>
      </c>
      <c r="O11" s="6">
        <v>24.45</v>
      </c>
      <c r="P11" s="6">
        <v>26.07</v>
      </c>
      <c r="Q11" s="6">
        <v>28.4</v>
      </c>
      <c r="R11" s="6">
        <v>28.901</v>
      </c>
      <c r="S11" s="6">
        <v>30.169999999999998</v>
      </c>
      <c r="T11" s="6">
        <v>30.05</v>
      </c>
      <c r="U11" s="6">
        <v>30.32</v>
      </c>
      <c r="V11" s="6">
        <v>33.280999999999999</v>
      </c>
      <c r="W11" s="6">
        <v>35.67</v>
      </c>
      <c r="X11" s="6">
        <v>35.5</v>
      </c>
      <c r="Y11" s="6">
        <v>35.79</v>
      </c>
      <c r="Z11" s="6">
        <v>37.03</v>
      </c>
      <c r="AA11" s="6">
        <v>36.93</v>
      </c>
      <c r="AB11" s="6">
        <v>36.1</v>
      </c>
      <c r="AC11" s="6">
        <v>37.838571428571434</v>
      </c>
      <c r="AD11" s="6">
        <v>38.14</v>
      </c>
      <c r="AE11" s="6">
        <v>39.739999999999995</v>
      </c>
    </row>
    <row r="12" spans="1:31" ht="26.4" x14ac:dyDescent="0.7">
      <c r="A12" s="3"/>
      <c r="B12" s="3" t="s">
        <v>11</v>
      </c>
      <c r="C12" s="3"/>
      <c r="D12" s="4" t="s">
        <v>12</v>
      </c>
      <c r="E12" s="3" t="s">
        <v>13</v>
      </c>
      <c r="F12" s="3">
        <v>11</v>
      </c>
      <c r="G12" s="3">
        <v>11</v>
      </c>
      <c r="H12" s="3"/>
      <c r="I12" s="5" t="s">
        <v>25</v>
      </c>
      <c r="J12" s="6" t="s">
        <v>15</v>
      </c>
      <c r="K12" s="6">
        <v>26.425999999999998</v>
      </c>
      <c r="L12" s="6">
        <v>26.860000000000003</v>
      </c>
      <c r="M12" s="6">
        <v>26.860000000000003</v>
      </c>
      <c r="N12" s="6">
        <v>25.080000000000002</v>
      </c>
      <c r="O12" s="6">
        <v>25.05</v>
      </c>
      <c r="P12" s="6">
        <v>26.15</v>
      </c>
      <c r="Q12" s="6">
        <v>28</v>
      </c>
      <c r="R12" s="6">
        <v>28.706</v>
      </c>
      <c r="S12" s="6">
        <v>29.85</v>
      </c>
      <c r="T12" s="6">
        <v>29.65</v>
      </c>
      <c r="U12" s="6">
        <v>30.5</v>
      </c>
      <c r="V12" s="6">
        <v>33.511000000000003</v>
      </c>
      <c r="W12" s="6">
        <v>35.691000000000003</v>
      </c>
      <c r="X12" s="6">
        <v>35.399000000000001</v>
      </c>
      <c r="Y12" s="6">
        <v>36.299999999999997</v>
      </c>
      <c r="Z12" s="6">
        <v>37.130000000000003</v>
      </c>
      <c r="AA12" s="6">
        <v>36.93</v>
      </c>
      <c r="AB12" s="6">
        <v>36.1</v>
      </c>
      <c r="AC12" s="6">
        <v>37.905238095238097</v>
      </c>
      <c r="AD12" s="6">
        <v>39.54</v>
      </c>
      <c r="AE12" s="6">
        <v>39.900000000000006</v>
      </c>
    </row>
    <row r="13" spans="1:31" ht="26.4" x14ac:dyDescent="0.7">
      <c r="A13" s="3"/>
      <c r="B13" s="3" t="s">
        <v>11</v>
      </c>
      <c r="C13" s="3"/>
      <c r="D13" s="4" t="s">
        <v>12</v>
      </c>
      <c r="E13" s="3" t="s">
        <v>13</v>
      </c>
      <c r="F13" s="3">
        <v>12</v>
      </c>
      <c r="G13" s="3">
        <v>12</v>
      </c>
      <c r="H13" s="3"/>
      <c r="I13" s="5" t="s">
        <v>26</v>
      </c>
      <c r="J13" s="6" t="s">
        <v>15</v>
      </c>
      <c r="K13" s="6">
        <v>25.874000000000002</v>
      </c>
      <c r="L13" s="6">
        <v>26.860000000000003</v>
      </c>
      <c r="M13" s="6">
        <v>26.860000000000003</v>
      </c>
      <c r="N13" s="6">
        <v>25.06</v>
      </c>
      <c r="O13" s="6">
        <v>25.660000000000004</v>
      </c>
      <c r="P13" s="6">
        <v>26.21</v>
      </c>
      <c r="Q13" s="6">
        <v>28.1</v>
      </c>
      <c r="R13" s="6">
        <v>28.792999999999999</v>
      </c>
      <c r="S13" s="6">
        <v>30.130000000000003</v>
      </c>
      <c r="T13" s="6">
        <v>29.7</v>
      </c>
      <c r="U13" s="6">
        <v>31.04</v>
      </c>
      <c r="V13" s="6">
        <v>33.722000000000001</v>
      </c>
      <c r="W13" s="6">
        <v>35.725999999999999</v>
      </c>
      <c r="X13" s="6">
        <v>35.433</v>
      </c>
      <c r="Y13" s="6">
        <v>36.33</v>
      </c>
      <c r="Z13" s="6">
        <v>37.26</v>
      </c>
      <c r="AA13" s="6">
        <v>36.33</v>
      </c>
      <c r="AB13" s="6">
        <v>36.299999999999997</v>
      </c>
      <c r="AC13" s="6">
        <v>37.369545454545452</v>
      </c>
      <c r="AD13" s="6">
        <v>39.61</v>
      </c>
      <c r="AE13" s="6">
        <v>39.840000000000003</v>
      </c>
    </row>
    <row r="14" spans="1:31" ht="26.4" x14ac:dyDescent="0.7">
      <c r="A14" s="3"/>
      <c r="B14" s="3" t="s">
        <v>11</v>
      </c>
      <c r="C14" s="3"/>
      <c r="D14" s="4" t="s">
        <v>12</v>
      </c>
      <c r="E14" s="3" t="s">
        <v>13</v>
      </c>
      <c r="F14" s="3">
        <v>13</v>
      </c>
      <c r="G14" s="3">
        <v>13</v>
      </c>
      <c r="H14" s="3"/>
      <c r="I14" s="5" t="s">
        <v>27</v>
      </c>
      <c r="J14" s="6" t="s">
        <v>15</v>
      </c>
      <c r="K14" s="6">
        <v>26.533083333333327</v>
      </c>
      <c r="L14" s="6">
        <v>26.480916666666662</v>
      </c>
      <c r="M14" s="6">
        <v>26.859999999999996</v>
      </c>
      <c r="N14" s="6">
        <v>25.964166666666664</v>
      </c>
      <c r="O14" s="6">
        <v>24.194999999999997</v>
      </c>
      <c r="P14" s="6">
        <v>26.240000000000002</v>
      </c>
      <c r="Q14" s="6">
        <v>27.495833333333334</v>
      </c>
      <c r="R14" s="6">
        <v>28.111833333333337</v>
      </c>
      <c r="S14" s="6">
        <v>29.494083333333336</v>
      </c>
      <c r="T14" s="6">
        <v>30.068333333333332</v>
      </c>
      <c r="U14" s="6">
        <v>30.159166666666664</v>
      </c>
      <c r="V14" s="6">
        <v>32.467166666666664</v>
      </c>
      <c r="W14" s="6">
        <v>35.320416666666667</v>
      </c>
      <c r="X14" s="6">
        <v>35.749333333333333</v>
      </c>
      <c r="Y14" s="6">
        <v>35.661666666666662</v>
      </c>
      <c r="Z14" s="6">
        <v>36.691666666666663</v>
      </c>
      <c r="AA14" s="6">
        <v>37.156666666666666</v>
      </c>
      <c r="AB14" s="6">
        <v>36.058333333333344</v>
      </c>
      <c r="AC14" s="6">
        <v>37.003196248196247</v>
      </c>
      <c r="AD14" s="6">
        <v>36.5</v>
      </c>
      <c r="AE14" s="6">
        <f>AVERAGE(AE2:AE13)</f>
        <v>39.737500000000004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EB4C-23F3-4872-9D7D-2EB50ECFE71C}">
  <sheetPr>
    <tabColor theme="6"/>
  </sheetPr>
  <dimension ref="A1:X14"/>
  <sheetViews>
    <sheetView zoomScale="49" workbookViewId="0">
      <selection activeCell="J10" sqref="J10"/>
    </sheetView>
  </sheetViews>
  <sheetFormatPr baseColWidth="10" defaultRowHeight="14.4" x14ac:dyDescent="0.3"/>
  <cols>
    <col min="9" max="9" width="33.6640625" customWidth="1"/>
    <col min="10" max="10" width="29" customWidth="1"/>
    <col min="11" max="11" width="20.33203125" customWidth="1"/>
    <col min="12" max="18" width="12.6640625" bestFit="1" customWidth="1"/>
    <col min="19" max="20" width="14.109375" bestFit="1" customWidth="1"/>
    <col min="21" max="21" width="13.6640625" customWidth="1"/>
    <col min="22" max="22" width="17.44140625" customWidth="1"/>
    <col min="23" max="23" width="16" customWidth="1"/>
    <col min="24" max="24" width="18.44140625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>
        <v>2021</v>
      </c>
      <c r="V1" s="2">
        <v>2022</v>
      </c>
      <c r="W1" s="2">
        <v>2023</v>
      </c>
      <c r="X1" s="2">
        <v>2024</v>
      </c>
    </row>
    <row r="2" spans="1:24" ht="27" x14ac:dyDescent="0.7">
      <c r="B2" s="3" t="s">
        <v>11</v>
      </c>
      <c r="D2" s="61" t="s">
        <v>156</v>
      </c>
      <c r="E2" s="21" t="s">
        <v>32</v>
      </c>
      <c r="F2">
        <v>1</v>
      </c>
      <c r="G2">
        <v>1</v>
      </c>
      <c r="I2" s="43" t="s">
        <v>157</v>
      </c>
      <c r="J2" s="57" t="s">
        <v>35</v>
      </c>
      <c r="K2" s="62">
        <v>72108.008630199998</v>
      </c>
      <c r="L2" s="62">
        <v>65013.334940000001</v>
      </c>
      <c r="M2" s="62">
        <v>72850.630492700016</v>
      </c>
      <c r="N2" s="62">
        <v>66674.875283799993</v>
      </c>
      <c r="O2" s="62">
        <v>53714.65035030002</v>
      </c>
      <c r="P2" s="62">
        <v>57925.245532099994</v>
      </c>
      <c r="Q2" s="62">
        <v>75242.066798409971</v>
      </c>
      <c r="R2" s="62">
        <v>89432.278859049999</v>
      </c>
      <c r="S2" s="62">
        <v>109241.39882803398</v>
      </c>
      <c r="T2" s="62">
        <v>105260.98672544997</v>
      </c>
      <c r="U2" s="62">
        <v>116977.58046502</v>
      </c>
      <c r="V2" s="62">
        <v>137576.50322419999</v>
      </c>
      <c r="W2" s="62">
        <v>144543.51317554002</v>
      </c>
      <c r="X2" s="62">
        <v>169681.08595965899</v>
      </c>
    </row>
    <row r="3" spans="1:24" ht="27" x14ac:dyDescent="0.7">
      <c r="B3" s="3" t="s">
        <v>11</v>
      </c>
      <c r="D3" s="61" t="s">
        <v>156</v>
      </c>
      <c r="E3" s="21" t="s">
        <v>32</v>
      </c>
      <c r="F3">
        <v>2</v>
      </c>
      <c r="G3">
        <v>2</v>
      </c>
      <c r="H3">
        <v>1</v>
      </c>
      <c r="I3" s="63" t="s">
        <v>158</v>
      </c>
      <c r="J3" s="57" t="s">
        <v>35</v>
      </c>
      <c r="K3" s="62">
        <v>42625.113843500003</v>
      </c>
      <c r="L3" s="62">
        <v>22009.917056499999</v>
      </c>
      <c r="M3" s="62">
        <v>36140.747359799992</v>
      </c>
      <c r="N3" s="62">
        <v>26090.431342299995</v>
      </c>
      <c r="O3" s="62">
        <v>12754.603622299999</v>
      </c>
      <c r="P3" s="62">
        <v>16765.427223499999</v>
      </c>
      <c r="Q3" s="62">
        <v>22208.071571800003</v>
      </c>
      <c r="R3" s="62">
        <v>19144.585872</v>
      </c>
      <c r="S3" s="62">
        <v>30480.685329</v>
      </c>
      <c r="T3" s="62">
        <v>36245.299872000003</v>
      </c>
      <c r="U3" s="62">
        <v>64170.912113999999</v>
      </c>
      <c r="V3" s="62">
        <v>48099.485739800002</v>
      </c>
      <c r="W3" s="62">
        <v>50987.964632820003</v>
      </c>
      <c r="X3" s="62">
        <v>51445.367505889997</v>
      </c>
    </row>
    <row r="4" spans="1:24" ht="27" x14ac:dyDescent="0.7">
      <c r="B4" s="3" t="s">
        <v>11</v>
      </c>
      <c r="D4" s="61" t="s">
        <v>156</v>
      </c>
      <c r="E4" s="21" t="s">
        <v>32</v>
      </c>
      <c r="F4">
        <v>3</v>
      </c>
      <c r="G4">
        <v>3</v>
      </c>
      <c r="H4">
        <v>1</v>
      </c>
      <c r="I4" s="63" t="s">
        <v>159</v>
      </c>
      <c r="J4" s="57" t="s">
        <v>35</v>
      </c>
      <c r="K4" s="62">
        <v>5039.3364208000003</v>
      </c>
      <c r="L4" s="62">
        <v>9255.2787105999996</v>
      </c>
      <c r="M4" s="62">
        <v>9144.7549278000006</v>
      </c>
      <c r="N4" s="62">
        <v>6539.9572598999994</v>
      </c>
      <c r="O4" s="62">
        <v>8747.7664572999984</v>
      </c>
      <c r="P4" s="62">
        <v>6829.7877296000006</v>
      </c>
      <c r="Q4" s="62">
        <v>6898.6212943999999</v>
      </c>
      <c r="R4" s="62">
        <v>7212.0692628000006</v>
      </c>
      <c r="S4" s="62">
        <v>6556.0794565600008</v>
      </c>
      <c r="T4" s="62">
        <v>8025.6646218899996</v>
      </c>
      <c r="U4" s="62">
        <v>9201.4104863700013</v>
      </c>
      <c r="V4" s="62">
        <v>4921.1247880000001</v>
      </c>
      <c r="W4" s="62">
        <v>4948.6225750000003</v>
      </c>
      <c r="X4" s="62">
        <v>8448.1709057000007</v>
      </c>
    </row>
    <row r="5" spans="1:24" ht="27" x14ac:dyDescent="0.7">
      <c r="B5" s="3" t="s">
        <v>11</v>
      </c>
      <c r="D5" s="61" t="s">
        <v>156</v>
      </c>
      <c r="E5" s="21" t="s">
        <v>32</v>
      </c>
      <c r="F5">
        <v>4</v>
      </c>
      <c r="G5">
        <v>4</v>
      </c>
      <c r="H5">
        <v>1</v>
      </c>
      <c r="I5" s="43" t="s">
        <v>160</v>
      </c>
      <c r="J5" s="57" t="s">
        <v>35</v>
      </c>
      <c r="K5" s="62">
        <v>9294.2961452999989</v>
      </c>
      <c r="L5" s="62">
        <v>9409.9622340999995</v>
      </c>
      <c r="M5" s="62">
        <v>10769.9899121</v>
      </c>
      <c r="N5" s="62">
        <v>9730.3228322000014</v>
      </c>
      <c r="O5" s="62">
        <v>8674.3649183999987</v>
      </c>
      <c r="P5" s="62">
        <v>8025.0611186000006</v>
      </c>
      <c r="Q5" s="62">
        <v>11480.7722039</v>
      </c>
      <c r="R5" s="62">
        <v>12117.756490649997</v>
      </c>
      <c r="S5" s="62">
        <v>28839.4034297</v>
      </c>
      <c r="T5" s="62">
        <v>27457.76086835</v>
      </c>
      <c r="U5" s="62">
        <v>11565.374981060002</v>
      </c>
      <c r="V5" s="62">
        <v>43955.995875499997</v>
      </c>
      <c r="W5" s="62">
        <v>52351.865355900001</v>
      </c>
      <c r="X5" s="62">
        <v>64954.425633009989</v>
      </c>
    </row>
    <row r="6" spans="1:24" ht="27" x14ac:dyDescent="0.7">
      <c r="B6" s="3" t="s">
        <v>11</v>
      </c>
      <c r="D6" s="61" t="s">
        <v>156</v>
      </c>
      <c r="E6" s="21" t="s">
        <v>32</v>
      </c>
      <c r="F6">
        <v>5</v>
      </c>
      <c r="G6">
        <v>5</v>
      </c>
      <c r="H6">
        <v>1</v>
      </c>
      <c r="I6" s="64" t="s">
        <v>70</v>
      </c>
      <c r="J6" s="57" t="s">
        <v>35</v>
      </c>
      <c r="K6" s="62">
        <v>12068.346799800003</v>
      </c>
      <c r="L6" s="62">
        <v>18107.513827400006</v>
      </c>
      <c r="M6" s="62">
        <v>13863.268589800009</v>
      </c>
      <c r="N6" s="62">
        <v>20337.059257500001</v>
      </c>
      <c r="O6" s="62">
        <v>20158.215627900012</v>
      </c>
      <c r="P6" s="62">
        <v>24198.48840229999</v>
      </c>
      <c r="Q6" s="62">
        <v>30383.044412099967</v>
      </c>
      <c r="R6" s="62">
        <v>39142.719580759993</v>
      </c>
      <c r="S6" s="62">
        <v>37689.035684773997</v>
      </c>
      <c r="T6" s="62">
        <v>30601.79034094997</v>
      </c>
      <c r="U6" s="62">
        <v>30252.890388119995</v>
      </c>
      <c r="V6" s="62">
        <v>37587.330710449998</v>
      </c>
      <c r="W6" s="62">
        <v>28749.56707225</v>
      </c>
      <c r="X6" s="62">
        <v>41446.121528730102</v>
      </c>
    </row>
    <row r="7" spans="1:24" ht="27" x14ac:dyDescent="0.7">
      <c r="B7" s="3" t="s">
        <v>11</v>
      </c>
      <c r="D7" s="61" t="s">
        <v>156</v>
      </c>
      <c r="E7" s="21" t="s">
        <v>32</v>
      </c>
      <c r="F7">
        <v>6</v>
      </c>
      <c r="G7">
        <v>6</v>
      </c>
      <c r="H7">
        <v>5</v>
      </c>
      <c r="I7" s="64" t="s">
        <v>161</v>
      </c>
      <c r="J7" s="57" t="s">
        <v>35</v>
      </c>
      <c r="K7" s="65">
        <v>11028.407662100004</v>
      </c>
      <c r="L7" s="65">
        <v>16766.425965200004</v>
      </c>
      <c r="M7" s="65">
        <v>12003.249708900008</v>
      </c>
      <c r="N7" s="65">
        <v>17127.329320600002</v>
      </c>
      <c r="O7" s="65">
        <v>16053.21339820001</v>
      </c>
      <c r="P7" s="65">
        <v>19978.561499299991</v>
      </c>
      <c r="Q7" s="65">
        <v>23955.254020999968</v>
      </c>
      <c r="R7" s="65">
        <v>31746.824519989994</v>
      </c>
      <c r="S7" s="65">
        <v>31685.476590689996</v>
      </c>
      <c r="T7" s="65">
        <v>23608.20282674997</v>
      </c>
      <c r="U7" s="62">
        <v>24749.335397709991</v>
      </c>
      <c r="V7" s="62">
        <v>31405.60394968</v>
      </c>
      <c r="W7" s="62">
        <v>24061.716617739999</v>
      </c>
      <c r="X7" s="62">
        <v>37545.323983560069</v>
      </c>
    </row>
    <row r="8" spans="1:24" ht="27" x14ac:dyDescent="0.7">
      <c r="B8" s="3" t="s">
        <v>11</v>
      </c>
      <c r="D8" s="61" t="s">
        <v>156</v>
      </c>
      <c r="E8" s="21" t="s">
        <v>32</v>
      </c>
      <c r="F8">
        <v>7</v>
      </c>
      <c r="G8">
        <v>7</v>
      </c>
      <c r="H8">
        <v>5</v>
      </c>
      <c r="I8" s="64" t="s">
        <v>162</v>
      </c>
      <c r="J8" s="57" t="s">
        <v>35</v>
      </c>
      <c r="K8" s="62">
        <v>747.91279410000004</v>
      </c>
      <c r="L8" s="62">
        <v>979.86634730000003</v>
      </c>
      <c r="M8" s="62">
        <v>1217.2202301</v>
      </c>
      <c r="N8" s="62">
        <v>2398.6977365000002</v>
      </c>
      <c r="O8" s="62">
        <v>2882.3849008999996</v>
      </c>
      <c r="P8" s="62">
        <v>3155.0695524000007</v>
      </c>
      <c r="Q8" s="62">
        <v>4989.1954587000009</v>
      </c>
      <c r="R8" s="62">
        <v>5472.4560721500002</v>
      </c>
      <c r="S8" s="62">
        <v>4326.9329889799992</v>
      </c>
      <c r="T8" s="62">
        <v>5109.6297491200003</v>
      </c>
      <c r="U8" s="62">
        <v>4284.6113702500006</v>
      </c>
      <c r="V8" s="62">
        <v>4500.8096120600003</v>
      </c>
      <c r="W8" s="62">
        <v>3304.7178914400001</v>
      </c>
      <c r="X8" s="62">
        <v>3117.1280988100002</v>
      </c>
    </row>
    <row r="9" spans="1:24" ht="27" x14ac:dyDescent="0.7">
      <c r="B9" s="3" t="s">
        <v>11</v>
      </c>
      <c r="D9" s="61" t="s">
        <v>156</v>
      </c>
      <c r="E9" s="21" t="s">
        <v>32</v>
      </c>
      <c r="F9">
        <v>8</v>
      </c>
      <c r="G9">
        <v>8</v>
      </c>
      <c r="H9">
        <v>5</v>
      </c>
      <c r="I9" s="64" t="s">
        <v>163</v>
      </c>
      <c r="J9" s="57" t="s">
        <v>35</v>
      </c>
      <c r="K9" s="65">
        <v>53.932335299999998</v>
      </c>
      <c r="L9" s="65">
        <v>164.81703769999999</v>
      </c>
      <c r="M9" s="65">
        <v>434.60118319999998</v>
      </c>
      <c r="N9" s="65">
        <v>545.90925919999984</v>
      </c>
      <c r="O9" s="65">
        <v>1076.0015685999999</v>
      </c>
      <c r="P9" s="65">
        <v>881.52289759999985</v>
      </c>
      <c r="Q9" s="65">
        <v>1240.5880444999996</v>
      </c>
      <c r="R9" s="65">
        <v>1627.6832257200001</v>
      </c>
      <c r="S9" s="65">
        <v>1320.8230936499999</v>
      </c>
      <c r="T9" s="65">
        <v>1370.4613130999999</v>
      </c>
      <c r="U9" s="62">
        <v>844.92921073000014</v>
      </c>
      <c r="V9" s="62">
        <v>931.89107729</v>
      </c>
      <c r="W9" s="62">
        <v>707.12535854999999</v>
      </c>
      <c r="X9" s="62">
        <v>274.90244887</v>
      </c>
    </row>
    <row r="10" spans="1:24" ht="27" x14ac:dyDescent="0.7">
      <c r="B10" s="3" t="s">
        <v>11</v>
      </c>
      <c r="D10" s="61" t="s">
        <v>156</v>
      </c>
      <c r="E10" s="21" t="s">
        <v>32</v>
      </c>
      <c r="F10">
        <v>9</v>
      </c>
      <c r="G10">
        <v>9</v>
      </c>
      <c r="H10">
        <v>5</v>
      </c>
      <c r="I10" s="64" t="s">
        <v>111</v>
      </c>
      <c r="J10" s="57" t="s">
        <v>35</v>
      </c>
      <c r="K10" s="62">
        <v>205.53669789999998</v>
      </c>
      <c r="L10" s="62">
        <v>162.36573240000001</v>
      </c>
      <c r="M10" s="62">
        <v>181.15206639999997</v>
      </c>
      <c r="N10" s="62">
        <v>231.02533019999998</v>
      </c>
      <c r="O10" s="62">
        <v>96.247518799999995</v>
      </c>
      <c r="P10" s="62">
        <v>162.95553939999996</v>
      </c>
      <c r="Q10" s="62">
        <v>174.9484008</v>
      </c>
      <c r="R10" s="62">
        <v>270.560427</v>
      </c>
      <c r="S10" s="62">
        <v>300.35701776999997</v>
      </c>
      <c r="T10" s="62">
        <v>472.33456323000001</v>
      </c>
      <c r="U10" s="62">
        <v>351.05399188999996</v>
      </c>
      <c r="V10" s="62">
        <v>719.43691258000001</v>
      </c>
      <c r="W10" s="62">
        <v>642.78714642</v>
      </c>
      <c r="X10" s="62">
        <v>478.32653246000001</v>
      </c>
    </row>
    <row r="11" spans="1:24" ht="35.25" customHeight="1" x14ac:dyDescent="0.7">
      <c r="B11" s="3" t="s">
        <v>11</v>
      </c>
      <c r="D11" s="61" t="s">
        <v>156</v>
      </c>
      <c r="E11" s="21" t="s">
        <v>32</v>
      </c>
      <c r="F11">
        <v>10</v>
      </c>
      <c r="G11">
        <v>10</v>
      </c>
      <c r="H11">
        <v>5</v>
      </c>
      <c r="I11" s="64" t="s">
        <v>164</v>
      </c>
      <c r="J11" s="57" t="s">
        <v>35</v>
      </c>
      <c r="K11" s="65">
        <v>32.557310400000006</v>
      </c>
      <c r="L11" s="65">
        <v>34.038744799999996</v>
      </c>
      <c r="M11" s="65">
        <v>27.045401200000001</v>
      </c>
      <c r="N11" s="65">
        <v>34.097611000000001</v>
      </c>
      <c r="O11" s="65">
        <v>50.368241399999995</v>
      </c>
      <c r="P11" s="65">
        <v>20.378913600000001</v>
      </c>
      <c r="Q11" s="65">
        <v>23.058487099999997</v>
      </c>
      <c r="R11" s="65">
        <v>25.195335899999996</v>
      </c>
      <c r="S11" s="65">
        <v>55.445993684000001</v>
      </c>
      <c r="T11" s="65">
        <v>41.114987259999992</v>
      </c>
      <c r="U11" s="62">
        <v>22.960417540000002</v>
      </c>
      <c r="V11" s="62">
        <v>29.58915884</v>
      </c>
      <c r="W11" s="62">
        <v>33.220058100000003</v>
      </c>
      <c r="X11" s="62">
        <v>30.440465030000002</v>
      </c>
    </row>
    <row r="12" spans="1:24" ht="27" x14ac:dyDescent="0.7">
      <c r="B12" s="3" t="s">
        <v>11</v>
      </c>
      <c r="D12" s="61" t="s">
        <v>156</v>
      </c>
      <c r="E12" s="21" t="s">
        <v>32</v>
      </c>
      <c r="F12">
        <v>11</v>
      </c>
      <c r="G12">
        <v>11</v>
      </c>
      <c r="H12">
        <v>1</v>
      </c>
      <c r="I12" s="43" t="s">
        <v>165</v>
      </c>
      <c r="J12" s="57" t="s">
        <v>35</v>
      </c>
      <c r="K12" s="62">
        <v>3080.9154207999964</v>
      </c>
      <c r="L12" s="62">
        <v>6230.6631113999974</v>
      </c>
      <c r="M12" s="62">
        <v>2931.86970320002</v>
      </c>
      <c r="N12" s="62">
        <v>3977.1045919000026</v>
      </c>
      <c r="O12" s="62">
        <v>3379.6997244000158</v>
      </c>
      <c r="P12" s="62">
        <v>2106.4810581000056</v>
      </c>
      <c r="Q12" s="62">
        <v>4271.5573162100045</v>
      </c>
      <c r="R12" s="62">
        <v>11815.147652840009</v>
      </c>
      <c r="S12" s="62">
        <v>5676.1949279999972</v>
      </c>
      <c r="T12" s="62">
        <v>2930.4710222600097</v>
      </c>
      <c r="U12" s="62">
        <v>1786.9924954700166</v>
      </c>
      <c r="V12" s="62">
        <v>3012.5661104499886</v>
      </c>
      <c r="W12" s="62">
        <v>7505.4935395700159</v>
      </c>
      <c r="X12" s="62">
        <v>3387.0003863289021</v>
      </c>
    </row>
    <row r="13" spans="1:24" ht="27" x14ac:dyDescent="0.7">
      <c r="I13" s="66"/>
      <c r="J13" s="67"/>
      <c r="K13" s="68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spans="1:24" ht="26.4" x14ac:dyDescent="0.7">
      <c r="J14" s="29"/>
      <c r="K14" s="30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864-BEAD-43B1-B68B-C69FD29AE181}">
  <sheetPr>
    <tabColor theme="6"/>
  </sheetPr>
  <dimension ref="A1:AN11"/>
  <sheetViews>
    <sheetView zoomScale="49" zoomScaleNormal="100" workbookViewId="0">
      <selection activeCell="J4" sqref="J4"/>
    </sheetView>
  </sheetViews>
  <sheetFormatPr baseColWidth="10" defaultRowHeight="14.4" x14ac:dyDescent="0.3"/>
  <cols>
    <col min="2" max="2" width="24.44140625" customWidth="1"/>
    <col min="9" max="9" width="35.6640625" customWidth="1"/>
    <col min="10" max="10" width="60.109375" customWidth="1"/>
    <col min="11" max="25" width="15.44140625" customWidth="1"/>
    <col min="37" max="37" width="16.44140625" customWidth="1"/>
    <col min="38" max="39" width="17.33203125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6.4" x14ac:dyDescent="0.7">
      <c r="B2" s="3" t="s">
        <v>11</v>
      </c>
      <c r="D2" s="70" t="s">
        <v>166</v>
      </c>
      <c r="E2" s="71" t="s">
        <v>167</v>
      </c>
      <c r="F2">
        <v>1</v>
      </c>
      <c r="G2">
        <v>1</v>
      </c>
      <c r="I2" s="73" t="s">
        <v>168</v>
      </c>
      <c r="J2" s="74" t="s">
        <v>35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3"/>
      <c r="AM2" s="3"/>
      <c r="AN2" s="75"/>
    </row>
    <row r="3" spans="1:40" ht="26.4" x14ac:dyDescent="0.7">
      <c r="B3" s="3" t="s">
        <v>11</v>
      </c>
      <c r="D3" s="70" t="s">
        <v>166</v>
      </c>
      <c r="E3" s="71" t="s">
        <v>167</v>
      </c>
      <c r="F3">
        <v>2</v>
      </c>
      <c r="G3">
        <v>2</v>
      </c>
      <c r="H3">
        <v>1</v>
      </c>
      <c r="I3" s="76" t="s">
        <v>169</v>
      </c>
      <c r="J3" s="74" t="s">
        <v>35</v>
      </c>
      <c r="K3" s="77">
        <v>26562</v>
      </c>
      <c r="L3" s="77">
        <v>24439</v>
      </c>
      <c r="M3" s="77">
        <v>20063</v>
      </c>
      <c r="N3" s="77">
        <v>11834</v>
      </c>
      <c r="O3" s="77">
        <v>15966</v>
      </c>
      <c r="P3" s="77">
        <v>17817</v>
      </c>
      <c r="Q3" s="77">
        <v>23943</v>
      </c>
      <c r="R3" s="77">
        <v>18955</v>
      </c>
      <c r="S3" s="77">
        <v>18746</v>
      </c>
      <c r="T3" s="77">
        <v>19907</v>
      </c>
      <c r="U3" s="77">
        <v>23381</v>
      </c>
      <c r="V3" s="77">
        <v>23550</v>
      </c>
      <c r="W3" s="77">
        <v>21814</v>
      </c>
      <c r="X3" s="77">
        <v>17920</v>
      </c>
      <c r="Y3" s="77">
        <v>19687</v>
      </c>
      <c r="Z3" s="75">
        <v>24732</v>
      </c>
      <c r="AA3" s="75">
        <v>17687</v>
      </c>
      <c r="AB3" s="75">
        <v>21807</v>
      </c>
      <c r="AC3" s="75">
        <v>23836</v>
      </c>
      <c r="AD3" s="75">
        <v>17568</v>
      </c>
      <c r="AE3" s="75">
        <v>21198</v>
      </c>
      <c r="AF3" s="75">
        <v>20063</v>
      </c>
      <c r="AG3" s="75">
        <v>18594</v>
      </c>
      <c r="AH3" s="75">
        <v>14335</v>
      </c>
      <c r="AI3" s="75">
        <v>21783</v>
      </c>
      <c r="AJ3" s="75">
        <f>'[31]Export par type'!$D$5</f>
        <v>17122.666000000001</v>
      </c>
      <c r="AK3" s="75">
        <v>16235</v>
      </c>
      <c r="AL3" s="74" t="s">
        <v>170</v>
      </c>
      <c r="AM3" s="75">
        <v>15843</v>
      </c>
      <c r="AN3" s="75">
        <v>20500</v>
      </c>
    </row>
    <row r="4" spans="1:40" ht="26.4" x14ac:dyDescent="0.7">
      <c r="B4" s="3" t="s">
        <v>11</v>
      </c>
      <c r="D4" s="70" t="s">
        <v>166</v>
      </c>
      <c r="E4" s="71" t="s">
        <v>167</v>
      </c>
      <c r="F4">
        <v>3</v>
      </c>
      <c r="G4">
        <v>3</v>
      </c>
      <c r="H4">
        <v>1</v>
      </c>
      <c r="I4" s="76" t="s">
        <v>171</v>
      </c>
      <c r="J4" s="74" t="s">
        <v>35</v>
      </c>
      <c r="K4" s="77">
        <v>106631</v>
      </c>
      <c r="L4" s="77">
        <v>91140</v>
      </c>
      <c r="M4" s="77">
        <v>74571</v>
      </c>
      <c r="N4" s="77">
        <v>37977</v>
      </c>
      <c r="O4" s="77">
        <v>43378</v>
      </c>
      <c r="P4" s="77">
        <v>43038</v>
      </c>
      <c r="Q4" s="77">
        <v>55980</v>
      </c>
      <c r="R4" s="77">
        <v>48711</v>
      </c>
      <c r="S4" s="77">
        <v>58397</v>
      </c>
      <c r="T4" s="77">
        <v>71664</v>
      </c>
      <c r="U4" s="77">
        <v>78699</v>
      </c>
      <c r="V4" s="77">
        <v>90080</v>
      </c>
      <c r="W4" s="77">
        <v>85130</v>
      </c>
      <c r="X4" s="77">
        <v>95609</v>
      </c>
      <c r="Y4" s="77">
        <v>70364</v>
      </c>
      <c r="Z4" s="75">
        <v>70139</v>
      </c>
      <c r="AA4" s="75">
        <v>94385</v>
      </c>
      <c r="AB4" s="75">
        <v>121929</v>
      </c>
      <c r="AC4" s="75">
        <v>77414</v>
      </c>
      <c r="AD4" s="75">
        <v>72478</v>
      </c>
      <c r="AE4" s="75">
        <v>79578</v>
      </c>
      <c r="AF4" s="75">
        <v>67797</v>
      </c>
      <c r="AG4" s="75">
        <v>95193</v>
      </c>
      <c r="AH4" s="75">
        <v>82731</v>
      </c>
      <c r="AI4" s="75">
        <v>118441</v>
      </c>
      <c r="AJ4" s="75">
        <f>'[31]Export par type'!$F$5</f>
        <v>67748.964000000007</v>
      </c>
      <c r="AK4" s="75">
        <v>78478</v>
      </c>
      <c r="AL4" s="75">
        <v>96749</v>
      </c>
      <c r="AM4" s="75">
        <v>74848</v>
      </c>
      <c r="AN4" s="75">
        <v>92320</v>
      </c>
    </row>
    <row r="5" spans="1:40" ht="26.4" x14ac:dyDescent="0.7">
      <c r="B5" s="3" t="s">
        <v>11</v>
      </c>
      <c r="D5" s="70" t="s">
        <v>166</v>
      </c>
      <c r="E5" s="71" t="s">
        <v>167</v>
      </c>
      <c r="F5">
        <v>4</v>
      </c>
      <c r="G5">
        <v>4</v>
      </c>
      <c r="I5" s="73" t="s">
        <v>172</v>
      </c>
      <c r="J5" s="74" t="s">
        <v>35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9"/>
      <c r="W5" s="79"/>
      <c r="X5" s="79"/>
      <c r="Y5" s="79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40" ht="26.4" x14ac:dyDescent="0.7">
      <c r="B6" s="3" t="s">
        <v>11</v>
      </c>
      <c r="D6" s="70" t="s">
        <v>166</v>
      </c>
      <c r="E6" s="71" t="s">
        <v>167</v>
      </c>
      <c r="F6">
        <v>5</v>
      </c>
      <c r="G6">
        <v>5</v>
      </c>
      <c r="H6">
        <v>4</v>
      </c>
      <c r="I6" s="76" t="s">
        <v>169</v>
      </c>
      <c r="J6" s="74" t="s">
        <v>35</v>
      </c>
      <c r="K6" s="79">
        <v>16325</v>
      </c>
      <c r="L6" s="79">
        <v>17665</v>
      </c>
      <c r="M6" s="79">
        <v>14424</v>
      </c>
      <c r="N6" s="79">
        <v>15594</v>
      </c>
      <c r="O6" s="79">
        <v>17279</v>
      </c>
      <c r="P6" s="79">
        <v>21456</v>
      </c>
      <c r="Q6" s="79">
        <v>24149</v>
      </c>
      <c r="R6" s="79">
        <v>21300</v>
      </c>
      <c r="S6" s="79">
        <v>15864</v>
      </c>
      <c r="T6" s="79">
        <v>19404</v>
      </c>
      <c r="U6" s="79">
        <v>19372</v>
      </c>
      <c r="V6" s="77">
        <v>18439</v>
      </c>
      <c r="W6" s="77">
        <v>22070</v>
      </c>
      <c r="X6" s="77">
        <v>19421</v>
      </c>
      <c r="Y6" s="77">
        <v>37262</v>
      </c>
      <c r="Z6" s="75">
        <v>23417</v>
      </c>
      <c r="AA6" s="75">
        <v>29941</v>
      </c>
      <c r="AB6" s="75">
        <v>35002</v>
      </c>
      <c r="AC6" s="75">
        <v>42923</v>
      </c>
      <c r="AD6" s="75">
        <v>44988</v>
      </c>
      <c r="AE6" s="75">
        <v>58921</v>
      </c>
      <c r="AF6" s="75">
        <v>70786</v>
      </c>
      <c r="AG6" s="75">
        <v>73062</v>
      </c>
      <c r="AH6" s="75">
        <v>97195</v>
      </c>
      <c r="AI6" s="75">
        <v>101612</v>
      </c>
      <c r="AJ6" s="75">
        <f>'[31]Export par type'!$D$6</f>
        <v>309837.53899999999</v>
      </c>
      <c r="AK6" s="75">
        <v>146759</v>
      </c>
      <c r="AL6" s="75">
        <v>155290</v>
      </c>
      <c r="AM6" s="75">
        <v>156299</v>
      </c>
      <c r="AN6" s="75">
        <v>166395</v>
      </c>
    </row>
    <row r="7" spans="1:40" ht="26.4" x14ac:dyDescent="0.7">
      <c r="B7" s="3" t="s">
        <v>11</v>
      </c>
      <c r="D7" s="70" t="s">
        <v>166</v>
      </c>
      <c r="E7" s="71" t="s">
        <v>167</v>
      </c>
      <c r="F7">
        <v>6</v>
      </c>
      <c r="G7">
        <v>6</v>
      </c>
      <c r="H7">
        <v>4</v>
      </c>
      <c r="I7" s="76" t="s">
        <v>171</v>
      </c>
      <c r="J7" s="74" t="s">
        <v>35</v>
      </c>
      <c r="K7" s="77">
        <v>65903</v>
      </c>
      <c r="L7" s="77">
        <v>68852</v>
      </c>
      <c r="M7" s="77">
        <v>56703</v>
      </c>
      <c r="N7" s="77">
        <v>44820</v>
      </c>
      <c r="O7" s="77">
        <v>44265</v>
      </c>
      <c r="P7" s="77">
        <v>47073</v>
      </c>
      <c r="Q7" s="77">
        <v>59867</v>
      </c>
      <c r="R7" s="77">
        <v>69477</v>
      </c>
      <c r="S7" s="77">
        <v>55831</v>
      </c>
      <c r="T7" s="77">
        <v>80330</v>
      </c>
      <c r="U7" s="77">
        <v>64332</v>
      </c>
      <c r="V7" s="77">
        <v>67289</v>
      </c>
      <c r="W7" s="77">
        <v>112857</v>
      </c>
      <c r="X7" s="77">
        <v>123422</v>
      </c>
      <c r="Y7" s="77">
        <v>152178</v>
      </c>
      <c r="Z7" s="75">
        <v>122798</v>
      </c>
      <c r="AA7" s="75">
        <v>206156</v>
      </c>
      <c r="AB7" s="75">
        <v>222152</v>
      </c>
      <c r="AC7" s="75">
        <v>164240</v>
      </c>
      <c r="AD7" s="75">
        <v>201560</v>
      </c>
      <c r="AE7" s="75">
        <v>188486</v>
      </c>
      <c r="AF7" s="75">
        <v>235401</v>
      </c>
      <c r="AG7" s="75">
        <v>321189</v>
      </c>
      <c r="AH7" s="75">
        <v>415004</v>
      </c>
      <c r="AI7" s="75">
        <v>389117</v>
      </c>
      <c r="AJ7" s="75">
        <f>'[31]Export par type'!$F$6</f>
        <v>473963.38299999997</v>
      </c>
      <c r="AK7" s="75">
        <v>380120</v>
      </c>
      <c r="AL7" s="75">
        <v>482461</v>
      </c>
      <c r="AM7" s="75">
        <v>372767</v>
      </c>
      <c r="AN7" s="75">
        <v>469019</v>
      </c>
    </row>
    <row r="8" spans="1:40" ht="26.4" x14ac:dyDescent="0.7">
      <c r="B8" s="3" t="s">
        <v>11</v>
      </c>
      <c r="D8" s="70" t="s">
        <v>166</v>
      </c>
      <c r="E8" s="71" t="s">
        <v>167</v>
      </c>
      <c r="F8">
        <v>7</v>
      </c>
      <c r="G8">
        <v>7</v>
      </c>
      <c r="I8" s="73" t="s">
        <v>173</v>
      </c>
      <c r="J8" s="74" t="s">
        <v>35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</row>
    <row r="9" spans="1:40" ht="26.4" x14ac:dyDescent="0.7">
      <c r="B9" s="3" t="s">
        <v>11</v>
      </c>
      <c r="D9" s="70" t="s">
        <v>166</v>
      </c>
      <c r="E9" s="71" t="s">
        <v>167</v>
      </c>
      <c r="F9">
        <v>8</v>
      </c>
      <c r="G9">
        <v>8</v>
      </c>
      <c r="H9">
        <v>7</v>
      </c>
      <c r="I9" s="76" t="s">
        <v>169</v>
      </c>
      <c r="J9" s="74" t="s">
        <v>35</v>
      </c>
      <c r="K9" s="77">
        <v>42887</v>
      </c>
      <c r="L9" s="77">
        <v>42104</v>
      </c>
      <c r="M9" s="77">
        <v>34487</v>
      </c>
      <c r="N9" s="77">
        <v>27428</v>
      </c>
      <c r="O9" s="77">
        <v>33245</v>
      </c>
      <c r="P9" s="77">
        <v>39273</v>
      </c>
      <c r="Q9" s="77">
        <v>48092</v>
      </c>
      <c r="R9" s="77">
        <v>40255</v>
      </c>
      <c r="S9" s="77">
        <v>34610</v>
      </c>
      <c r="T9" s="77">
        <v>39311</v>
      </c>
      <c r="U9" s="77">
        <v>42753</v>
      </c>
      <c r="V9" s="77">
        <v>41989</v>
      </c>
      <c r="W9" s="77">
        <v>43884</v>
      </c>
      <c r="X9" s="77">
        <v>37341</v>
      </c>
      <c r="Y9" s="77">
        <v>56949</v>
      </c>
      <c r="Z9" s="75">
        <v>48149</v>
      </c>
      <c r="AA9" s="75">
        <v>47628</v>
      </c>
      <c r="AB9" s="75">
        <v>56809</v>
      </c>
      <c r="AC9" s="75">
        <v>66759</v>
      </c>
      <c r="AD9" s="75">
        <v>62556</v>
      </c>
      <c r="AE9" s="75">
        <v>80119</v>
      </c>
      <c r="AF9" s="75">
        <v>90849</v>
      </c>
      <c r="AG9" s="75">
        <v>91656</v>
      </c>
      <c r="AH9" s="75">
        <v>111530</v>
      </c>
      <c r="AI9" s="75">
        <v>123395</v>
      </c>
      <c r="AJ9" s="75">
        <f>AJ3+AJ6</f>
        <v>326960.20500000002</v>
      </c>
      <c r="AK9" s="75">
        <v>162994</v>
      </c>
      <c r="AL9" s="75">
        <v>172012</v>
      </c>
      <c r="AM9" s="75">
        <v>172142</v>
      </c>
      <c r="AN9" s="75">
        <v>186895</v>
      </c>
    </row>
    <row r="10" spans="1:40" ht="26.4" x14ac:dyDescent="0.7">
      <c r="B10" s="3" t="s">
        <v>11</v>
      </c>
      <c r="D10" s="70" t="s">
        <v>166</v>
      </c>
      <c r="E10" s="71" t="s">
        <v>167</v>
      </c>
      <c r="F10">
        <v>9</v>
      </c>
      <c r="G10">
        <v>9</v>
      </c>
      <c r="H10">
        <v>7</v>
      </c>
      <c r="I10" s="76" t="s">
        <v>171</v>
      </c>
      <c r="J10" s="74" t="s">
        <v>35</v>
      </c>
      <c r="K10" s="79">
        <v>172534</v>
      </c>
      <c r="L10" s="79">
        <v>159992</v>
      </c>
      <c r="M10" s="79">
        <v>131274</v>
      </c>
      <c r="N10" s="79">
        <v>82797</v>
      </c>
      <c r="O10" s="79">
        <v>87643</v>
      </c>
      <c r="P10" s="79">
        <v>90111</v>
      </c>
      <c r="Q10" s="79">
        <v>115847</v>
      </c>
      <c r="R10" s="79">
        <v>118188</v>
      </c>
      <c r="S10" s="79">
        <v>114228</v>
      </c>
      <c r="T10" s="79">
        <v>151994</v>
      </c>
      <c r="U10" s="79">
        <v>143031</v>
      </c>
      <c r="V10" s="77">
        <v>157369</v>
      </c>
      <c r="W10" s="77">
        <v>197987</v>
      </c>
      <c r="X10" s="77">
        <v>219031</v>
      </c>
      <c r="Y10" s="77">
        <v>222542</v>
      </c>
      <c r="Z10" s="75">
        <v>192937</v>
      </c>
      <c r="AA10" s="75">
        <v>300541</v>
      </c>
      <c r="AB10" s="75">
        <v>344081</v>
      </c>
      <c r="AC10" s="75">
        <v>241654</v>
      </c>
      <c r="AD10" s="75">
        <v>274038</v>
      </c>
      <c r="AE10" s="75">
        <v>268064</v>
      </c>
      <c r="AF10" s="75">
        <v>303198</v>
      </c>
      <c r="AG10" s="75">
        <v>416382</v>
      </c>
      <c r="AH10" s="75">
        <v>497735</v>
      </c>
      <c r="AI10" s="75">
        <v>507558</v>
      </c>
      <c r="AJ10" s="75">
        <f>AJ4+AJ7</f>
        <v>541712.34699999995</v>
      </c>
      <c r="AK10" s="75">
        <v>458598</v>
      </c>
      <c r="AL10" s="80">
        <v>579210</v>
      </c>
      <c r="AM10" s="75">
        <v>447615</v>
      </c>
      <c r="AN10" s="75">
        <v>561339</v>
      </c>
    </row>
    <row r="11" spans="1:40" ht="27" x14ac:dyDescent="0.7">
      <c r="J11" s="72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7089-E406-461E-9DFD-9B899C45AF3F}">
  <sheetPr>
    <tabColor theme="6"/>
  </sheetPr>
  <dimension ref="A1:AN22"/>
  <sheetViews>
    <sheetView zoomScale="41" workbookViewId="0">
      <selection activeCell="K6" sqref="K6"/>
    </sheetView>
  </sheetViews>
  <sheetFormatPr baseColWidth="10" defaultRowHeight="14.4" x14ac:dyDescent="0.3"/>
  <cols>
    <col min="2" max="2" width="33" customWidth="1"/>
    <col min="9" max="9" width="20.88671875" customWidth="1"/>
    <col min="10" max="10" width="26.6640625" customWidth="1"/>
    <col min="11" max="13" width="13.77734375" bestFit="1" customWidth="1"/>
    <col min="14" max="16" width="11.88671875" bestFit="1" customWidth="1"/>
    <col min="17" max="21" width="13.77734375" bestFit="1" customWidth="1"/>
    <col min="22" max="22" width="22.5546875" bestFit="1" customWidth="1"/>
    <col min="23" max="25" width="13.77734375" bestFit="1" customWidth="1"/>
    <col min="26" max="38" width="11.77734375" bestFit="1" customWidth="1"/>
    <col min="39" max="39" width="11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7.6" thickBot="1" x14ac:dyDescent="0.8">
      <c r="B2" s="3" t="s">
        <v>11</v>
      </c>
      <c r="D2" s="82" t="s">
        <v>174</v>
      </c>
      <c r="E2" s="83" t="s">
        <v>175</v>
      </c>
      <c r="F2">
        <v>1</v>
      </c>
      <c r="G2">
        <v>1</v>
      </c>
      <c r="I2" s="84" t="s">
        <v>176</v>
      </c>
      <c r="J2" s="85" t="s">
        <v>35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8"/>
    </row>
    <row r="3" spans="1:40" ht="27.6" thickBot="1" x14ac:dyDescent="0.8">
      <c r="B3" s="3" t="s">
        <v>11</v>
      </c>
      <c r="D3" s="82" t="s">
        <v>174</v>
      </c>
      <c r="E3" s="83" t="s">
        <v>175</v>
      </c>
      <c r="F3">
        <v>2</v>
      </c>
      <c r="G3">
        <v>2</v>
      </c>
      <c r="H3">
        <v>1</v>
      </c>
      <c r="I3" s="89" t="s">
        <v>177</v>
      </c>
      <c r="J3" s="85" t="s">
        <v>35</v>
      </c>
      <c r="K3" s="89">
        <v>42887</v>
      </c>
      <c r="L3" s="89">
        <v>42104</v>
      </c>
      <c r="M3" s="89">
        <v>34487</v>
      </c>
      <c r="N3" s="89">
        <v>27428</v>
      </c>
      <c r="O3" s="89">
        <v>33245</v>
      </c>
      <c r="P3" s="89">
        <v>39273</v>
      </c>
      <c r="Q3" s="89">
        <v>48092</v>
      </c>
      <c r="R3" s="89">
        <v>40255</v>
      </c>
      <c r="S3" s="89">
        <v>34610</v>
      </c>
      <c r="T3" s="90">
        <v>39311</v>
      </c>
      <c r="U3" s="90">
        <v>42753</v>
      </c>
      <c r="V3" s="90">
        <v>44073</v>
      </c>
      <c r="W3" s="90">
        <v>43884</v>
      </c>
      <c r="X3" s="90">
        <v>37341</v>
      </c>
      <c r="Y3" s="90">
        <v>56949</v>
      </c>
      <c r="Z3" s="90">
        <v>48149</v>
      </c>
      <c r="AA3" s="88">
        <v>47628</v>
      </c>
      <c r="AB3" s="88">
        <v>56809</v>
      </c>
      <c r="AC3" s="88">
        <v>66759</v>
      </c>
      <c r="AD3" s="88">
        <v>62556</v>
      </c>
      <c r="AE3" s="88">
        <v>80119</v>
      </c>
      <c r="AF3" s="88">
        <v>90849</v>
      </c>
      <c r="AG3" s="88">
        <v>91656</v>
      </c>
      <c r="AH3" s="88">
        <v>111530</v>
      </c>
      <c r="AI3" s="88">
        <v>123395</v>
      </c>
      <c r="AJ3" s="88">
        <v>136887</v>
      </c>
      <c r="AK3" s="88">
        <v>162994</v>
      </c>
      <c r="AL3" s="88">
        <v>76520.2</v>
      </c>
      <c r="AM3" s="88">
        <v>172142</v>
      </c>
      <c r="AN3" s="88">
        <v>229073</v>
      </c>
    </row>
    <row r="4" spans="1:40" ht="27.6" thickBot="1" x14ac:dyDescent="0.8">
      <c r="B4" s="3" t="s">
        <v>11</v>
      </c>
      <c r="D4" s="82" t="s">
        <v>174</v>
      </c>
      <c r="E4" s="83" t="s">
        <v>175</v>
      </c>
      <c r="F4">
        <v>3</v>
      </c>
      <c r="G4">
        <v>3</v>
      </c>
      <c r="H4">
        <v>2</v>
      </c>
      <c r="I4" s="89" t="s">
        <v>178</v>
      </c>
      <c r="J4" s="85" t="s">
        <v>35</v>
      </c>
      <c r="K4" s="91">
        <v>8365</v>
      </c>
      <c r="L4" s="91">
        <v>12784</v>
      </c>
      <c r="M4" s="91">
        <v>9282</v>
      </c>
      <c r="N4" s="91">
        <v>7256</v>
      </c>
      <c r="O4" s="91">
        <v>5864</v>
      </c>
      <c r="P4" s="91">
        <v>8562</v>
      </c>
      <c r="Q4" s="91">
        <v>10610</v>
      </c>
      <c r="R4" s="91">
        <v>10512</v>
      </c>
      <c r="S4" s="91">
        <v>7700</v>
      </c>
      <c r="T4" s="90">
        <v>7915</v>
      </c>
      <c r="U4" s="90">
        <v>7486</v>
      </c>
      <c r="V4" s="90">
        <v>6750</v>
      </c>
      <c r="W4" s="90">
        <v>8411</v>
      </c>
      <c r="X4" s="90">
        <v>3829</v>
      </c>
      <c r="Y4" s="90">
        <v>4256</v>
      </c>
      <c r="Z4" s="90">
        <v>9537</v>
      </c>
      <c r="AA4" s="88">
        <f>5811+2194</f>
        <v>8005</v>
      </c>
      <c r="AB4" s="88">
        <f>4551+2410</f>
        <v>6961</v>
      </c>
      <c r="AC4" s="88">
        <v>10163</v>
      </c>
      <c r="AD4" s="88">
        <f>6382+2256</f>
        <v>8638</v>
      </c>
      <c r="AE4" s="88">
        <f>7078+3809</f>
        <v>10887</v>
      </c>
      <c r="AF4" s="88">
        <v>19888</v>
      </c>
      <c r="AG4" s="88">
        <v>20002</v>
      </c>
      <c r="AH4" s="88">
        <v>27015</v>
      </c>
      <c r="AI4" s="88">
        <v>20767</v>
      </c>
      <c r="AJ4" s="88">
        <v>21177</v>
      </c>
      <c r="AK4" s="88">
        <v>27393</v>
      </c>
      <c r="AL4" s="88">
        <v>23157</v>
      </c>
      <c r="AM4" s="88">
        <v>20129</v>
      </c>
      <c r="AN4" s="88">
        <v>21386</v>
      </c>
    </row>
    <row r="5" spans="1:40" ht="27.6" thickBot="1" x14ac:dyDescent="0.8">
      <c r="B5" s="3" t="s">
        <v>11</v>
      </c>
      <c r="D5" s="82" t="s">
        <v>174</v>
      </c>
      <c r="E5" s="83" t="s">
        <v>175</v>
      </c>
      <c r="F5">
        <v>4</v>
      </c>
      <c r="G5">
        <v>4</v>
      </c>
      <c r="H5">
        <v>2</v>
      </c>
      <c r="I5" s="92" t="s">
        <v>179</v>
      </c>
      <c r="J5" s="85" t="s">
        <v>35</v>
      </c>
      <c r="K5" s="93">
        <v>1250</v>
      </c>
      <c r="L5" s="93">
        <v>949</v>
      </c>
      <c r="M5" s="93">
        <v>1053</v>
      </c>
      <c r="N5" s="93">
        <v>407</v>
      </c>
      <c r="O5" s="93">
        <v>847</v>
      </c>
      <c r="P5" s="93">
        <v>2188</v>
      </c>
      <c r="Q5" s="93">
        <v>3344</v>
      </c>
      <c r="R5" s="93">
        <v>4076</v>
      </c>
      <c r="S5" s="93">
        <v>5127</v>
      </c>
      <c r="T5" s="90">
        <v>5073</v>
      </c>
      <c r="U5" s="90">
        <v>6348</v>
      </c>
      <c r="V5" s="90">
        <v>5275</v>
      </c>
      <c r="W5" s="90">
        <v>6413</v>
      </c>
      <c r="X5" s="90">
        <v>4070</v>
      </c>
      <c r="Y5" s="90">
        <v>4347</v>
      </c>
      <c r="Z5" s="90">
        <v>5405</v>
      </c>
      <c r="AA5" s="88">
        <v>7213</v>
      </c>
      <c r="AB5" s="88">
        <v>5041</v>
      </c>
      <c r="AC5" s="88">
        <v>7749</v>
      </c>
      <c r="AD5" s="88">
        <v>16579</v>
      </c>
      <c r="AE5" s="88">
        <v>24581</v>
      </c>
      <c r="AF5" s="88">
        <v>28880</v>
      </c>
      <c r="AG5" s="88">
        <v>22069</v>
      </c>
      <c r="AH5" s="88">
        <v>42777</v>
      </c>
      <c r="AI5" s="88">
        <v>40002</v>
      </c>
      <c r="AJ5" s="88">
        <v>69719</v>
      </c>
      <c r="AK5" s="88">
        <v>94101</v>
      </c>
      <c r="AL5" s="88"/>
      <c r="AM5" s="88">
        <v>98440</v>
      </c>
      <c r="AN5" s="88">
        <v>105021</v>
      </c>
    </row>
    <row r="6" spans="1:40" ht="27.6" thickBot="1" x14ac:dyDescent="0.8">
      <c r="B6" s="3" t="s">
        <v>11</v>
      </c>
      <c r="D6" s="82" t="s">
        <v>174</v>
      </c>
      <c r="E6" s="83" t="s">
        <v>175</v>
      </c>
      <c r="F6">
        <v>5</v>
      </c>
      <c r="G6">
        <v>5</v>
      </c>
      <c r="H6">
        <v>2</v>
      </c>
      <c r="I6" s="92" t="s">
        <v>180</v>
      </c>
      <c r="J6" s="85" t="s">
        <v>35</v>
      </c>
      <c r="K6" s="93">
        <v>110</v>
      </c>
      <c r="L6" s="93">
        <v>283</v>
      </c>
      <c r="M6" s="93">
        <v>637</v>
      </c>
      <c r="N6" s="93">
        <v>421</v>
      </c>
      <c r="O6" s="93">
        <v>354</v>
      </c>
      <c r="P6" s="93">
        <v>815</v>
      </c>
      <c r="Q6" s="93">
        <v>1290</v>
      </c>
      <c r="R6" s="93">
        <v>1491</v>
      </c>
      <c r="S6" s="93">
        <v>1695</v>
      </c>
      <c r="T6" s="90">
        <v>1102</v>
      </c>
      <c r="U6" s="90">
        <v>1029</v>
      </c>
      <c r="V6" s="90">
        <v>1731</v>
      </c>
      <c r="W6" s="90">
        <v>1108</v>
      </c>
      <c r="X6" s="90">
        <v>441</v>
      </c>
      <c r="Y6" s="90">
        <v>350</v>
      </c>
      <c r="Z6" s="90">
        <v>517</v>
      </c>
      <c r="AA6" s="88">
        <v>698</v>
      </c>
      <c r="AB6" s="88">
        <v>607</v>
      </c>
      <c r="AC6" s="88">
        <v>759</v>
      </c>
      <c r="AD6" s="88">
        <v>727</v>
      </c>
      <c r="AE6" s="88">
        <v>1030</v>
      </c>
      <c r="AF6" s="88">
        <v>915</v>
      </c>
      <c r="AG6" s="88">
        <v>1063.203</v>
      </c>
      <c r="AH6" s="88">
        <v>680</v>
      </c>
      <c r="AI6" s="88">
        <v>1157</v>
      </c>
      <c r="AJ6" s="88">
        <v>719</v>
      </c>
      <c r="AK6" s="88">
        <v>724</v>
      </c>
      <c r="AL6" s="88">
        <v>781</v>
      </c>
      <c r="AM6" s="88">
        <v>556</v>
      </c>
      <c r="AN6" s="88">
        <v>390</v>
      </c>
    </row>
    <row r="7" spans="1:40" ht="27.6" thickBot="1" x14ac:dyDescent="0.8">
      <c r="B7" s="3" t="s">
        <v>11</v>
      </c>
      <c r="D7" s="82" t="s">
        <v>174</v>
      </c>
      <c r="E7" s="83" t="s">
        <v>175</v>
      </c>
      <c r="F7">
        <v>6</v>
      </c>
      <c r="G7">
        <v>6</v>
      </c>
      <c r="H7">
        <v>2</v>
      </c>
      <c r="I7" s="92" t="s">
        <v>181</v>
      </c>
      <c r="J7" s="85" t="s">
        <v>35</v>
      </c>
      <c r="K7" s="93"/>
      <c r="L7" s="93"/>
      <c r="M7" s="93"/>
      <c r="N7" s="93"/>
      <c r="O7" s="93"/>
      <c r="P7" s="93"/>
      <c r="Q7" s="93"/>
      <c r="R7" s="93"/>
      <c r="S7" s="93"/>
      <c r="T7" s="10"/>
      <c r="U7" s="10"/>
      <c r="V7" s="10"/>
      <c r="W7" s="10"/>
      <c r="X7" s="10"/>
      <c r="Y7" s="10"/>
      <c r="Z7" s="90">
        <v>5252</v>
      </c>
      <c r="AA7" s="88">
        <v>5256</v>
      </c>
      <c r="AB7" s="88">
        <v>3889</v>
      </c>
      <c r="AC7" s="88">
        <v>7324</v>
      </c>
      <c r="AD7" s="88">
        <v>3856</v>
      </c>
      <c r="AE7" s="88">
        <v>3466</v>
      </c>
      <c r="AF7" s="88">
        <v>4097</v>
      </c>
      <c r="AG7" s="88">
        <v>3141</v>
      </c>
      <c r="AH7" s="88">
        <v>5833</v>
      </c>
      <c r="AI7" s="88">
        <v>7952</v>
      </c>
      <c r="AJ7" s="88">
        <v>4698</v>
      </c>
      <c r="AK7" s="88">
        <v>8020</v>
      </c>
      <c r="AL7" s="88">
        <v>8796</v>
      </c>
      <c r="AM7" s="88">
        <v>16157</v>
      </c>
      <c r="AN7" s="88">
        <v>16348</v>
      </c>
    </row>
    <row r="8" spans="1:40" ht="27.6" thickBot="1" x14ac:dyDescent="0.8">
      <c r="B8" s="3" t="s">
        <v>11</v>
      </c>
      <c r="D8" s="82" t="s">
        <v>174</v>
      </c>
      <c r="E8" s="83" t="s">
        <v>175</v>
      </c>
      <c r="F8">
        <v>7</v>
      </c>
      <c r="G8">
        <v>7</v>
      </c>
      <c r="H8">
        <v>2</v>
      </c>
      <c r="I8" s="92" t="s">
        <v>182</v>
      </c>
      <c r="J8" s="85" t="s">
        <v>35</v>
      </c>
      <c r="K8" s="93"/>
      <c r="L8" s="93"/>
      <c r="M8" s="93"/>
      <c r="N8" s="93"/>
      <c r="O8" s="93"/>
      <c r="P8" s="93"/>
      <c r="Q8" s="93"/>
      <c r="R8" s="93"/>
      <c r="S8" s="93"/>
      <c r="T8" s="10"/>
      <c r="U8" s="10"/>
      <c r="V8" s="10"/>
      <c r="W8" s="10"/>
      <c r="X8" s="10"/>
      <c r="Y8" s="10"/>
      <c r="Z8" s="88"/>
      <c r="AA8" s="88"/>
      <c r="AB8" s="88"/>
      <c r="AC8" s="88"/>
      <c r="AD8" s="88"/>
      <c r="AE8" s="88"/>
      <c r="AF8" s="88"/>
      <c r="AG8" s="88">
        <v>76</v>
      </c>
      <c r="AH8" s="88">
        <v>406</v>
      </c>
      <c r="AI8" s="88">
        <v>453</v>
      </c>
      <c r="AJ8" s="88"/>
      <c r="AK8" s="88">
        <v>957</v>
      </c>
      <c r="AL8" s="88">
        <v>855.2</v>
      </c>
      <c r="AM8" s="88">
        <v>817</v>
      </c>
      <c r="AN8" s="88">
        <v>786</v>
      </c>
    </row>
    <row r="9" spans="1:40" ht="27.6" thickBot="1" x14ac:dyDescent="0.8">
      <c r="B9" s="3" t="s">
        <v>11</v>
      </c>
      <c r="D9" s="82" t="s">
        <v>174</v>
      </c>
      <c r="E9" s="83" t="s">
        <v>175</v>
      </c>
      <c r="F9">
        <v>8</v>
      </c>
      <c r="G9">
        <v>8</v>
      </c>
      <c r="H9">
        <v>2</v>
      </c>
      <c r="I9" s="89" t="s">
        <v>183</v>
      </c>
      <c r="J9" s="85" t="s">
        <v>35</v>
      </c>
      <c r="K9" s="91">
        <v>33162</v>
      </c>
      <c r="L9" s="91">
        <v>28088</v>
      </c>
      <c r="M9" s="91">
        <v>23515</v>
      </c>
      <c r="N9" s="91">
        <v>19344</v>
      </c>
      <c r="O9" s="91">
        <v>26180</v>
      </c>
      <c r="P9" s="91">
        <v>27708</v>
      </c>
      <c r="Q9" s="91">
        <v>32848</v>
      </c>
      <c r="R9" s="91">
        <v>24176</v>
      </c>
      <c r="S9" s="91">
        <v>20088</v>
      </c>
      <c r="T9" s="90">
        <v>25221</v>
      </c>
      <c r="U9" s="90">
        <v>27890</v>
      </c>
      <c r="V9" s="90">
        <v>30317</v>
      </c>
      <c r="W9" s="90">
        <v>27952</v>
      </c>
      <c r="X9" s="90">
        <v>29001</v>
      </c>
      <c r="Y9" s="90">
        <v>47996</v>
      </c>
      <c r="Z9" s="90">
        <v>27438</v>
      </c>
      <c r="AA9" s="88">
        <v>26456</v>
      </c>
      <c r="AB9" s="88">
        <v>40311</v>
      </c>
      <c r="AC9" s="88">
        <v>40764</v>
      </c>
      <c r="AD9" s="88">
        <v>32756</v>
      </c>
      <c r="AE9" s="88">
        <v>40155</v>
      </c>
      <c r="AF9" s="88">
        <v>37069</v>
      </c>
      <c r="AG9" s="88">
        <v>45305</v>
      </c>
      <c r="AH9" s="88">
        <v>34819</v>
      </c>
      <c r="AI9" s="88">
        <v>53064</v>
      </c>
      <c r="AJ9" s="88">
        <v>40574</v>
      </c>
      <c r="AK9" s="88">
        <v>31799</v>
      </c>
      <c r="AL9" s="88"/>
      <c r="AM9" s="88">
        <v>36043</v>
      </c>
      <c r="AN9" s="88">
        <v>42964</v>
      </c>
    </row>
    <row r="10" spans="1:40" ht="27.6" thickBot="1" x14ac:dyDescent="0.8">
      <c r="B10" s="3" t="s">
        <v>11</v>
      </c>
      <c r="D10" s="82" t="s">
        <v>174</v>
      </c>
      <c r="E10" s="83" t="s">
        <v>175</v>
      </c>
      <c r="F10">
        <v>9</v>
      </c>
      <c r="G10">
        <v>9</v>
      </c>
      <c r="H10">
        <v>2</v>
      </c>
      <c r="I10" s="89" t="s">
        <v>184</v>
      </c>
      <c r="J10" s="85" t="s">
        <v>35</v>
      </c>
      <c r="K10" s="94">
        <v>26639</v>
      </c>
      <c r="L10" s="94">
        <v>20252</v>
      </c>
      <c r="M10" s="94">
        <v>18556</v>
      </c>
      <c r="N10" s="94">
        <v>13439</v>
      </c>
      <c r="O10" s="94">
        <v>17694</v>
      </c>
      <c r="P10" s="94">
        <v>17381</v>
      </c>
      <c r="Q10" s="94">
        <v>21703</v>
      </c>
      <c r="R10" s="94">
        <v>18488</v>
      </c>
      <c r="S10" s="94">
        <v>15556</v>
      </c>
      <c r="T10" s="90">
        <v>20114</v>
      </c>
      <c r="U10" s="90">
        <v>21868</v>
      </c>
      <c r="V10" s="90">
        <v>25187</v>
      </c>
      <c r="W10" s="90">
        <v>22462</v>
      </c>
      <c r="X10" s="90">
        <v>23581</v>
      </c>
      <c r="Y10" s="90">
        <v>41566</v>
      </c>
      <c r="Z10" s="90">
        <v>23446</v>
      </c>
      <c r="AA10" s="95">
        <v>23556</v>
      </c>
      <c r="AB10" s="88">
        <v>35381</v>
      </c>
      <c r="AC10" s="88">
        <v>32732</v>
      </c>
      <c r="AD10" s="88">
        <v>27708</v>
      </c>
      <c r="AE10" s="88">
        <v>32903</v>
      </c>
      <c r="AF10" s="88">
        <v>30892</v>
      </c>
      <c r="AG10" s="88">
        <v>38549</v>
      </c>
      <c r="AH10" s="88">
        <v>29974</v>
      </c>
      <c r="AI10" s="88">
        <v>38826</v>
      </c>
      <c r="AJ10" s="88">
        <v>31164</v>
      </c>
      <c r="AK10" s="88">
        <v>25210</v>
      </c>
      <c r="AL10" s="88">
        <v>38909</v>
      </c>
      <c r="AM10" s="88">
        <v>29701</v>
      </c>
      <c r="AN10" s="88">
        <v>36707</v>
      </c>
    </row>
    <row r="11" spans="1:40" ht="27.6" thickBot="1" x14ac:dyDescent="0.8">
      <c r="B11" s="3" t="s">
        <v>11</v>
      </c>
      <c r="D11" s="82" t="s">
        <v>174</v>
      </c>
      <c r="E11" s="83" t="s">
        <v>175</v>
      </c>
      <c r="F11">
        <v>10</v>
      </c>
      <c r="G11">
        <v>10</v>
      </c>
      <c r="H11">
        <v>2</v>
      </c>
      <c r="I11" s="89" t="s">
        <v>185</v>
      </c>
      <c r="J11" s="85" t="s">
        <v>35</v>
      </c>
      <c r="K11" s="94">
        <v>4445</v>
      </c>
      <c r="L11" s="94">
        <v>5365</v>
      </c>
      <c r="M11" s="94">
        <v>3613</v>
      </c>
      <c r="N11" s="94">
        <v>3753</v>
      </c>
      <c r="O11" s="94">
        <v>6090</v>
      </c>
      <c r="P11" s="94">
        <v>7062</v>
      </c>
      <c r="Q11" s="94">
        <v>7332</v>
      </c>
      <c r="R11" s="94">
        <v>4113</v>
      </c>
      <c r="S11" s="94">
        <v>3854</v>
      </c>
      <c r="T11" s="90">
        <v>4524</v>
      </c>
      <c r="U11" s="90">
        <v>5252</v>
      </c>
      <c r="V11" s="90">
        <v>4671</v>
      </c>
      <c r="W11" s="90">
        <v>4748</v>
      </c>
      <c r="X11" s="90">
        <v>3874</v>
      </c>
      <c r="Y11" s="90">
        <v>5384</v>
      </c>
      <c r="Z11" s="90">
        <v>3441</v>
      </c>
      <c r="AA11" s="95">
        <v>2207</v>
      </c>
      <c r="AB11" s="88">
        <v>4094</v>
      </c>
      <c r="AC11" s="88">
        <v>5418</v>
      </c>
      <c r="AD11" s="88">
        <v>2856</v>
      </c>
      <c r="AE11" s="88">
        <v>3834</v>
      </c>
      <c r="AF11" s="88">
        <v>2479</v>
      </c>
      <c r="AG11" s="88">
        <v>2078</v>
      </c>
      <c r="AH11" s="88">
        <v>2130</v>
      </c>
      <c r="AI11" s="88">
        <v>3978</v>
      </c>
      <c r="AJ11" s="88">
        <v>4716</v>
      </c>
      <c r="AK11" s="88">
        <v>2609</v>
      </c>
      <c r="AL11" s="88">
        <v>2079</v>
      </c>
      <c r="AM11" s="88">
        <v>3773</v>
      </c>
      <c r="AN11" s="88">
        <v>2973</v>
      </c>
    </row>
    <row r="12" spans="1:40" ht="27.6" thickBot="1" x14ac:dyDescent="0.8">
      <c r="B12" s="3" t="s">
        <v>11</v>
      </c>
      <c r="D12" s="82" t="s">
        <v>174</v>
      </c>
      <c r="E12" s="83" t="s">
        <v>175</v>
      </c>
      <c r="F12">
        <v>11</v>
      </c>
      <c r="G12">
        <v>11</v>
      </c>
      <c r="H12">
        <v>2</v>
      </c>
      <c r="I12" s="89" t="s">
        <v>186</v>
      </c>
      <c r="J12" s="85" t="s">
        <v>35</v>
      </c>
      <c r="K12" s="94">
        <v>2078</v>
      </c>
      <c r="L12" s="94">
        <v>2471</v>
      </c>
      <c r="M12" s="94">
        <v>1346</v>
      </c>
      <c r="N12" s="94">
        <v>2152</v>
      </c>
      <c r="O12" s="94">
        <v>2396</v>
      </c>
      <c r="P12" s="94">
        <v>3265</v>
      </c>
      <c r="Q12" s="94">
        <v>3813</v>
      </c>
      <c r="R12" s="94">
        <v>1575</v>
      </c>
      <c r="S12" s="94">
        <v>678</v>
      </c>
      <c r="T12" s="90">
        <v>583</v>
      </c>
      <c r="U12" s="90">
        <v>770</v>
      </c>
      <c r="V12" s="90">
        <v>459</v>
      </c>
      <c r="W12" s="90">
        <v>742</v>
      </c>
      <c r="X12" s="90">
        <v>1546</v>
      </c>
      <c r="Y12" s="90">
        <v>1046</v>
      </c>
      <c r="Z12" s="90">
        <v>551</v>
      </c>
      <c r="AA12" s="95">
        <v>693</v>
      </c>
      <c r="AB12" s="88">
        <v>836</v>
      </c>
      <c r="AC12" s="88">
        <v>2614</v>
      </c>
      <c r="AD12" s="88">
        <v>2192</v>
      </c>
      <c r="AE12" s="88">
        <v>3418</v>
      </c>
      <c r="AF12" s="88">
        <v>3698</v>
      </c>
      <c r="AG12" s="88">
        <v>4678</v>
      </c>
      <c r="AH12" s="88">
        <v>2715</v>
      </c>
      <c r="AI12" s="88">
        <v>10260</v>
      </c>
      <c r="AJ12" s="88">
        <v>36450</v>
      </c>
      <c r="AK12" s="88">
        <v>3980</v>
      </c>
      <c r="AL12" s="88">
        <v>1943</v>
      </c>
      <c r="AM12" s="88">
        <v>2569</v>
      </c>
      <c r="AN12" s="88">
        <v>3284</v>
      </c>
    </row>
    <row r="13" spans="1:40" ht="27.6" thickBot="1" x14ac:dyDescent="0.8">
      <c r="B13" s="3" t="s">
        <v>11</v>
      </c>
      <c r="D13" s="82" t="s">
        <v>174</v>
      </c>
      <c r="E13" s="83" t="s">
        <v>175</v>
      </c>
      <c r="F13">
        <v>12</v>
      </c>
      <c r="G13">
        <v>12</v>
      </c>
      <c r="I13" s="97" t="s">
        <v>187</v>
      </c>
      <c r="J13" s="85" t="s">
        <v>35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88"/>
      <c r="AJ13" s="88"/>
      <c r="AK13" s="88"/>
      <c r="AL13" s="88"/>
      <c r="AM13" s="88"/>
      <c r="AN13" s="88"/>
    </row>
    <row r="14" spans="1:40" ht="27.6" thickBot="1" x14ac:dyDescent="0.8">
      <c r="B14" s="3" t="s">
        <v>11</v>
      </c>
      <c r="D14" s="82" t="s">
        <v>174</v>
      </c>
      <c r="E14" s="83" t="s">
        <v>175</v>
      </c>
      <c r="F14">
        <v>13</v>
      </c>
      <c r="G14">
        <v>13</v>
      </c>
      <c r="H14">
        <v>12</v>
      </c>
      <c r="I14" s="89" t="s">
        <v>177</v>
      </c>
      <c r="J14" s="85" t="s">
        <v>35</v>
      </c>
      <c r="K14" s="89">
        <v>172534</v>
      </c>
      <c r="L14" s="89">
        <v>159992</v>
      </c>
      <c r="M14" s="89">
        <v>131274</v>
      </c>
      <c r="N14" s="89">
        <v>82796</v>
      </c>
      <c r="O14" s="89">
        <v>87643</v>
      </c>
      <c r="P14" s="89">
        <v>90111</v>
      </c>
      <c r="Q14" s="89">
        <v>115846</v>
      </c>
      <c r="R14" s="89">
        <v>118188</v>
      </c>
      <c r="S14" s="89">
        <v>114228</v>
      </c>
      <c r="T14" s="95">
        <v>151994</v>
      </c>
      <c r="U14" s="95">
        <v>143031</v>
      </c>
      <c r="V14" s="95">
        <v>268500</v>
      </c>
      <c r="W14" s="95">
        <v>197987</v>
      </c>
      <c r="X14" s="95">
        <v>219031</v>
      </c>
      <c r="Y14" s="95">
        <v>222542</v>
      </c>
      <c r="Z14" s="95">
        <v>192937</v>
      </c>
      <c r="AA14" s="95">
        <v>300541</v>
      </c>
      <c r="AB14" s="95">
        <v>344081</v>
      </c>
      <c r="AC14" s="95">
        <v>241654</v>
      </c>
      <c r="AD14" s="95">
        <v>274038</v>
      </c>
      <c r="AE14" s="95">
        <v>268064</v>
      </c>
      <c r="AF14" s="95">
        <v>303198</v>
      </c>
      <c r="AG14" s="95">
        <v>415647</v>
      </c>
      <c r="AH14" s="95">
        <v>497735</v>
      </c>
      <c r="AI14" s="88">
        <v>507557</v>
      </c>
      <c r="AJ14" s="88">
        <v>345469</v>
      </c>
      <c r="AK14" s="88">
        <v>458598</v>
      </c>
      <c r="AL14" s="88">
        <v>613981</v>
      </c>
      <c r="AM14" s="88">
        <v>439432</v>
      </c>
      <c r="AN14" s="88">
        <v>968839</v>
      </c>
    </row>
    <row r="15" spans="1:40" ht="27.6" thickBot="1" x14ac:dyDescent="0.8">
      <c r="B15" s="3" t="s">
        <v>11</v>
      </c>
      <c r="D15" s="82" t="s">
        <v>174</v>
      </c>
      <c r="E15" s="83" t="s">
        <v>175</v>
      </c>
      <c r="F15">
        <v>14</v>
      </c>
      <c r="G15">
        <v>14</v>
      </c>
      <c r="H15">
        <v>13</v>
      </c>
      <c r="I15" s="89" t="s">
        <v>178</v>
      </c>
      <c r="J15" s="85" t="s">
        <v>35</v>
      </c>
      <c r="K15" s="91">
        <v>13112</v>
      </c>
      <c r="L15" s="91">
        <v>18841</v>
      </c>
      <c r="M15" s="91">
        <v>12257</v>
      </c>
      <c r="N15" s="91">
        <v>8869</v>
      </c>
      <c r="O15" s="91">
        <v>7981</v>
      </c>
      <c r="P15" s="91">
        <v>13194</v>
      </c>
      <c r="Q15" s="91">
        <v>15338</v>
      </c>
      <c r="R15" s="91">
        <v>14029</v>
      </c>
      <c r="S15" s="91">
        <v>8668</v>
      </c>
      <c r="T15" s="90">
        <v>7814</v>
      </c>
      <c r="U15" s="90">
        <v>7150</v>
      </c>
      <c r="V15" s="90">
        <v>115846</v>
      </c>
      <c r="W15" s="90">
        <v>18659</v>
      </c>
      <c r="X15" s="90">
        <v>10723</v>
      </c>
      <c r="Y15" s="90">
        <v>7765</v>
      </c>
      <c r="Z15" s="90">
        <v>13566</v>
      </c>
      <c r="AA15" s="95">
        <v>15049</v>
      </c>
      <c r="AB15" s="95">
        <f>11318+2768</f>
        <v>14086</v>
      </c>
      <c r="AC15" s="95">
        <v>19512</v>
      </c>
      <c r="AD15" s="95">
        <f>16240+5919</f>
        <v>22159</v>
      </c>
      <c r="AE15" s="95">
        <f>12569+4630</f>
        <v>17199</v>
      </c>
      <c r="AF15" s="95">
        <v>22227</v>
      </c>
      <c r="AG15" s="95">
        <v>21641</v>
      </c>
      <c r="AH15" s="95">
        <v>26766</v>
      </c>
      <c r="AI15" s="88">
        <v>19155</v>
      </c>
      <c r="AJ15" s="88">
        <v>18044</v>
      </c>
      <c r="AK15" s="88">
        <v>26603</v>
      </c>
      <c r="AL15" s="88">
        <v>21304</v>
      </c>
      <c r="AM15" s="88">
        <v>19231</v>
      </c>
      <c r="AN15" s="88">
        <v>24369</v>
      </c>
    </row>
    <row r="16" spans="1:40" ht="27.6" thickBot="1" x14ac:dyDescent="0.8">
      <c r="B16" s="3" t="s">
        <v>11</v>
      </c>
      <c r="D16" s="82" t="s">
        <v>174</v>
      </c>
      <c r="E16" s="83" t="s">
        <v>175</v>
      </c>
      <c r="F16">
        <v>15</v>
      </c>
      <c r="G16">
        <v>15</v>
      </c>
      <c r="H16">
        <v>13</v>
      </c>
      <c r="I16" s="92" t="s">
        <v>179</v>
      </c>
      <c r="J16" s="85" t="s">
        <v>35</v>
      </c>
      <c r="K16" s="93">
        <v>485</v>
      </c>
      <c r="L16" s="93">
        <v>488</v>
      </c>
      <c r="M16" s="93">
        <v>545</v>
      </c>
      <c r="N16" s="93">
        <v>208</v>
      </c>
      <c r="O16" s="93">
        <v>461</v>
      </c>
      <c r="P16" s="93">
        <v>1355</v>
      </c>
      <c r="Q16" s="93">
        <v>1725</v>
      </c>
      <c r="R16" s="93">
        <v>1840</v>
      </c>
      <c r="S16" s="93">
        <v>2162</v>
      </c>
      <c r="T16" s="90">
        <v>2084</v>
      </c>
      <c r="U16" s="90">
        <v>2717</v>
      </c>
      <c r="V16" s="90">
        <v>8107</v>
      </c>
      <c r="W16" s="90">
        <v>4327</v>
      </c>
      <c r="X16" s="90">
        <v>2837</v>
      </c>
      <c r="Y16" s="90">
        <v>2583</v>
      </c>
      <c r="Z16" s="90">
        <v>2829</v>
      </c>
      <c r="AA16" s="95">
        <v>4749</v>
      </c>
      <c r="AB16" s="95">
        <v>3354</v>
      </c>
      <c r="AC16" s="95">
        <v>5788</v>
      </c>
      <c r="AD16" s="95">
        <v>14592</v>
      </c>
      <c r="AE16" s="95">
        <v>14967</v>
      </c>
      <c r="AF16" s="95">
        <v>18172</v>
      </c>
      <c r="AG16" s="95">
        <v>12888</v>
      </c>
      <c r="AH16" s="95">
        <v>28924</v>
      </c>
      <c r="AI16" s="88">
        <v>26666</v>
      </c>
      <c r="AJ16" s="88">
        <v>48268</v>
      </c>
      <c r="AK16" s="88">
        <v>61939</v>
      </c>
      <c r="AL16" s="88">
        <v>95492</v>
      </c>
      <c r="AM16" s="88">
        <v>56231</v>
      </c>
      <c r="AN16" s="88">
        <v>72424</v>
      </c>
    </row>
    <row r="17" spans="2:40" ht="27.6" thickBot="1" x14ac:dyDescent="0.8">
      <c r="B17" s="3" t="s">
        <v>11</v>
      </c>
      <c r="D17" s="82" t="s">
        <v>174</v>
      </c>
      <c r="E17" s="83" t="s">
        <v>175</v>
      </c>
      <c r="F17">
        <v>16</v>
      </c>
      <c r="G17">
        <v>16</v>
      </c>
      <c r="H17">
        <v>13</v>
      </c>
      <c r="I17" s="92" t="s">
        <v>180</v>
      </c>
      <c r="J17" s="85" t="s">
        <v>35</v>
      </c>
      <c r="K17" s="93">
        <v>315</v>
      </c>
      <c r="L17" s="93">
        <v>883</v>
      </c>
      <c r="M17" s="93">
        <v>1448</v>
      </c>
      <c r="N17" s="93">
        <v>1249</v>
      </c>
      <c r="O17" s="93">
        <v>1074</v>
      </c>
      <c r="P17" s="93">
        <v>3732</v>
      </c>
      <c r="Q17" s="93">
        <v>5521</v>
      </c>
      <c r="R17" s="93">
        <v>6451</v>
      </c>
      <c r="S17" s="93">
        <v>6039</v>
      </c>
      <c r="T17" s="90">
        <v>3926</v>
      </c>
      <c r="U17" s="90">
        <v>3606</v>
      </c>
      <c r="V17" s="90">
        <v>2345</v>
      </c>
      <c r="W17" s="90">
        <v>5645</v>
      </c>
      <c r="X17" s="90">
        <v>2686</v>
      </c>
      <c r="Y17" s="90">
        <v>1770</v>
      </c>
      <c r="Z17" s="90">
        <v>2911</v>
      </c>
      <c r="AA17" s="95">
        <v>5486</v>
      </c>
      <c r="AB17" s="95">
        <v>4355</v>
      </c>
      <c r="AC17" s="95">
        <v>4508</v>
      </c>
      <c r="AD17" s="95">
        <v>4193</v>
      </c>
      <c r="AE17" s="95">
        <v>4664</v>
      </c>
      <c r="AF17" s="95">
        <v>4317</v>
      </c>
      <c r="AG17" s="95">
        <v>4217</v>
      </c>
      <c r="AH17" s="95">
        <v>3369</v>
      </c>
      <c r="AI17" s="88">
        <v>4399</v>
      </c>
      <c r="AJ17" s="88">
        <v>3582</v>
      </c>
      <c r="AK17" s="88">
        <v>3635</v>
      </c>
      <c r="AL17" s="88">
        <v>4061</v>
      </c>
      <c r="AM17" s="88">
        <v>3315</v>
      </c>
      <c r="AN17" s="88">
        <v>3261</v>
      </c>
    </row>
    <row r="18" spans="2:40" ht="27.6" thickBot="1" x14ac:dyDescent="0.8">
      <c r="B18" s="3" t="s">
        <v>11</v>
      </c>
      <c r="D18" s="82" t="s">
        <v>174</v>
      </c>
      <c r="E18" s="83" t="s">
        <v>175</v>
      </c>
      <c r="F18">
        <v>17</v>
      </c>
      <c r="G18">
        <v>17</v>
      </c>
      <c r="H18">
        <v>13</v>
      </c>
      <c r="I18" s="92" t="s">
        <v>181</v>
      </c>
      <c r="J18" s="85" t="s">
        <v>35</v>
      </c>
      <c r="K18" s="93"/>
      <c r="L18" s="93"/>
      <c r="M18" s="93"/>
      <c r="N18" s="93"/>
      <c r="O18" s="93"/>
      <c r="P18" s="93"/>
      <c r="Q18" s="93"/>
      <c r="R18" s="93"/>
      <c r="S18" s="93"/>
      <c r="T18" s="90"/>
      <c r="U18" s="90"/>
      <c r="V18" s="90"/>
      <c r="W18" s="90"/>
      <c r="X18" s="90"/>
      <c r="Y18" s="90"/>
      <c r="Z18" s="90">
        <v>4488</v>
      </c>
      <c r="AA18" s="95">
        <v>11151</v>
      </c>
      <c r="AB18" s="95">
        <v>7287</v>
      </c>
      <c r="AC18" s="95">
        <v>12503</v>
      </c>
      <c r="AD18" s="95">
        <v>5448</v>
      </c>
      <c r="AE18" s="95">
        <v>2822</v>
      </c>
      <c r="AF18" s="95">
        <v>3408</v>
      </c>
      <c r="AG18" s="95">
        <v>2766</v>
      </c>
      <c r="AH18" s="95">
        <v>7341</v>
      </c>
      <c r="AI18" s="88">
        <v>10735</v>
      </c>
      <c r="AJ18" s="88">
        <v>6264</v>
      </c>
      <c r="AK18" s="88">
        <v>11941</v>
      </c>
      <c r="AL18" s="88">
        <v>13041</v>
      </c>
      <c r="AM18" s="88">
        <v>28644</v>
      </c>
      <c r="AN18" s="88">
        <v>34773</v>
      </c>
    </row>
    <row r="19" spans="2:40" ht="27.6" thickBot="1" x14ac:dyDescent="0.8">
      <c r="B19" s="3" t="s">
        <v>11</v>
      </c>
      <c r="D19" s="82" t="s">
        <v>174</v>
      </c>
      <c r="E19" s="83" t="s">
        <v>175</v>
      </c>
      <c r="F19">
        <v>18</v>
      </c>
      <c r="G19">
        <v>18</v>
      </c>
      <c r="H19">
        <v>13</v>
      </c>
      <c r="I19" s="89" t="s">
        <v>183</v>
      </c>
      <c r="J19" s="85" t="s">
        <v>35</v>
      </c>
      <c r="K19" s="91">
        <v>158622</v>
      </c>
      <c r="L19" s="91">
        <v>139780</v>
      </c>
      <c r="M19" s="91">
        <v>117024</v>
      </c>
      <c r="N19" s="91">
        <v>72470</v>
      </c>
      <c r="O19" s="91">
        <v>78127</v>
      </c>
      <c r="P19" s="91">
        <v>71830</v>
      </c>
      <c r="Q19" s="91">
        <v>93262</v>
      </c>
      <c r="R19" s="91">
        <v>95868</v>
      </c>
      <c r="S19" s="91">
        <v>97359</v>
      </c>
      <c r="T19" s="90">
        <v>138170</v>
      </c>
      <c r="U19" s="90">
        <v>129558</v>
      </c>
      <c r="V19" s="90">
        <v>142202</v>
      </c>
      <c r="W19" s="90">
        <v>169356</v>
      </c>
      <c r="X19" s="90">
        <v>202784</v>
      </c>
      <c r="Y19" s="90">
        <v>210424</v>
      </c>
      <c r="Z19" s="90">
        <v>169143</v>
      </c>
      <c r="AA19" s="95">
        <v>264106</v>
      </c>
      <c r="AB19" s="95">
        <v>314999</v>
      </c>
      <c r="AC19" s="95">
        <v>199343</v>
      </c>
      <c r="AD19" s="95">
        <v>227646</v>
      </c>
      <c r="AE19" s="95">
        <v>228412</v>
      </c>
      <c r="AF19" s="95">
        <v>255074</v>
      </c>
      <c r="AG19" s="95">
        <v>374135</v>
      </c>
      <c r="AH19" s="95">
        <v>427144</v>
      </c>
      <c r="AI19" s="88">
        <v>442118</v>
      </c>
      <c r="AJ19" s="88">
        <v>269311</v>
      </c>
      <c r="AK19" s="88">
        <v>346412</v>
      </c>
      <c r="AL19" s="88"/>
      <c r="AM19" s="88">
        <v>332011</v>
      </c>
      <c r="AN19" s="88">
        <v>417006</v>
      </c>
    </row>
    <row r="20" spans="2:40" ht="27.6" thickBot="1" x14ac:dyDescent="0.8">
      <c r="B20" s="3" t="s">
        <v>11</v>
      </c>
      <c r="D20" s="82" t="s">
        <v>174</v>
      </c>
      <c r="E20" s="83" t="s">
        <v>175</v>
      </c>
      <c r="F20">
        <v>19</v>
      </c>
      <c r="G20">
        <v>19</v>
      </c>
      <c r="H20">
        <v>13</v>
      </c>
      <c r="I20" s="89" t="s">
        <v>184</v>
      </c>
      <c r="J20" s="85" t="s">
        <v>35</v>
      </c>
      <c r="K20" s="94">
        <v>137979</v>
      </c>
      <c r="L20" s="94">
        <v>114068</v>
      </c>
      <c r="M20" s="94">
        <v>99220</v>
      </c>
      <c r="N20" s="94">
        <v>52005</v>
      </c>
      <c r="O20" s="94">
        <v>56045</v>
      </c>
      <c r="P20" s="94">
        <v>45732</v>
      </c>
      <c r="Q20" s="94">
        <v>65804</v>
      </c>
      <c r="R20" s="94">
        <v>81227</v>
      </c>
      <c r="S20" s="94">
        <v>84692</v>
      </c>
      <c r="T20" s="90">
        <v>125139</v>
      </c>
      <c r="U20" s="90">
        <v>114128</v>
      </c>
      <c r="V20" s="90">
        <v>129770</v>
      </c>
      <c r="W20" s="90">
        <v>147150</v>
      </c>
      <c r="X20" s="90">
        <v>173609</v>
      </c>
      <c r="Y20" s="90">
        <v>192236</v>
      </c>
      <c r="Z20" s="90">
        <v>157724</v>
      </c>
      <c r="AA20" s="95">
        <v>249405</v>
      </c>
      <c r="AB20" s="95">
        <v>291375</v>
      </c>
      <c r="AC20" s="95">
        <v>168653</v>
      </c>
      <c r="AD20" s="95">
        <v>203043</v>
      </c>
      <c r="AE20" s="95">
        <v>197989</v>
      </c>
      <c r="AF20" s="95">
        <v>225984</v>
      </c>
      <c r="AG20" s="95">
        <v>335531</v>
      </c>
      <c r="AH20" s="95">
        <v>394272</v>
      </c>
      <c r="AI20" s="88">
        <v>360930</v>
      </c>
      <c r="AJ20" s="88">
        <v>229077</v>
      </c>
      <c r="AK20" s="88">
        <v>312978</v>
      </c>
      <c r="AL20" s="88">
        <v>460270</v>
      </c>
      <c r="AM20" s="88">
        <v>297626</v>
      </c>
      <c r="AN20" s="88">
        <v>376158</v>
      </c>
    </row>
    <row r="21" spans="2:40" ht="27.6" thickBot="1" x14ac:dyDescent="0.8">
      <c r="B21" s="3" t="s">
        <v>11</v>
      </c>
      <c r="D21" s="82" t="s">
        <v>174</v>
      </c>
      <c r="E21" s="83" t="s">
        <v>175</v>
      </c>
      <c r="F21">
        <v>20</v>
      </c>
      <c r="G21">
        <v>20</v>
      </c>
      <c r="H21">
        <v>13</v>
      </c>
      <c r="I21" s="89" t="s">
        <v>185</v>
      </c>
      <c r="J21" s="85" t="s">
        <v>35</v>
      </c>
      <c r="K21" s="94">
        <v>12605</v>
      </c>
      <c r="L21" s="94">
        <v>14410</v>
      </c>
      <c r="M21" s="94">
        <v>10171</v>
      </c>
      <c r="N21" s="94">
        <v>9439</v>
      </c>
      <c r="O21" s="94">
        <v>12092</v>
      </c>
      <c r="P21" s="94">
        <v>11957</v>
      </c>
      <c r="Q21" s="94">
        <v>14106</v>
      </c>
      <c r="R21" s="94">
        <v>8437</v>
      </c>
      <c r="S21" s="94">
        <v>9670</v>
      </c>
      <c r="T21" s="90">
        <v>9944</v>
      </c>
      <c r="U21" s="90">
        <v>11014</v>
      </c>
      <c r="V21" s="90">
        <v>10082</v>
      </c>
      <c r="W21" s="90">
        <v>16219</v>
      </c>
      <c r="X21" s="90">
        <v>14301</v>
      </c>
      <c r="Y21" s="90">
        <v>13623</v>
      </c>
      <c r="Z21" s="90">
        <v>9079</v>
      </c>
      <c r="AA21" s="95">
        <v>9868</v>
      </c>
      <c r="AB21" s="95">
        <v>17479</v>
      </c>
      <c r="AC21" s="95">
        <v>15828</v>
      </c>
      <c r="AD21" s="95">
        <v>9984</v>
      </c>
      <c r="AE21" s="95">
        <v>10864</v>
      </c>
      <c r="AF21" s="95">
        <v>7435</v>
      </c>
      <c r="AG21" s="95">
        <v>8273</v>
      </c>
      <c r="AH21" s="95">
        <v>10858</v>
      </c>
      <c r="AI21" s="88">
        <v>15477</v>
      </c>
      <c r="AJ21" s="88">
        <v>13965</v>
      </c>
      <c r="AK21" s="88">
        <v>8860</v>
      </c>
      <c r="AL21" s="88">
        <v>7268</v>
      </c>
      <c r="AM21" s="88">
        <v>15205</v>
      </c>
      <c r="AN21" s="88">
        <v>13714</v>
      </c>
    </row>
    <row r="22" spans="2:40" ht="27.6" thickBot="1" x14ac:dyDescent="0.8">
      <c r="B22" s="3" t="s">
        <v>11</v>
      </c>
      <c r="D22" s="82" t="s">
        <v>174</v>
      </c>
      <c r="E22" s="83" t="s">
        <v>175</v>
      </c>
      <c r="F22">
        <v>21</v>
      </c>
      <c r="G22">
        <v>21</v>
      </c>
      <c r="H22">
        <v>13</v>
      </c>
      <c r="I22" s="89" t="s">
        <v>186</v>
      </c>
      <c r="J22" s="85" t="s">
        <v>35</v>
      </c>
      <c r="K22" s="94">
        <v>8038</v>
      </c>
      <c r="L22" s="94">
        <v>11302</v>
      </c>
      <c r="M22" s="94">
        <v>7633</v>
      </c>
      <c r="N22" s="94">
        <v>11026</v>
      </c>
      <c r="O22" s="94">
        <v>9990</v>
      </c>
      <c r="P22" s="94">
        <v>14141</v>
      </c>
      <c r="Q22" s="94">
        <v>13352</v>
      </c>
      <c r="R22" s="94">
        <v>6204</v>
      </c>
      <c r="S22" s="94">
        <v>2997</v>
      </c>
      <c r="T22" s="90">
        <v>3087</v>
      </c>
      <c r="U22" s="90">
        <v>4416</v>
      </c>
      <c r="V22" s="90">
        <v>2350</v>
      </c>
      <c r="W22" s="90">
        <v>5987</v>
      </c>
      <c r="X22" s="90">
        <v>14874</v>
      </c>
      <c r="Y22" s="90">
        <v>4565</v>
      </c>
      <c r="Z22" s="90">
        <v>2340</v>
      </c>
      <c r="AA22" s="95">
        <v>4833</v>
      </c>
      <c r="AB22" s="95">
        <v>6145</v>
      </c>
      <c r="AC22" s="95">
        <v>14862</v>
      </c>
      <c r="AD22" s="95">
        <v>14619</v>
      </c>
      <c r="AE22" s="95">
        <v>19559</v>
      </c>
      <c r="AF22" s="95">
        <v>21655</v>
      </c>
      <c r="AG22" s="95">
        <v>30331</v>
      </c>
      <c r="AH22" s="95">
        <v>22014</v>
      </c>
      <c r="AI22" s="88">
        <v>65711</v>
      </c>
      <c r="AJ22" s="88">
        <v>26269</v>
      </c>
      <c r="AK22" s="88">
        <v>24574</v>
      </c>
      <c r="AL22" s="88">
        <v>12545</v>
      </c>
      <c r="AM22" s="88">
        <v>19180</v>
      </c>
      <c r="AN22" s="88">
        <v>27134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B874-2E2E-4731-8C5E-CEB17CFA6B07}">
  <sheetPr>
    <tabColor rgb="FF92D050"/>
  </sheetPr>
  <dimension ref="A1:AN17"/>
  <sheetViews>
    <sheetView zoomScale="49" workbookViewId="0">
      <selection activeCell="J8" sqref="J8"/>
    </sheetView>
  </sheetViews>
  <sheetFormatPr baseColWidth="10" defaultRowHeight="14.4" x14ac:dyDescent="0.3"/>
  <cols>
    <col min="9" max="9" width="40.77734375" customWidth="1"/>
    <col min="10" max="10" width="31.109375" customWidth="1"/>
    <col min="22" max="22" width="17" customWidth="1"/>
    <col min="40" max="40" width="14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31.8" customHeight="1" x14ac:dyDescent="0.3">
      <c r="B2" s="3" t="s">
        <v>11</v>
      </c>
      <c r="D2" s="98" t="s">
        <v>188</v>
      </c>
      <c r="E2" s="71" t="s">
        <v>167</v>
      </c>
      <c r="F2">
        <v>1</v>
      </c>
      <c r="G2">
        <v>1</v>
      </c>
      <c r="I2" t="s">
        <v>189</v>
      </c>
      <c r="J2" t="s">
        <v>35</v>
      </c>
    </row>
    <row r="3" spans="1:40" ht="26.4" x14ac:dyDescent="0.7">
      <c r="B3" s="3" t="s">
        <v>11</v>
      </c>
      <c r="D3" s="98" t="s">
        <v>188</v>
      </c>
      <c r="E3" s="71" t="s">
        <v>167</v>
      </c>
      <c r="F3">
        <v>2</v>
      </c>
      <c r="G3">
        <v>2</v>
      </c>
      <c r="H3">
        <v>1</v>
      </c>
      <c r="I3" s="99" t="s">
        <v>177</v>
      </c>
      <c r="J3" t="s">
        <v>35</v>
      </c>
      <c r="K3" s="96">
        <v>42887</v>
      </c>
      <c r="L3" s="96">
        <v>42104</v>
      </c>
      <c r="M3" s="96">
        <v>34487</v>
      </c>
      <c r="N3" s="96">
        <v>27428</v>
      </c>
      <c r="O3" s="96">
        <v>33245</v>
      </c>
      <c r="P3" s="96">
        <v>39273</v>
      </c>
      <c r="Q3" s="96">
        <v>48092</v>
      </c>
      <c r="R3" s="96">
        <v>40255</v>
      </c>
      <c r="S3" s="96">
        <v>34610</v>
      </c>
      <c r="T3" s="96">
        <v>39311</v>
      </c>
      <c r="U3" s="96">
        <v>42753</v>
      </c>
      <c r="V3" s="90">
        <v>43084</v>
      </c>
      <c r="W3" s="90">
        <v>43884</v>
      </c>
      <c r="X3" s="90">
        <v>37341</v>
      </c>
      <c r="Y3" s="90">
        <v>56949</v>
      </c>
      <c r="Z3" s="90">
        <v>42673</v>
      </c>
      <c r="AA3" s="88">
        <v>47628</v>
      </c>
      <c r="AB3" s="88">
        <v>56809</v>
      </c>
      <c r="AC3" s="88">
        <v>66759</v>
      </c>
      <c r="AD3" s="88">
        <v>62556</v>
      </c>
      <c r="AE3" s="88">
        <v>80119</v>
      </c>
      <c r="AF3" s="88">
        <v>90849</v>
      </c>
      <c r="AG3" s="88">
        <v>91657</v>
      </c>
      <c r="AH3" s="88">
        <v>111530</v>
      </c>
      <c r="AI3" s="88">
        <v>123395</v>
      </c>
      <c r="AJ3" s="88">
        <v>124040</v>
      </c>
      <c r="AK3" s="88">
        <v>149285</v>
      </c>
      <c r="AL3" s="88">
        <v>156149</v>
      </c>
      <c r="AM3" s="88">
        <v>152719</v>
      </c>
      <c r="AN3" s="88">
        <v>166605</v>
      </c>
    </row>
    <row r="4" spans="1:40" ht="26.4" x14ac:dyDescent="0.7">
      <c r="B4" s="3" t="s">
        <v>11</v>
      </c>
      <c r="D4" s="98" t="s">
        <v>188</v>
      </c>
      <c r="E4" s="71" t="s">
        <v>167</v>
      </c>
      <c r="F4">
        <v>3</v>
      </c>
      <c r="G4">
        <v>3</v>
      </c>
      <c r="H4">
        <v>2</v>
      </c>
      <c r="I4" s="99" t="s">
        <v>141</v>
      </c>
      <c r="J4" t="s">
        <v>35</v>
      </c>
      <c r="K4" s="96">
        <v>20126</v>
      </c>
      <c r="L4" s="96">
        <v>22457</v>
      </c>
      <c r="M4" s="96">
        <v>18344</v>
      </c>
      <c r="N4" s="96">
        <v>15961</v>
      </c>
      <c r="O4" s="96">
        <v>16789</v>
      </c>
      <c r="P4" s="96">
        <v>22548</v>
      </c>
      <c r="Q4" s="96">
        <v>32707</v>
      </c>
      <c r="R4" s="96">
        <v>26599</v>
      </c>
      <c r="S4" s="96">
        <v>24453</v>
      </c>
      <c r="T4" s="96">
        <v>20932</v>
      </c>
      <c r="U4" s="96">
        <v>20353</v>
      </c>
      <c r="V4" s="90">
        <v>20278</v>
      </c>
      <c r="W4" s="90">
        <v>21061</v>
      </c>
      <c r="X4" s="90">
        <v>14234</v>
      </c>
      <c r="Y4" s="90">
        <v>25440</v>
      </c>
      <c r="Z4" s="90">
        <v>16593</v>
      </c>
      <c r="AA4" s="88">
        <v>21163</v>
      </c>
      <c r="AB4" s="88">
        <v>20709</v>
      </c>
      <c r="AC4" s="88">
        <v>20374</v>
      </c>
      <c r="AD4" s="88">
        <v>24890</v>
      </c>
      <c r="AE4" s="88">
        <v>26858</v>
      </c>
      <c r="AF4" s="88">
        <v>28157</v>
      </c>
      <c r="AG4" s="88">
        <v>33451</v>
      </c>
      <c r="AH4" s="88">
        <v>30311</v>
      </c>
      <c r="AI4" s="88">
        <v>40875</v>
      </c>
      <c r="AJ4" s="88">
        <v>30734</v>
      </c>
      <c r="AK4" s="88">
        <v>30912</v>
      </c>
      <c r="AL4" s="88">
        <v>34155</v>
      </c>
      <c r="AM4" s="88">
        <v>29813</v>
      </c>
      <c r="AN4" s="88">
        <v>38328</v>
      </c>
    </row>
    <row r="5" spans="1:40" ht="26.4" x14ac:dyDescent="0.7">
      <c r="B5" s="3" t="s">
        <v>11</v>
      </c>
      <c r="D5" s="98" t="s">
        <v>188</v>
      </c>
      <c r="E5" s="71" t="s">
        <v>167</v>
      </c>
      <c r="F5">
        <v>4</v>
      </c>
      <c r="G5">
        <v>4</v>
      </c>
      <c r="H5">
        <v>3</v>
      </c>
      <c r="I5" s="99" t="s">
        <v>190</v>
      </c>
      <c r="J5" t="s">
        <v>35</v>
      </c>
      <c r="K5" s="100">
        <v>0.46927973511786786</v>
      </c>
      <c r="L5" s="100">
        <v>0.53336975109253282</v>
      </c>
      <c r="M5" s="100">
        <v>0.53191057499927508</v>
      </c>
      <c r="N5" s="100">
        <v>0.58192358174128622</v>
      </c>
      <c r="O5" s="100">
        <v>0.50500827192058961</v>
      </c>
      <c r="P5" s="100">
        <v>0.57413490184095939</v>
      </c>
      <c r="Q5" s="100">
        <v>0.68009232304749234</v>
      </c>
      <c r="R5" s="100">
        <v>0.66076263818159231</v>
      </c>
      <c r="S5" s="100">
        <v>0.70652990465183474</v>
      </c>
      <c r="T5" s="100">
        <v>0.53247182722393227</v>
      </c>
      <c r="U5" s="101">
        <v>0</v>
      </c>
      <c r="V5" s="102">
        <v>0.47066196267756011</v>
      </c>
      <c r="W5" s="102">
        <v>0.47992434600309908</v>
      </c>
      <c r="X5" s="102">
        <v>0.38119999999999998</v>
      </c>
      <c r="Y5" s="102">
        <v>0.44669999999999999</v>
      </c>
      <c r="Z5" s="102">
        <v>0.34460000000000002</v>
      </c>
      <c r="AA5" s="103">
        <v>0.444339464180734</v>
      </c>
      <c r="AB5" s="103">
        <v>0.36453730922917144</v>
      </c>
      <c r="AC5" s="103">
        <v>0.30518731556793843</v>
      </c>
      <c r="AD5" s="103">
        <v>0.39788349638723702</v>
      </c>
      <c r="AE5" s="103">
        <v>0.33522635080318025</v>
      </c>
      <c r="AF5" s="103">
        <v>0.30993186496274039</v>
      </c>
      <c r="AG5" s="103">
        <v>0.36820438309722725</v>
      </c>
      <c r="AH5" s="103">
        <v>0.27179999999999999</v>
      </c>
      <c r="AI5" s="103">
        <v>0.33129999999999998</v>
      </c>
      <c r="AJ5" s="103"/>
      <c r="AK5" s="103"/>
      <c r="AL5" s="104">
        <v>0.19900000000000001</v>
      </c>
      <c r="AM5" s="104">
        <v>0.19500000000000001</v>
      </c>
      <c r="AN5" s="104">
        <v>0.21</v>
      </c>
    </row>
    <row r="6" spans="1:40" ht="26.4" x14ac:dyDescent="0.7">
      <c r="B6" s="3" t="s">
        <v>11</v>
      </c>
      <c r="D6" s="98" t="s">
        <v>188</v>
      </c>
      <c r="E6" s="71" t="s">
        <v>167</v>
      </c>
      <c r="F6">
        <v>5</v>
      </c>
      <c r="G6">
        <v>5</v>
      </c>
      <c r="H6">
        <v>2</v>
      </c>
      <c r="I6" s="99" t="s">
        <v>96</v>
      </c>
      <c r="J6" t="s">
        <v>35</v>
      </c>
      <c r="K6" s="96">
        <v>21554</v>
      </c>
      <c r="L6" s="96">
        <v>18707</v>
      </c>
      <c r="M6" s="96">
        <v>15188</v>
      </c>
      <c r="N6" s="96">
        <v>11060</v>
      </c>
      <c r="O6" s="96">
        <v>15701</v>
      </c>
      <c r="P6" s="96">
        <v>14537</v>
      </c>
      <c r="Q6" s="96">
        <v>12041</v>
      </c>
      <c r="R6" s="96">
        <v>9580</v>
      </c>
      <c r="S6" s="96">
        <v>7022</v>
      </c>
      <c r="T6" s="96">
        <v>13976</v>
      </c>
      <c r="U6" s="96">
        <v>16078</v>
      </c>
      <c r="V6" s="90">
        <v>17566</v>
      </c>
      <c r="W6" s="90">
        <v>16396</v>
      </c>
      <c r="X6" s="90">
        <v>19224</v>
      </c>
      <c r="Y6" s="90">
        <v>27401</v>
      </c>
      <c r="Z6" s="90">
        <v>16538</v>
      </c>
      <c r="AA6" s="88">
        <v>14983</v>
      </c>
      <c r="AB6" s="88">
        <v>23162</v>
      </c>
      <c r="AC6" s="88">
        <v>19531</v>
      </c>
      <c r="AD6" s="88">
        <v>12290</v>
      </c>
      <c r="AE6" s="88">
        <v>13934</v>
      </c>
      <c r="AF6" s="88">
        <v>13879</v>
      </c>
      <c r="AG6" s="88">
        <v>14503</v>
      </c>
      <c r="AH6" s="88">
        <v>9661</v>
      </c>
      <c r="AI6" s="88">
        <v>12930</v>
      </c>
      <c r="AJ6" s="88">
        <v>10041</v>
      </c>
      <c r="AK6" s="88">
        <v>5638</v>
      </c>
      <c r="AL6" s="88">
        <v>11370</v>
      </c>
      <c r="AM6" s="88">
        <v>11944</v>
      </c>
      <c r="AN6" s="88">
        <v>11286</v>
      </c>
    </row>
    <row r="7" spans="1:40" ht="26.4" x14ac:dyDescent="0.7">
      <c r="B7" s="3" t="s">
        <v>11</v>
      </c>
      <c r="D7" s="98" t="s">
        <v>188</v>
      </c>
      <c r="E7" s="71" t="s">
        <v>167</v>
      </c>
      <c r="F7">
        <v>6</v>
      </c>
      <c r="G7">
        <v>6</v>
      </c>
      <c r="H7">
        <v>5</v>
      </c>
      <c r="I7" s="99" t="s">
        <v>190</v>
      </c>
      <c r="J7" t="s">
        <v>35</v>
      </c>
      <c r="K7" s="100">
        <v>0.50257653834495297</v>
      </c>
      <c r="L7" s="100">
        <v>0.44430457913737414</v>
      </c>
      <c r="M7" s="100">
        <v>0.44039783106677877</v>
      </c>
      <c r="N7" s="100">
        <v>0.40323756744932188</v>
      </c>
      <c r="O7" s="100">
        <v>0.47228154609715745</v>
      </c>
      <c r="P7" s="100">
        <v>0.37015252208896698</v>
      </c>
      <c r="Q7" s="100">
        <v>0.2503742826249688</v>
      </c>
      <c r="R7" s="100">
        <v>0.23798285927214011</v>
      </c>
      <c r="S7" s="100">
        <v>0.20288933834151979</v>
      </c>
      <c r="T7" s="100">
        <v>0.35552389916308413</v>
      </c>
      <c r="U7" s="101">
        <v>0.37606717657240429</v>
      </c>
      <c r="V7" s="102">
        <v>0.40799999999999997</v>
      </c>
      <c r="W7" s="102">
        <v>0.37362136541791996</v>
      </c>
      <c r="X7" s="102">
        <v>0.51480000000000004</v>
      </c>
      <c r="Y7" s="102">
        <v>0.48110000000000003</v>
      </c>
      <c r="Z7" s="102">
        <v>0.34350000000000003</v>
      </c>
      <c r="AA7" s="103">
        <v>0.3145838582346519</v>
      </c>
      <c r="AB7" s="103">
        <v>0.40771708708127236</v>
      </c>
      <c r="AC7" s="103">
        <v>0.29255980467053133</v>
      </c>
      <c r="AD7" s="103">
        <v>0.19646396828441717</v>
      </c>
      <c r="AE7" s="103">
        <v>0.17391629950448709</v>
      </c>
      <c r="AF7" s="103">
        <v>0.15276998095741284</v>
      </c>
      <c r="AG7" s="103">
        <v>0.15963852106242227</v>
      </c>
      <c r="AH7" s="103" t="s">
        <v>191</v>
      </c>
      <c r="AI7" s="103">
        <v>0.1048</v>
      </c>
      <c r="AJ7" s="103"/>
      <c r="AK7" s="103"/>
      <c r="AL7" s="104">
        <v>6.6000000000000003E-2</v>
      </c>
      <c r="AM7" s="104">
        <v>7.8E-2</v>
      </c>
      <c r="AN7" s="104">
        <v>0.04</v>
      </c>
    </row>
    <row r="8" spans="1:40" ht="26.4" x14ac:dyDescent="0.7">
      <c r="B8" s="3" t="s">
        <v>11</v>
      </c>
      <c r="D8" s="98" t="s">
        <v>188</v>
      </c>
      <c r="E8" s="71" t="s">
        <v>167</v>
      </c>
      <c r="F8">
        <v>7</v>
      </c>
      <c r="G8">
        <v>7</v>
      </c>
      <c r="H8">
        <v>2</v>
      </c>
      <c r="I8" s="99" t="s">
        <v>121</v>
      </c>
      <c r="J8" t="s">
        <v>35</v>
      </c>
      <c r="K8" s="96">
        <v>1207</v>
      </c>
      <c r="L8" s="96">
        <v>940</v>
      </c>
      <c r="M8" s="96">
        <v>955</v>
      </c>
      <c r="N8" s="96">
        <v>407</v>
      </c>
      <c r="O8" s="96">
        <v>755</v>
      </c>
      <c r="P8" s="96">
        <v>2188</v>
      </c>
      <c r="Q8" s="96">
        <v>3344</v>
      </c>
      <c r="R8" s="96">
        <v>4076</v>
      </c>
      <c r="S8" s="96">
        <v>3135</v>
      </c>
      <c r="T8" s="96">
        <v>4403</v>
      </c>
      <c r="U8" s="96">
        <v>6322</v>
      </c>
      <c r="V8" s="90">
        <v>5240</v>
      </c>
      <c r="W8" s="90">
        <v>6427</v>
      </c>
      <c r="X8" s="90">
        <v>3883</v>
      </c>
      <c r="Y8" s="90">
        <v>4108</v>
      </c>
      <c r="Z8" s="90">
        <v>9542</v>
      </c>
      <c r="AA8" s="88">
        <v>5735</v>
      </c>
      <c r="AB8" s="88">
        <v>4902</v>
      </c>
      <c r="AC8" s="88">
        <v>6660</v>
      </c>
      <c r="AD8" s="88">
        <v>9619</v>
      </c>
      <c r="AE8" s="88">
        <v>26775</v>
      </c>
      <c r="AF8" s="88">
        <v>34027</v>
      </c>
      <c r="AG8" s="88">
        <v>32642</v>
      </c>
      <c r="AH8" s="88">
        <v>60384</v>
      </c>
      <c r="AI8" s="88">
        <v>52385</v>
      </c>
      <c r="AJ8" s="88">
        <v>83265</v>
      </c>
      <c r="AK8" s="88">
        <v>112735</v>
      </c>
      <c r="AL8" s="88">
        <v>110624</v>
      </c>
      <c r="AM8" s="88">
        <v>110962</v>
      </c>
      <c r="AN8" s="105">
        <v>116991</v>
      </c>
    </row>
    <row r="9" spans="1:40" ht="26.4" x14ac:dyDescent="0.7">
      <c r="B9" s="3" t="s">
        <v>11</v>
      </c>
      <c r="D9" s="98" t="s">
        <v>188</v>
      </c>
      <c r="E9" s="71" t="s">
        <v>167</v>
      </c>
      <c r="F9">
        <v>8</v>
      </c>
      <c r="G9">
        <v>8</v>
      </c>
      <c r="H9">
        <v>7</v>
      </c>
      <c r="I9" s="89" t="s">
        <v>190</v>
      </c>
      <c r="J9" t="s">
        <v>35</v>
      </c>
      <c r="K9" s="100">
        <v>2.8143726537179097E-2</v>
      </c>
      <c r="L9" s="100">
        <v>2.2325669770093103E-2</v>
      </c>
      <c r="M9" s="100">
        <v>2.7691593933946126E-2</v>
      </c>
      <c r="N9" s="100">
        <v>1.4838850809391861E-2</v>
      </c>
      <c r="O9" s="100">
        <v>2.2710181982252969E-2</v>
      </c>
      <c r="P9" s="100">
        <v>5.5712576070073586E-2</v>
      </c>
      <c r="Q9" s="100">
        <v>6.9533394327538883E-2</v>
      </c>
      <c r="R9" s="100">
        <v>0.10125450254626754</v>
      </c>
      <c r="S9" s="100">
        <v>9.0580757006645474E-2</v>
      </c>
      <c r="T9" s="100">
        <v>0.11200427361298364</v>
      </c>
      <c r="U9" s="101">
        <v>0.14787266390662643</v>
      </c>
      <c r="V9" s="102">
        <v>0.122</v>
      </c>
      <c r="W9" s="102">
        <v>0.14645428857898096</v>
      </c>
      <c r="X9" s="102">
        <v>0.104</v>
      </c>
      <c r="Y9" s="102">
        <v>7.2099999999999997E-2</v>
      </c>
      <c r="Z9" s="102">
        <v>0.19819999999999999</v>
      </c>
      <c r="AA9" s="103">
        <v>0.12041236247585455</v>
      </c>
      <c r="AB9" s="103">
        <v>8.628914432572303E-2</v>
      </c>
      <c r="AC9" s="103">
        <v>9.9761829865636101E-2</v>
      </c>
      <c r="AD9" s="103">
        <v>0.15376622546198607</v>
      </c>
      <c r="AE9" s="103">
        <v>0.33419039179220911</v>
      </c>
      <c r="AF9" s="103">
        <v>0.3745445739633898</v>
      </c>
      <c r="AG9" s="103">
        <v>0.35929949696749552</v>
      </c>
      <c r="AH9" s="103" t="s">
        <v>192</v>
      </c>
      <c r="AI9" s="103">
        <v>0.42449999999999999</v>
      </c>
      <c r="AJ9" s="103"/>
      <c r="AK9" s="103"/>
      <c r="AL9" s="104">
        <v>0.64300000000000002</v>
      </c>
      <c r="AM9" s="104">
        <v>0.72699999999999998</v>
      </c>
      <c r="AN9" s="104">
        <v>0.63</v>
      </c>
    </row>
    <row r="10" spans="1:40" ht="26.4" x14ac:dyDescent="0.3">
      <c r="B10" s="3" t="s">
        <v>11</v>
      </c>
      <c r="D10" s="98" t="s">
        <v>188</v>
      </c>
      <c r="E10" s="71" t="s">
        <v>167</v>
      </c>
      <c r="F10">
        <v>9</v>
      </c>
      <c r="G10">
        <v>9</v>
      </c>
      <c r="I10" s="99" t="s">
        <v>193</v>
      </c>
      <c r="J10" t="s">
        <v>35</v>
      </c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88"/>
    </row>
    <row r="11" spans="1:40" ht="26.4" x14ac:dyDescent="0.7">
      <c r="B11" s="3" t="s">
        <v>11</v>
      </c>
      <c r="D11" s="98" t="s">
        <v>188</v>
      </c>
      <c r="E11" s="71" t="s">
        <v>167</v>
      </c>
      <c r="F11">
        <v>10</v>
      </c>
      <c r="G11">
        <v>10</v>
      </c>
      <c r="H11">
        <v>9</v>
      </c>
      <c r="I11" s="99" t="s">
        <v>177</v>
      </c>
      <c r="J11" t="s">
        <v>35</v>
      </c>
      <c r="K11" s="96">
        <v>172534</v>
      </c>
      <c r="L11" s="96">
        <v>159992</v>
      </c>
      <c r="M11" s="96">
        <v>131274</v>
      </c>
      <c r="N11" s="96">
        <v>82797</v>
      </c>
      <c r="O11" s="96">
        <v>87643</v>
      </c>
      <c r="P11" s="96">
        <v>90111</v>
      </c>
      <c r="Q11" s="96">
        <v>115847</v>
      </c>
      <c r="R11" s="96">
        <v>118188</v>
      </c>
      <c r="S11" s="96">
        <v>114228</v>
      </c>
      <c r="T11" s="96">
        <v>151994</v>
      </c>
      <c r="U11" s="96">
        <v>143031</v>
      </c>
      <c r="V11" s="90">
        <v>160289</v>
      </c>
      <c r="W11" s="90">
        <v>197987</v>
      </c>
      <c r="X11" s="90">
        <v>219031</v>
      </c>
      <c r="Y11" s="90">
        <v>222542</v>
      </c>
      <c r="Z11" s="90">
        <v>186645</v>
      </c>
      <c r="AA11" s="88">
        <v>300541</v>
      </c>
      <c r="AB11" s="88">
        <v>344081</v>
      </c>
      <c r="AC11" s="88">
        <v>241654</v>
      </c>
      <c r="AD11" s="88">
        <v>274038</v>
      </c>
      <c r="AE11" s="88">
        <v>268064</v>
      </c>
      <c r="AF11" s="88">
        <v>303198</v>
      </c>
      <c r="AG11" s="88">
        <v>416382</v>
      </c>
      <c r="AH11" s="88">
        <v>497735</v>
      </c>
      <c r="AI11" s="88">
        <v>507558</v>
      </c>
      <c r="AJ11" s="88">
        <v>314630</v>
      </c>
      <c r="AK11" s="88">
        <v>419583</v>
      </c>
      <c r="AL11" s="88">
        <v>523315</v>
      </c>
      <c r="AM11" s="88">
        <v>408708</v>
      </c>
      <c r="AN11" s="105">
        <v>516719</v>
      </c>
    </row>
    <row r="12" spans="1:40" ht="26.4" x14ac:dyDescent="0.7">
      <c r="B12" s="3" t="s">
        <v>11</v>
      </c>
      <c r="D12" s="98" t="s">
        <v>188</v>
      </c>
      <c r="E12" s="71" t="s">
        <v>167</v>
      </c>
      <c r="F12">
        <v>11</v>
      </c>
      <c r="G12">
        <v>11</v>
      </c>
      <c r="H12">
        <v>10</v>
      </c>
      <c r="I12" s="99" t="s">
        <v>141</v>
      </c>
      <c r="J12" t="s">
        <v>35</v>
      </c>
      <c r="K12" s="96">
        <v>53200</v>
      </c>
      <c r="L12" s="96">
        <v>49412</v>
      </c>
      <c r="M12" s="96">
        <v>45900</v>
      </c>
      <c r="N12" s="96">
        <v>37043</v>
      </c>
      <c r="O12" s="96">
        <v>36712</v>
      </c>
      <c r="P12" s="96">
        <v>46819</v>
      </c>
      <c r="Q12" s="96">
        <v>76680</v>
      </c>
      <c r="R12" s="96">
        <v>71604</v>
      </c>
      <c r="S12" s="96">
        <v>74386</v>
      </c>
      <c r="T12" s="96">
        <v>59693</v>
      </c>
      <c r="U12" s="96">
        <v>53604</v>
      </c>
      <c r="V12" s="90">
        <v>68400</v>
      </c>
      <c r="W12" s="90">
        <v>85559</v>
      </c>
      <c r="X12" s="90">
        <v>74544</v>
      </c>
      <c r="Y12" s="90">
        <v>87722</v>
      </c>
      <c r="Z12" s="90">
        <v>62881</v>
      </c>
      <c r="AA12" s="88">
        <v>118431</v>
      </c>
      <c r="AB12" s="88">
        <v>114853</v>
      </c>
      <c r="AC12" s="88">
        <v>75502</v>
      </c>
      <c r="AD12" s="88">
        <v>140630</v>
      </c>
      <c r="AE12" s="88">
        <v>133569</v>
      </c>
      <c r="AF12" s="88">
        <v>143244</v>
      </c>
      <c r="AG12" s="88">
        <v>239890</v>
      </c>
      <c r="AH12" s="88">
        <v>294197</v>
      </c>
      <c r="AI12" s="88">
        <v>306981</v>
      </c>
      <c r="AJ12" s="88">
        <v>186278</v>
      </c>
      <c r="AK12" s="88">
        <v>277579</v>
      </c>
      <c r="AL12" s="88">
        <v>342959</v>
      </c>
      <c r="AM12" s="88">
        <v>245634</v>
      </c>
      <c r="AN12" s="88">
        <v>336120</v>
      </c>
    </row>
    <row r="13" spans="1:40" ht="26.4" x14ac:dyDescent="0.7">
      <c r="B13" s="3" t="s">
        <v>11</v>
      </c>
      <c r="D13" s="98" t="s">
        <v>188</v>
      </c>
      <c r="E13" s="71" t="s">
        <v>167</v>
      </c>
      <c r="F13">
        <v>12</v>
      </c>
      <c r="G13">
        <v>12</v>
      </c>
      <c r="H13">
        <v>11</v>
      </c>
      <c r="I13" s="99" t="s">
        <v>190</v>
      </c>
      <c r="J13" t="s">
        <v>35</v>
      </c>
      <c r="K13" s="100">
        <v>0.30834502185076562</v>
      </c>
      <c r="L13" s="100">
        <v>0.30884044202210109</v>
      </c>
      <c r="M13" s="100">
        <v>0.34965034965034963</v>
      </c>
      <c r="N13" s="100">
        <v>0.44739543703274276</v>
      </c>
      <c r="O13" s="100">
        <v>0.41888114281802313</v>
      </c>
      <c r="P13" s="100">
        <v>0.51957030773157553</v>
      </c>
      <c r="Q13" s="100">
        <v>0.66190751594775865</v>
      </c>
      <c r="R13" s="100">
        <v>0.60584830947304291</v>
      </c>
      <c r="S13" s="100">
        <v>0.6512063592114018</v>
      </c>
      <c r="T13" s="100">
        <v>0.39273260786609998</v>
      </c>
      <c r="U13" s="101">
        <v>0.37477190259454246</v>
      </c>
      <c r="V13" s="102">
        <v>0.56065573770491794</v>
      </c>
      <c r="W13" s="102">
        <v>0.43214453474218006</v>
      </c>
      <c r="X13" s="102">
        <v>0.34029999999999999</v>
      </c>
      <c r="Y13" s="102">
        <v>0.39419999999999999</v>
      </c>
      <c r="Z13" s="102">
        <v>0.32590000000000002</v>
      </c>
      <c r="AA13" s="103">
        <v>0.39405937958548087</v>
      </c>
      <c r="AB13" s="103">
        <v>0.33379640259125032</v>
      </c>
      <c r="AC13" s="103">
        <v>0.31243844504953361</v>
      </c>
      <c r="AD13" s="103">
        <v>0.5131770046489903</v>
      </c>
      <c r="AE13" s="103">
        <v>0.49827280052524769</v>
      </c>
      <c r="AF13" s="103">
        <v>0.47244374962895536</v>
      </c>
      <c r="AG13" s="103">
        <v>0.79119915039017408</v>
      </c>
      <c r="AH13" s="103">
        <v>0.59109999999999996</v>
      </c>
      <c r="AI13" s="103">
        <v>0.6048</v>
      </c>
      <c r="AJ13" s="103"/>
      <c r="AK13" s="103"/>
      <c r="AL13" s="103">
        <v>0.59199999999999997</v>
      </c>
      <c r="AM13" s="103">
        <v>0.60099999999999998</v>
      </c>
      <c r="AN13" s="104">
        <v>0.6</v>
      </c>
    </row>
    <row r="14" spans="1:40" ht="26.4" x14ac:dyDescent="0.7">
      <c r="B14" s="3" t="s">
        <v>11</v>
      </c>
      <c r="D14" s="98" t="s">
        <v>188</v>
      </c>
      <c r="E14" s="71" t="s">
        <v>167</v>
      </c>
      <c r="F14">
        <v>13</v>
      </c>
      <c r="G14">
        <v>13</v>
      </c>
      <c r="H14">
        <v>10</v>
      </c>
      <c r="I14" s="99" t="s">
        <v>96</v>
      </c>
      <c r="J14" t="s">
        <v>35</v>
      </c>
      <c r="K14" s="96">
        <v>118866</v>
      </c>
      <c r="L14" s="96">
        <v>110099</v>
      </c>
      <c r="M14" s="96">
        <v>84883</v>
      </c>
      <c r="N14" s="96">
        <v>45547</v>
      </c>
      <c r="O14" s="96">
        <v>50506</v>
      </c>
      <c r="P14" s="96">
        <v>41938</v>
      </c>
      <c r="Q14" s="96">
        <v>37442</v>
      </c>
      <c r="R14" s="96">
        <v>44744</v>
      </c>
      <c r="S14" s="96">
        <v>38560</v>
      </c>
      <c r="T14" s="96">
        <v>90482</v>
      </c>
      <c r="U14" s="96">
        <v>86741</v>
      </c>
      <c r="V14" s="90">
        <v>89627</v>
      </c>
      <c r="W14" s="90">
        <v>108166</v>
      </c>
      <c r="X14" s="90">
        <v>141823</v>
      </c>
      <c r="Y14" s="90">
        <v>132402</v>
      </c>
      <c r="Z14" s="90">
        <v>116652</v>
      </c>
      <c r="AA14" s="88">
        <v>162030</v>
      </c>
      <c r="AB14" s="88">
        <v>193231</v>
      </c>
      <c r="AC14" s="88">
        <v>105571</v>
      </c>
      <c r="AD14" s="88">
        <v>89694</v>
      </c>
      <c r="AE14" s="88">
        <v>81898</v>
      </c>
      <c r="AF14" s="88">
        <v>98192</v>
      </c>
      <c r="AG14" s="88">
        <v>116224</v>
      </c>
      <c r="AH14" s="88">
        <v>117728</v>
      </c>
      <c r="AI14" s="88">
        <v>111107</v>
      </c>
      <c r="AJ14" s="88">
        <v>72033</v>
      </c>
      <c r="AK14" s="88">
        <v>68121</v>
      </c>
      <c r="AL14" s="88">
        <v>118141</v>
      </c>
      <c r="AM14" s="88">
        <v>97742</v>
      </c>
      <c r="AN14" s="105">
        <v>97537</v>
      </c>
    </row>
    <row r="15" spans="1:40" ht="26.4" x14ac:dyDescent="0.7">
      <c r="B15" s="3" t="s">
        <v>11</v>
      </c>
      <c r="D15" s="98" t="s">
        <v>188</v>
      </c>
      <c r="E15" s="71" t="s">
        <v>167</v>
      </c>
      <c r="F15">
        <v>14</v>
      </c>
      <c r="G15">
        <v>14</v>
      </c>
      <c r="H15">
        <v>13</v>
      </c>
      <c r="I15" s="99" t="s">
        <v>190</v>
      </c>
      <c r="J15" t="s">
        <v>35</v>
      </c>
      <c r="K15" s="100">
        <v>0.68894246931039682</v>
      </c>
      <c r="L15" s="100">
        <v>0.68815315765788287</v>
      </c>
      <c r="M15" s="100">
        <v>0.64660938190349959</v>
      </c>
      <c r="N15" s="100">
        <v>0.55010447238426508</v>
      </c>
      <c r="O15" s="100">
        <v>0.57626963933229125</v>
      </c>
      <c r="P15" s="100">
        <v>0.46540377978271241</v>
      </c>
      <c r="Q15" s="100">
        <v>0.3232021545659361</v>
      </c>
      <c r="R15" s="100">
        <v>0.37858327410566217</v>
      </c>
      <c r="S15" s="100">
        <v>0.33757047308890992</v>
      </c>
      <c r="T15" s="100">
        <v>0.59529981446636049</v>
      </c>
      <c r="U15" s="100">
        <v>0.60644895162587131</v>
      </c>
      <c r="V15" s="102">
        <v>0.73464754098360696</v>
      </c>
      <c r="W15" s="102">
        <v>0.54632879936561496</v>
      </c>
      <c r="X15" s="102">
        <v>0.64749999999999996</v>
      </c>
      <c r="Y15" s="102">
        <v>0.59499999999999997</v>
      </c>
      <c r="Z15" s="102">
        <v>0.60460000000000003</v>
      </c>
      <c r="AA15" s="103">
        <v>0.53912777291617453</v>
      </c>
      <c r="AB15" s="103">
        <v>0.56158578939261394</v>
      </c>
      <c r="AC15" s="103">
        <v>0.43686841517210556</v>
      </c>
      <c r="AD15" s="103">
        <v>0.32730497230311123</v>
      </c>
      <c r="AE15" s="103">
        <v>0.30551659305240542</v>
      </c>
      <c r="AF15" s="103">
        <v>0.3238543789866688</v>
      </c>
      <c r="AG15" s="103">
        <v>0.38332706680123219</v>
      </c>
      <c r="AH15" s="103" t="s">
        <v>194</v>
      </c>
      <c r="AI15" s="103">
        <v>0.21890000000000001</v>
      </c>
      <c r="AJ15" s="103"/>
      <c r="AK15" s="103"/>
      <c r="AL15" s="103">
        <v>0.20399999999999999</v>
      </c>
      <c r="AM15" s="103">
        <v>0.23899999999999999</v>
      </c>
      <c r="AN15" s="104">
        <v>0.13600000000000001</v>
      </c>
    </row>
    <row r="16" spans="1:40" ht="26.4" x14ac:dyDescent="0.7">
      <c r="B16" s="3" t="s">
        <v>11</v>
      </c>
      <c r="D16" s="98" t="s">
        <v>188</v>
      </c>
      <c r="E16" s="71" t="s">
        <v>167</v>
      </c>
      <c r="F16">
        <v>15</v>
      </c>
      <c r="G16">
        <v>15</v>
      </c>
      <c r="H16">
        <v>10</v>
      </c>
      <c r="I16" s="99" t="s">
        <v>121</v>
      </c>
      <c r="J16" t="s">
        <v>35</v>
      </c>
      <c r="K16" s="96">
        <v>468</v>
      </c>
      <c r="L16" s="96">
        <v>481</v>
      </c>
      <c r="M16" s="96">
        <v>491</v>
      </c>
      <c r="N16" s="96">
        <v>207</v>
      </c>
      <c r="O16" s="96">
        <v>425</v>
      </c>
      <c r="P16" s="96">
        <v>1354</v>
      </c>
      <c r="Q16" s="96">
        <v>1725</v>
      </c>
      <c r="R16" s="96">
        <v>1840</v>
      </c>
      <c r="S16" s="96">
        <v>1282</v>
      </c>
      <c r="T16" s="96">
        <v>1819</v>
      </c>
      <c r="U16" s="96">
        <v>2686</v>
      </c>
      <c r="V16" s="90">
        <v>2262</v>
      </c>
      <c r="W16" s="90">
        <v>4262</v>
      </c>
      <c r="X16" s="90">
        <v>2664</v>
      </c>
      <c r="Y16" s="90">
        <v>2418</v>
      </c>
      <c r="Z16" s="90">
        <v>7112</v>
      </c>
      <c r="AA16" s="88">
        <v>5902</v>
      </c>
      <c r="AB16" s="88">
        <v>5794</v>
      </c>
      <c r="AC16" s="88">
        <v>5900</v>
      </c>
      <c r="AD16" s="88">
        <v>8683</v>
      </c>
      <c r="AE16" s="88">
        <v>15945</v>
      </c>
      <c r="AF16" s="88">
        <v>18717</v>
      </c>
      <c r="AG16" s="88">
        <v>18435</v>
      </c>
      <c r="AH16" s="88">
        <v>41046</v>
      </c>
      <c r="AI16" s="88">
        <v>34301</v>
      </c>
      <c r="AJ16" s="88">
        <v>56319</v>
      </c>
      <c r="AK16" s="88">
        <v>73883</v>
      </c>
      <c r="AL16" s="88">
        <v>62215</v>
      </c>
      <c r="AM16" s="88">
        <v>65332</v>
      </c>
      <c r="AN16" s="88">
        <v>83062</v>
      </c>
    </row>
    <row r="17" spans="2:40" ht="26.4" x14ac:dyDescent="0.7">
      <c r="B17" s="3" t="s">
        <v>11</v>
      </c>
      <c r="D17" s="98" t="s">
        <v>188</v>
      </c>
      <c r="E17" s="71" t="s">
        <v>167</v>
      </c>
      <c r="F17">
        <v>16</v>
      </c>
      <c r="G17">
        <v>16</v>
      </c>
      <c r="H17">
        <v>15</v>
      </c>
      <c r="I17" s="99" t="s">
        <v>190</v>
      </c>
      <c r="J17" t="s">
        <v>35</v>
      </c>
      <c r="K17" s="100">
        <v>2.7125088388375625E-3</v>
      </c>
      <c r="L17" s="100">
        <v>3.0064003200160009E-3</v>
      </c>
      <c r="M17" s="100">
        <v>3.7402684461507992E-3</v>
      </c>
      <c r="N17" s="100">
        <v>2.5000905829921376E-3</v>
      </c>
      <c r="O17" s="100">
        <v>4.8492178496856563E-3</v>
      </c>
      <c r="P17" s="100">
        <v>1.5025912485712067E-2</v>
      </c>
      <c r="Q17" s="100">
        <v>1.4890329486305212E-2</v>
      </c>
      <c r="R17" s="100">
        <v>1.5568416421294886E-2</v>
      </c>
      <c r="S17" s="100">
        <v>1.1223167699688343E-2</v>
      </c>
      <c r="T17" s="100">
        <v>1.1967577667539508E-2</v>
      </c>
      <c r="U17" s="100">
        <v>1.8779145779586243E-2</v>
      </c>
      <c r="V17" s="102">
        <v>1.8540983606557399E-2</v>
      </c>
      <c r="W17" s="102">
        <v>2.1526665892205043E-2</v>
      </c>
      <c r="X17" s="102">
        <v>1.2200000000000001E-2</v>
      </c>
      <c r="Y17" s="102">
        <v>1.09E-2</v>
      </c>
      <c r="Z17" s="102">
        <v>3.6900000000000002E-2</v>
      </c>
      <c r="AA17" s="103">
        <v>1.9637919618288355E-2</v>
      </c>
      <c r="AB17" s="103">
        <v>1.6839058245006262E-2</v>
      </c>
      <c r="AC17" s="103">
        <v>2.4415072790022099E-2</v>
      </c>
      <c r="AD17" s="103">
        <v>3.1685386698195143E-2</v>
      </c>
      <c r="AE17" s="103">
        <v>5.9482063984720064E-2</v>
      </c>
      <c r="AF17" s="103">
        <v>6.1731937545762172E-2</v>
      </c>
      <c r="AG17" s="103">
        <v>6.0801852254962103E-2</v>
      </c>
      <c r="AH17" s="103" t="s">
        <v>195</v>
      </c>
      <c r="AI17" s="103">
        <v>6.7599999999999993E-2</v>
      </c>
      <c r="AJ17" s="103"/>
      <c r="AK17" s="103"/>
      <c r="AL17" s="103">
        <v>0.107</v>
      </c>
      <c r="AM17" s="103">
        <v>0.16</v>
      </c>
      <c r="AN17" s="104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C74E-0D0E-450A-8521-0E1D8BA53F99}">
  <sheetPr>
    <tabColor rgb="FFFFFF00"/>
  </sheetPr>
  <dimension ref="A1:S99"/>
  <sheetViews>
    <sheetView zoomScale="50" zoomScaleNormal="50" workbookViewId="0"/>
  </sheetViews>
  <sheetFormatPr baseColWidth="10" defaultRowHeight="14.4" x14ac:dyDescent="0.3"/>
  <cols>
    <col min="6" max="6" width="27.5546875" customWidth="1"/>
    <col min="7" max="9" width="13.33203125" bestFit="1" customWidth="1"/>
    <col min="10" max="11" width="12.6640625" bestFit="1" customWidth="1"/>
    <col min="12" max="12" width="13.33203125" bestFit="1" customWidth="1"/>
    <col min="14" max="16" width="13.33203125" bestFit="1" customWidth="1"/>
    <col min="19" max="19" width="14.44140625" bestFit="1" customWidth="1"/>
  </cols>
  <sheetData>
    <row r="1" spans="1:19" ht="30.6" thickBot="1" x14ac:dyDescent="0.35">
      <c r="A1" s="13" t="s">
        <v>3</v>
      </c>
      <c r="B1" s="13" t="s">
        <v>4</v>
      </c>
      <c r="C1" s="13" t="s">
        <v>6</v>
      </c>
      <c r="D1" s="13" t="s">
        <v>7</v>
      </c>
      <c r="E1" s="13" t="s">
        <v>8</v>
      </c>
      <c r="F1" s="13" t="s">
        <v>244</v>
      </c>
      <c r="G1" s="13" t="s">
        <v>14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3" t="s">
        <v>196</v>
      </c>
      <c r="P1" s="13" t="s">
        <v>24</v>
      </c>
      <c r="Q1" s="13" t="s">
        <v>197</v>
      </c>
      <c r="R1" s="13" t="s">
        <v>198</v>
      </c>
      <c r="S1" s="13" t="s">
        <v>177</v>
      </c>
    </row>
    <row r="2" spans="1:19" ht="27" x14ac:dyDescent="0.3">
      <c r="A2" t="s">
        <v>249</v>
      </c>
      <c r="B2" s="132" t="s">
        <v>202</v>
      </c>
      <c r="C2">
        <v>1</v>
      </c>
      <c r="D2">
        <v>1</v>
      </c>
      <c r="F2" s="108">
        <v>2000</v>
      </c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10"/>
      <c r="S2" s="111"/>
    </row>
    <row r="3" spans="1:19" ht="27" x14ac:dyDescent="0.3">
      <c r="A3" t="s">
        <v>249</v>
      </c>
      <c r="B3" s="132" t="s">
        <v>202</v>
      </c>
      <c r="C3">
        <v>2</v>
      </c>
      <c r="D3">
        <v>2</v>
      </c>
      <c r="E3">
        <v>1</v>
      </c>
      <c r="F3" s="112" t="s">
        <v>199</v>
      </c>
      <c r="G3" s="113">
        <v>700</v>
      </c>
      <c r="H3" s="113">
        <v>730</v>
      </c>
      <c r="I3" s="113">
        <v>760</v>
      </c>
      <c r="J3" s="113">
        <v>1080</v>
      </c>
      <c r="K3" s="113">
        <v>1060</v>
      </c>
      <c r="L3" s="113">
        <v>770</v>
      </c>
      <c r="M3" s="113">
        <v>910</v>
      </c>
      <c r="N3" s="113">
        <v>1060</v>
      </c>
      <c r="O3" s="113">
        <v>1060</v>
      </c>
      <c r="P3" s="113">
        <v>950</v>
      </c>
      <c r="Q3" s="113">
        <v>840</v>
      </c>
      <c r="R3" s="114">
        <v>1130</v>
      </c>
      <c r="S3" s="115">
        <v>11050</v>
      </c>
    </row>
    <row r="4" spans="1:19" ht="27" x14ac:dyDescent="0.3">
      <c r="A4" t="s">
        <v>249</v>
      </c>
      <c r="B4" s="132" t="s">
        <v>202</v>
      </c>
      <c r="C4">
        <v>3</v>
      </c>
      <c r="D4">
        <v>3</v>
      </c>
      <c r="E4">
        <v>1</v>
      </c>
      <c r="F4" s="112" t="s">
        <v>200</v>
      </c>
      <c r="G4" s="113">
        <v>2600</v>
      </c>
      <c r="H4" s="113">
        <v>2760</v>
      </c>
      <c r="I4" s="113">
        <v>3080</v>
      </c>
      <c r="J4" s="113">
        <v>4470</v>
      </c>
      <c r="K4" s="113">
        <v>4450</v>
      </c>
      <c r="L4" s="113">
        <v>3280</v>
      </c>
      <c r="M4" s="113">
        <v>3900</v>
      </c>
      <c r="N4" s="113">
        <v>4500</v>
      </c>
      <c r="O4" s="113">
        <v>4650</v>
      </c>
      <c r="P4" s="113">
        <v>4300</v>
      </c>
      <c r="Q4" s="113">
        <v>3700</v>
      </c>
      <c r="R4" s="114">
        <v>5070</v>
      </c>
      <c r="S4" s="115">
        <v>46760</v>
      </c>
    </row>
    <row r="5" spans="1:19" ht="27.6" thickBot="1" x14ac:dyDescent="0.35">
      <c r="A5" t="s">
        <v>249</v>
      </c>
      <c r="B5" s="132" t="s">
        <v>202</v>
      </c>
      <c r="C5">
        <v>4</v>
      </c>
      <c r="D5">
        <v>4</v>
      </c>
      <c r="E5">
        <v>1</v>
      </c>
      <c r="F5" s="112" t="s">
        <v>201</v>
      </c>
      <c r="G5" s="113">
        <v>11.9</v>
      </c>
      <c r="H5" s="113">
        <v>12.48</v>
      </c>
      <c r="I5" s="113">
        <v>13.59</v>
      </c>
      <c r="J5" s="113">
        <v>19.510000000000002</v>
      </c>
      <c r="K5" s="113">
        <v>19.239999999999998</v>
      </c>
      <c r="L5" s="113">
        <v>13.77</v>
      </c>
      <c r="M5" s="113">
        <v>16.22</v>
      </c>
      <c r="N5" s="113">
        <v>18.899999999999999</v>
      </c>
      <c r="O5" s="113">
        <v>19.399999999999999</v>
      </c>
      <c r="P5" s="113">
        <v>17.600000000000001</v>
      </c>
      <c r="Q5" s="113">
        <v>15</v>
      </c>
      <c r="R5" s="114">
        <v>20.420000000000002</v>
      </c>
      <c r="S5" s="115">
        <v>198.02999999999997</v>
      </c>
    </row>
    <row r="6" spans="1:19" ht="27" x14ac:dyDescent="0.3">
      <c r="A6" t="s">
        <v>249</v>
      </c>
      <c r="B6" s="132" t="s">
        <v>202</v>
      </c>
      <c r="C6">
        <v>5</v>
      </c>
      <c r="D6">
        <v>5</v>
      </c>
      <c r="F6" s="108">
        <v>2001</v>
      </c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  <c r="S6" s="111"/>
    </row>
    <row r="7" spans="1:19" ht="27" x14ac:dyDescent="0.3">
      <c r="A7" t="s">
        <v>249</v>
      </c>
      <c r="B7" s="132" t="s">
        <v>202</v>
      </c>
      <c r="C7">
        <v>6</v>
      </c>
      <c r="D7">
        <v>6</v>
      </c>
      <c r="E7">
        <v>5</v>
      </c>
      <c r="F7" s="112" t="s">
        <v>199</v>
      </c>
      <c r="G7" s="113">
        <v>681.26499999999999</v>
      </c>
      <c r="H7" s="113">
        <v>611.35599999999999</v>
      </c>
      <c r="I7" s="113">
        <v>1025.7660000000001</v>
      </c>
      <c r="J7" s="113">
        <v>965.28800000000001</v>
      </c>
      <c r="K7" s="113">
        <v>854.90099999999995</v>
      </c>
      <c r="L7" s="113">
        <v>1092.817</v>
      </c>
      <c r="M7" s="113">
        <v>481.09199999999998</v>
      </c>
      <c r="N7" s="113">
        <v>1196.7170000000001</v>
      </c>
      <c r="O7" s="113">
        <v>703.70500000000004</v>
      </c>
      <c r="P7" s="113">
        <v>1042.3710000000001</v>
      </c>
      <c r="Q7" s="113">
        <v>610.98700000000008</v>
      </c>
      <c r="R7" s="114">
        <v>826.93200000000002</v>
      </c>
      <c r="S7" s="115">
        <v>10093.197</v>
      </c>
    </row>
    <row r="8" spans="1:19" ht="27" x14ac:dyDescent="0.3">
      <c r="A8" t="s">
        <v>249</v>
      </c>
      <c r="B8" s="132" t="s">
        <v>202</v>
      </c>
      <c r="C8">
        <v>7</v>
      </c>
      <c r="D8">
        <v>7</v>
      </c>
      <c r="E8">
        <v>5</v>
      </c>
      <c r="F8" s="112" t="s">
        <v>200</v>
      </c>
      <c r="G8" s="113">
        <v>3080</v>
      </c>
      <c r="H8" s="113">
        <v>2680</v>
      </c>
      <c r="I8" s="113">
        <v>4590</v>
      </c>
      <c r="J8" s="113">
        <v>4590</v>
      </c>
      <c r="K8" s="113">
        <v>4050</v>
      </c>
      <c r="L8" s="113">
        <v>5240</v>
      </c>
      <c r="M8" s="113">
        <v>2250</v>
      </c>
      <c r="N8" s="113">
        <v>5710</v>
      </c>
      <c r="O8" s="113">
        <v>3400</v>
      </c>
      <c r="P8" s="113">
        <v>5120</v>
      </c>
      <c r="Q8" s="113">
        <v>2830</v>
      </c>
      <c r="R8" s="114">
        <v>4080</v>
      </c>
      <c r="S8" s="115">
        <v>47620</v>
      </c>
    </row>
    <row r="9" spans="1:19" ht="27.6" thickBot="1" x14ac:dyDescent="0.35">
      <c r="A9" t="s">
        <v>249</v>
      </c>
      <c r="B9" s="132" t="s">
        <v>202</v>
      </c>
      <c r="C9">
        <v>8</v>
      </c>
      <c r="D9">
        <v>8</v>
      </c>
      <c r="E9">
        <v>5</v>
      </c>
      <c r="F9" s="112" t="s">
        <v>201</v>
      </c>
      <c r="G9" s="113">
        <v>12.37</v>
      </c>
      <c r="H9" s="113">
        <v>10.86</v>
      </c>
      <c r="I9" s="113">
        <v>18.440000000000001</v>
      </c>
      <c r="J9" s="113">
        <v>18.29</v>
      </c>
      <c r="K9" s="113">
        <v>16.11</v>
      </c>
      <c r="L9" s="113">
        <v>20.7</v>
      </c>
      <c r="M9" s="113">
        <v>8.83</v>
      </c>
      <c r="N9" s="113">
        <v>22.9</v>
      </c>
      <c r="O9" s="113">
        <v>13.21</v>
      </c>
      <c r="P9" s="113">
        <v>20.13</v>
      </c>
      <c r="Q9" s="113">
        <v>11.06</v>
      </c>
      <c r="R9" s="114">
        <v>15.69</v>
      </c>
      <c r="S9" s="115">
        <v>188.59</v>
      </c>
    </row>
    <row r="10" spans="1:19" ht="27" x14ac:dyDescent="0.3">
      <c r="A10" t="s">
        <v>249</v>
      </c>
      <c r="B10" s="132" t="s">
        <v>202</v>
      </c>
      <c r="C10">
        <v>9</v>
      </c>
      <c r="D10">
        <v>9</v>
      </c>
      <c r="F10" s="108">
        <v>2002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10"/>
      <c r="S10" s="111"/>
    </row>
    <row r="11" spans="1:19" ht="27" x14ac:dyDescent="0.3">
      <c r="A11" t="s">
        <v>249</v>
      </c>
      <c r="B11" s="132" t="s">
        <v>202</v>
      </c>
      <c r="C11">
        <v>10</v>
      </c>
      <c r="D11">
        <v>10</v>
      </c>
      <c r="E11">
        <v>9</v>
      </c>
      <c r="F11" s="112" t="s">
        <v>199</v>
      </c>
      <c r="G11" s="113">
        <v>1012.899</v>
      </c>
      <c r="H11" s="113">
        <v>651.70500000000004</v>
      </c>
      <c r="I11" s="113">
        <v>758.38599999999997</v>
      </c>
      <c r="J11" s="113">
        <v>861.12199999999996</v>
      </c>
      <c r="K11" s="113">
        <v>965.06399999999996</v>
      </c>
      <c r="L11" s="113">
        <v>668.13099999999997</v>
      </c>
      <c r="M11" s="113">
        <v>1009.932</v>
      </c>
      <c r="N11" s="113">
        <v>987.81799999999998</v>
      </c>
      <c r="O11" s="113">
        <v>597.22199999999998</v>
      </c>
      <c r="P11" s="113">
        <v>911.46500000000003</v>
      </c>
      <c r="Q11" s="113">
        <v>832.84799999999996</v>
      </c>
      <c r="R11" s="114">
        <v>1203.576</v>
      </c>
      <c r="S11" s="115">
        <v>10460.167999999998</v>
      </c>
    </row>
    <row r="12" spans="1:19" ht="27" x14ac:dyDescent="0.3">
      <c r="A12" t="s">
        <v>249</v>
      </c>
      <c r="B12" s="132" t="s">
        <v>202</v>
      </c>
      <c r="C12">
        <v>11</v>
      </c>
      <c r="D12">
        <v>11</v>
      </c>
      <c r="E12">
        <v>9</v>
      </c>
      <c r="F12" s="112" t="s">
        <v>200</v>
      </c>
      <c r="G12" s="113">
        <v>5251.5368090000002</v>
      </c>
      <c r="H12" s="113">
        <v>3102.4419239999997</v>
      </c>
      <c r="I12" s="113">
        <v>3827.9357559999999</v>
      </c>
      <c r="J12" s="113">
        <v>4099.7551370000001</v>
      </c>
      <c r="K12" s="113">
        <v>4663.986793</v>
      </c>
      <c r="L12" s="113">
        <v>3327.0787799999998</v>
      </c>
      <c r="M12" s="113">
        <v>4747.5294860000004</v>
      </c>
      <c r="N12" s="113">
        <v>4483.6424470000002</v>
      </c>
      <c r="O12" s="113">
        <v>2838.4138480000001</v>
      </c>
      <c r="P12" s="113">
        <v>4247.6038939999999</v>
      </c>
      <c r="Q12" s="113">
        <v>3635.0494450000001</v>
      </c>
      <c r="R12" s="114">
        <v>5623.0209570000006</v>
      </c>
      <c r="S12" s="115">
        <v>49847.995276000001</v>
      </c>
    </row>
    <row r="13" spans="1:19" ht="27.6" thickBot="1" x14ac:dyDescent="0.35">
      <c r="A13" t="s">
        <v>249</v>
      </c>
      <c r="B13" s="132" t="s">
        <v>202</v>
      </c>
      <c r="C13">
        <v>12</v>
      </c>
      <c r="D13">
        <v>12</v>
      </c>
      <c r="E13">
        <v>9</v>
      </c>
      <c r="F13" s="112" t="s">
        <v>201</v>
      </c>
      <c r="G13" s="113">
        <v>19.957955420000001</v>
      </c>
      <c r="H13" s="113">
        <v>11.729902539999999</v>
      </c>
      <c r="I13" s="113">
        <v>14.178590099999999</v>
      </c>
      <c r="J13" s="113">
        <v>14.993801469999999</v>
      </c>
      <c r="K13" s="113">
        <v>16.978473950000001</v>
      </c>
      <c r="L13" s="113">
        <v>12.103309619999999</v>
      </c>
      <c r="M13" s="113">
        <v>17.380031800000001</v>
      </c>
      <c r="N13" s="113">
        <v>16.544806080000001</v>
      </c>
      <c r="O13" s="113">
        <v>10.38912869</v>
      </c>
      <c r="P13" s="113">
        <v>15.8238792</v>
      </c>
      <c r="Q13" s="113">
        <v>13.53936772</v>
      </c>
      <c r="R13" s="114">
        <v>21.041877620000005</v>
      </c>
      <c r="S13" s="115">
        <v>184.66112421</v>
      </c>
    </row>
    <row r="14" spans="1:19" ht="27" x14ac:dyDescent="0.3">
      <c r="A14" t="s">
        <v>249</v>
      </c>
      <c r="B14" s="132" t="s">
        <v>202</v>
      </c>
      <c r="C14">
        <v>13</v>
      </c>
      <c r="D14">
        <v>13</v>
      </c>
      <c r="F14" s="108">
        <v>2003</v>
      </c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10"/>
      <c r="S14" s="111"/>
    </row>
    <row r="15" spans="1:19" ht="27" x14ac:dyDescent="0.3">
      <c r="A15" t="s">
        <v>249</v>
      </c>
      <c r="B15" s="132" t="s">
        <v>202</v>
      </c>
      <c r="C15">
        <v>14</v>
      </c>
      <c r="D15">
        <v>14</v>
      </c>
      <c r="E15">
        <v>13</v>
      </c>
      <c r="F15" s="112" t="s">
        <v>199</v>
      </c>
      <c r="G15" s="113">
        <v>654.78899999999999</v>
      </c>
      <c r="H15" s="113">
        <v>641.923</v>
      </c>
      <c r="I15" s="113">
        <v>1068.009</v>
      </c>
      <c r="J15" s="113">
        <v>742.36300000000006</v>
      </c>
      <c r="K15" s="113">
        <v>935.20699999999999</v>
      </c>
      <c r="L15" s="113">
        <v>763.625</v>
      </c>
      <c r="M15" s="113">
        <v>747.24300000000005</v>
      </c>
      <c r="N15" s="113">
        <v>745.53399999999999</v>
      </c>
      <c r="O15" s="113">
        <v>678.23400000000004</v>
      </c>
      <c r="P15" s="113">
        <v>820.49699999999996</v>
      </c>
      <c r="Q15" s="113">
        <v>765.90499999999997</v>
      </c>
      <c r="R15" s="114">
        <v>1064.0650000000001</v>
      </c>
      <c r="S15" s="115">
        <v>9627.3940000000002</v>
      </c>
    </row>
    <row r="16" spans="1:19" ht="27" x14ac:dyDescent="0.3">
      <c r="A16" t="s">
        <v>249</v>
      </c>
      <c r="B16" s="132" t="s">
        <v>202</v>
      </c>
      <c r="C16">
        <v>15</v>
      </c>
      <c r="D16">
        <v>15</v>
      </c>
      <c r="E16">
        <v>13</v>
      </c>
      <c r="F16" s="112" t="s">
        <v>200</v>
      </c>
      <c r="G16" s="113">
        <v>2976.639576</v>
      </c>
      <c r="H16" s="113">
        <v>2991.6177769999999</v>
      </c>
      <c r="I16" s="113">
        <v>4496</v>
      </c>
      <c r="J16" s="113">
        <v>3427</v>
      </c>
      <c r="K16" s="113">
        <v>4302.1025200000004</v>
      </c>
      <c r="L16" s="113">
        <v>3769.1875199999999</v>
      </c>
      <c r="M16" s="113">
        <v>3636.047004</v>
      </c>
      <c r="N16" s="113">
        <v>3784.9825679999999</v>
      </c>
      <c r="O16" s="113">
        <v>3365.8689469999999</v>
      </c>
      <c r="P16" s="113">
        <v>3907</v>
      </c>
      <c r="Q16" s="113">
        <v>3777.2276320000001</v>
      </c>
      <c r="R16" s="114">
        <v>5853.0687624149023</v>
      </c>
      <c r="S16" s="115">
        <v>46286.742306414897</v>
      </c>
    </row>
    <row r="17" spans="1:19" ht="27.6" thickBot="1" x14ac:dyDescent="0.35">
      <c r="A17" t="s">
        <v>249</v>
      </c>
      <c r="B17" s="132" t="s">
        <v>202</v>
      </c>
      <c r="C17">
        <v>16</v>
      </c>
      <c r="D17">
        <v>16</v>
      </c>
      <c r="E17">
        <v>13</v>
      </c>
      <c r="F17" s="112" t="s">
        <v>201</v>
      </c>
      <c r="G17" s="113">
        <v>11.147202</v>
      </c>
      <c r="H17" s="113">
        <v>11.24626058</v>
      </c>
      <c r="I17" s="113">
        <v>17.983689999999999</v>
      </c>
      <c r="J17" s="113">
        <v>12.996715</v>
      </c>
      <c r="K17" s="113">
        <v>16.357181739999998</v>
      </c>
      <c r="L17" s="113">
        <v>14.45905906</v>
      </c>
      <c r="M17" s="113">
        <v>13.995561989999999</v>
      </c>
      <c r="N17" s="113">
        <v>14.524665430000001</v>
      </c>
      <c r="O17" s="113">
        <v>12.863521169999999</v>
      </c>
      <c r="P17" s="113">
        <v>15.448760999999999</v>
      </c>
      <c r="Q17" s="113">
        <v>14.437287889999999</v>
      </c>
      <c r="R17" s="114">
        <v>19.859023000000001</v>
      </c>
      <c r="S17" s="115">
        <v>175.31892886</v>
      </c>
    </row>
    <row r="18" spans="1:19" ht="27" x14ac:dyDescent="0.3">
      <c r="A18" t="s">
        <v>249</v>
      </c>
      <c r="B18" s="132" t="s">
        <v>202</v>
      </c>
      <c r="C18">
        <v>17</v>
      </c>
      <c r="D18">
        <v>17</v>
      </c>
      <c r="F18" s="108">
        <v>2004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10"/>
      <c r="S18" s="111"/>
    </row>
    <row r="19" spans="1:19" ht="27" x14ac:dyDescent="0.3">
      <c r="A19" t="s">
        <v>249</v>
      </c>
      <c r="B19" s="132" t="s">
        <v>202</v>
      </c>
      <c r="C19">
        <v>18</v>
      </c>
      <c r="D19">
        <v>18</v>
      </c>
      <c r="E19">
        <v>17</v>
      </c>
      <c r="F19" s="112" t="s">
        <v>199</v>
      </c>
      <c r="G19" s="113">
        <v>1132.5060000000001</v>
      </c>
      <c r="H19" s="113">
        <v>830.14400000000001</v>
      </c>
      <c r="I19" s="113">
        <v>924.89799999999991</v>
      </c>
      <c r="J19" s="113">
        <v>813.43100000000004</v>
      </c>
      <c r="K19" s="113">
        <v>1096</v>
      </c>
      <c r="L19" s="113">
        <v>876</v>
      </c>
      <c r="M19" s="113">
        <v>776</v>
      </c>
      <c r="N19" s="113">
        <v>1097</v>
      </c>
      <c r="O19" s="113">
        <v>803</v>
      </c>
      <c r="P19" s="113">
        <v>885</v>
      </c>
      <c r="Q19" s="113">
        <v>800</v>
      </c>
      <c r="R19" s="114">
        <v>970</v>
      </c>
      <c r="S19" s="115">
        <v>11003.978999999999</v>
      </c>
    </row>
    <row r="20" spans="1:19" ht="27" x14ac:dyDescent="0.3">
      <c r="A20" t="s">
        <v>249</v>
      </c>
      <c r="B20" s="132" t="s">
        <v>202</v>
      </c>
      <c r="C20">
        <v>19</v>
      </c>
      <c r="D20">
        <v>19</v>
      </c>
      <c r="E20">
        <v>17</v>
      </c>
      <c r="F20" s="112" t="s">
        <v>200</v>
      </c>
      <c r="G20" s="113">
        <v>5362</v>
      </c>
      <c r="H20" s="113">
        <v>4093</v>
      </c>
      <c r="I20" s="113">
        <v>5044</v>
      </c>
      <c r="J20" s="113">
        <v>5038</v>
      </c>
      <c r="K20" s="113">
        <v>6782</v>
      </c>
      <c r="L20" s="113">
        <v>5554</v>
      </c>
      <c r="M20" s="113">
        <v>4488</v>
      </c>
      <c r="N20" s="113">
        <v>6563</v>
      </c>
      <c r="O20" s="113">
        <v>4788</v>
      </c>
      <c r="P20" s="113">
        <v>5367</v>
      </c>
      <c r="Q20" s="113">
        <v>4755</v>
      </c>
      <c r="R20" s="114">
        <v>5610.4762499999997</v>
      </c>
      <c r="S20" s="115">
        <v>63444.47625</v>
      </c>
    </row>
    <row r="21" spans="1:19" ht="27.6" thickBot="1" x14ac:dyDescent="0.35">
      <c r="A21" t="s">
        <v>249</v>
      </c>
      <c r="B21" s="132" t="s">
        <v>202</v>
      </c>
      <c r="C21">
        <v>20</v>
      </c>
      <c r="D21">
        <v>20</v>
      </c>
      <c r="E21">
        <v>17</v>
      </c>
      <c r="F21" s="112" t="s">
        <v>201</v>
      </c>
      <c r="G21" s="113">
        <v>20.065000000000001</v>
      </c>
      <c r="H21" s="113">
        <v>15.167</v>
      </c>
      <c r="I21" s="113">
        <v>18.869</v>
      </c>
      <c r="J21" s="113">
        <v>18.499522029999998</v>
      </c>
      <c r="K21" s="113">
        <v>24.6</v>
      </c>
      <c r="L21" s="113">
        <v>19.92015</v>
      </c>
      <c r="M21" s="113">
        <v>17.245999999999999</v>
      </c>
      <c r="N21" s="113">
        <v>24.905000000000001</v>
      </c>
      <c r="O21" s="113">
        <v>18.058</v>
      </c>
      <c r="P21" s="113">
        <v>20.300999999999998</v>
      </c>
      <c r="Q21" s="113">
        <v>18.061878350000001</v>
      </c>
      <c r="R21" s="114">
        <v>21.683</v>
      </c>
      <c r="S21" s="115">
        <v>237.37555037999999</v>
      </c>
    </row>
    <row r="22" spans="1:19" ht="27" x14ac:dyDescent="0.3">
      <c r="A22" t="s">
        <v>249</v>
      </c>
      <c r="B22" s="132" t="s">
        <v>202</v>
      </c>
      <c r="C22">
        <v>21</v>
      </c>
      <c r="D22">
        <v>21</v>
      </c>
      <c r="F22" s="108">
        <v>2005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S22" s="111"/>
    </row>
    <row r="23" spans="1:19" ht="27" x14ac:dyDescent="0.3">
      <c r="A23" t="s">
        <v>249</v>
      </c>
      <c r="B23" s="132" t="s">
        <v>202</v>
      </c>
      <c r="C23">
        <v>22</v>
      </c>
      <c r="D23">
        <v>22</v>
      </c>
      <c r="E23">
        <v>21</v>
      </c>
      <c r="F23" s="112" t="s">
        <v>199</v>
      </c>
      <c r="G23" s="113">
        <v>829</v>
      </c>
      <c r="H23" s="113">
        <v>693</v>
      </c>
      <c r="I23" s="113">
        <v>1028</v>
      </c>
      <c r="J23" s="113">
        <v>828</v>
      </c>
      <c r="K23" s="113">
        <v>786</v>
      </c>
      <c r="L23" s="113">
        <v>737</v>
      </c>
      <c r="M23" s="113">
        <v>987</v>
      </c>
      <c r="N23" s="113">
        <v>1086</v>
      </c>
      <c r="O23" s="113">
        <v>752</v>
      </c>
      <c r="P23" s="113">
        <v>962.42600000000004</v>
      </c>
      <c r="Q23" s="113">
        <v>886</v>
      </c>
      <c r="R23" s="114">
        <v>1065</v>
      </c>
      <c r="S23" s="115">
        <v>10639.425999999999</v>
      </c>
    </row>
    <row r="24" spans="1:19" ht="27" x14ac:dyDescent="0.3">
      <c r="A24" t="s">
        <v>249</v>
      </c>
      <c r="B24" s="132" t="s">
        <v>202</v>
      </c>
      <c r="C24">
        <v>23</v>
      </c>
      <c r="D24">
        <v>23</v>
      </c>
      <c r="E24">
        <v>21</v>
      </c>
      <c r="F24" s="112" t="s">
        <v>200</v>
      </c>
      <c r="G24" s="113">
        <v>5036.5998665999996</v>
      </c>
      <c r="H24" s="113">
        <v>4163.5789056000003</v>
      </c>
      <c r="I24" s="113">
        <v>8755.1440703999997</v>
      </c>
      <c r="J24" s="113">
        <v>8624.7767284000001</v>
      </c>
      <c r="K24" s="113">
        <v>8278.8359600000003</v>
      </c>
      <c r="L24" s="113">
        <v>7183.1025000000009</v>
      </c>
      <c r="M24" s="113">
        <v>10344.554370000002</v>
      </c>
      <c r="N24" s="113">
        <v>11571.944305454999</v>
      </c>
      <c r="O24" s="113">
        <v>7936.7117768099997</v>
      </c>
      <c r="P24" s="113">
        <v>10172.06778569</v>
      </c>
      <c r="Q24" s="113">
        <v>9522.2991261040024</v>
      </c>
      <c r="R24" s="114">
        <v>11555.362059999999</v>
      </c>
      <c r="S24" s="115">
        <v>103144.97745505899</v>
      </c>
    </row>
    <row r="25" spans="1:19" ht="27.6" thickBot="1" x14ac:dyDescent="0.35">
      <c r="A25" t="s">
        <v>249</v>
      </c>
      <c r="B25" s="132" t="s">
        <v>202</v>
      </c>
      <c r="C25">
        <v>24</v>
      </c>
      <c r="D25">
        <v>24</v>
      </c>
      <c r="E25">
        <v>21</v>
      </c>
      <c r="F25" s="112" t="s">
        <v>201</v>
      </c>
      <c r="G25" s="113">
        <v>19.44483</v>
      </c>
      <c r="H25" s="113">
        <v>15.99408</v>
      </c>
      <c r="I25" s="113">
        <v>33.406379999999999</v>
      </c>
      <c r="J25" s="113">
        <v>32.596760000000003</v>
      </c>
      <c r="K25" s="113">
        <v>31.226750000000003</v>
      </c>
      <c r="L25" s="113">
        <v>27.055</v>
      </c>
      <c r="M25" s="113">
        <v>38.962540000000004</v>
      </c>
      <c r="N25" s="113">
        <v>43.585477609999998</v>
      </c>
      <c r="O25" s="113">
        <v>29.893453019999999</v>
      </c>
      <c r="P25" s="113">
        <v>38.184871000000001</v>
      </c>
      <c r="Q25" s="113">
        <v>35.451597640000003</v>
      </c>
      <c r="R25" s="114">
        <v>43.638149760000005</v>
      </c>
      <c r="S25" s="115">
        <v>389.43988903000002</v>
      </c>
    </row>
    <row r="26" spans="1:19" ht="27" x14ac:dyDescent="0.3">
      <c r="A26" t="s">
        <v>249</v>
      </c>
      <c r="B26" s="132" t="s">
        <v>202</v>
      </c>
      <c r="C26">
        <v>25</v>
      </c>
      <c r="D26">
        <v>25</v>
      </c>
      <c r="F26" s="108">
        <v>2006</v>
      </c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10"/>
      <c r="S26" s="111"/>
    </row>
    <row r="27" spans="1:19" ht="27" x14ac:dyDescent="0.3">
      <c r="A27" t="s">
        <v>249</v>
      </c>
      <c r="B27" s="132" t="s">
        <v>202</v>
      </c>
      <c r="C27">
        <v>26</v>
      </c>
      <c r="D27">
        <v>26</v>
      </c>
      <c r="E27">
        <v>25</v>
      </c>
      <c r="F27" s="112" t="s">
        <v>199</v>
      </c>
      <c r="G27" s="113">
        <v>794.80899999999997</v>
      </c>
      <c r="H27" s="113">
        <v>940.61500000000001</v>
      </c>
      <c r="I27" s="113">
        <v>1030.9469999999999</v>
      </c>
      <c r="J27" s="113">
        <v>804.75599999999997</v>
      </c>
      <c r="K27" s="113">
        <v>776.42100000000005</v>
      </c>
      <c r="L27" s="113">
        <v>1072</v>
      </c>
      <c r="M27" s="113">
        <v>800.88499999999999</v>
      </c>
      <c r="N27" s="113">
        <v>848</v>
      </c>
      <c r="O27" s="113">
        <v>823.36699999999996</v>
      </c>
      <c r="P27" s="113">
        <v>945.52599999999995</v>
      </c>
      <c r="Q27" s="113">
        <v>770.23099999999999</v>
      </c>
      <c r="R27" s="114">
        <v>1047.9880000000001</v>
      </c>
      <c r="S27" s="115">
        <v>10655.545</v>
      </c>
    </row>
    <row r="28" spans="1:19" ht="27" x14ac:dyDescent="0.3">
      <c r="A28" t="s">
        <v>249</v>
      </c>
      <c r="B28" s="132" t="s">
        <v>202</v>
      </c>
      <c r="C28">
        <v>27</v>
      </c>
      <c r="D28">
        <v>27</v>
      </c>
      <c r="E28">
        <v>25</v>
      </c>
      <c r="F28" s="112" t="s">
        <v>200</v>
      </c>
      <c r="G28" s="113">
        <v>8477.0528653500005</v>
      </c>
      <c r="H28" s="113">
        <v>10091.997297960002</v>
      </c>
      <c r="I28" s="113">
        <v>10898.800363172002</v>
      </c>
      <c r="J28" s="113">
        <v>8876.2112002000013</v>
      </c>
      <c r="K28" s="113">
        <v>8459.2932348000013</v>
      </c>
      <c r="L28" s="113">
        <v>13478.845135624002</v>
      </c>
      <c r="M28" s="113">
        <v>10043.769837582</v>
      </c>
      <c r="N28" s="113">
        <v>10796.178982708001</v>
      </c>
      <c r="O28" s="113">
        <v>10125.168347734001</v>
      </c>
      <c r="P28" s="113">
        <v>11328.108572600002</v>
      </c>
      <c r="Q28" s="113">
        <v>8515.0180678860015</v>
      </c>
      <c r="R28" s="114">
        <v>13246.523342140001</v>
      </c>
      <c r="S28" s="115">
        <v>124336.96724775602</v>
      </c>
    </row>
    <row r="29" spans="1:19" ht="27.6" thickBot="1" x14ac:dyDescent="0.35">
      <c r="A29" t="s">
        <v>249</v>
      </c>
      <c r="B29" s="132" t="s">
        <v>202</v>
      </c>
      <c r="C29">
        <v>28</v>
      </c>
      <c r="D29">
        <v>28</v>
      </c>
      <c r="E29">
        <v>25</v>
      </c>
      <c r="F29" s="112" t="s">
        <v>201</v>
      </c>
      <c r="G29" s="113">
        <v>31.56013725</v>
      </c>
      <c r="H29" s="113">
        <v>37.572588600000003</v>
      </c>
      <c r="I29" s="113">
        <v>40.576323020000004</v>
      </c>
      <c r="J29" s="113">
        <v>33.046207000000003</v>
      </c>
      <c r="K29" s="113">
        <v>31.494018000000001</v>
      </c>
      <c r="L29" s="113">
        <v>50.181850840000003</v>
      </c>
      <c r="M29" s="113">
        <v>37.393037369999995</v>
      </c>
      <c r="N29" s="113">
        <v>40.194262780000003</v>
      </c>
      <c r="O29" s="113">
        <v>37.696084689999999</v>
      </c>
      <c r="P29" s="113">
        <v>42.174641000000001</v>
      </c>
      <c r="Q29" s="113">
        <v>31.701482010000003</v>
      </c>
      <c r="R29" s="114">
        <v>49.3169149</v>
      </c>
      <c r="S29" s="115">
        <v>462.90754746000005</v>
      </c>
    </row>
    <row r="30" spans="1:19" ht="27" x14ac:dyDescent="0.3">
      <c r="A30" t="s">
        <v>249</v>
      </c>
      <c r="B30" s="132" t="s">
        <v>202</v>
      </c>
      <c r="C30">
        <v>29</v>
      </c>
      <c r="D30">
        <v>29</v>
      </c>
      <c r="F30" s="108">
        <v>2007</v>
      </c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10"/>
      <c r="S30" s="111"/>
    </row>
    <row r="31" spans="1:19" ht="27" x14ac:dyDescent="0.3">
      <c r="A31" t="s">
        <v>249</v>
      </c>
      <c r="B31" s="132" t="s">
        <v>202</v>
      </c>
      <c r="C31">
        <v>30</v>
      </c>
      <c r="D31">
        <v>30</v>
      </c>
      <c r="E31">
        <v>29</v>
      </c>
      <c r="F31" s="112" t="s">
        <v>199</v>
      </c>
      <c r="G31" s="113">
        <v>824</v>
      </c>
      <c r="H31" s="113">
        <v>868</v>
      </c>
      <c r="I31" s="113">
        <v>1100</v>
      </c>
      <c r="J31" s="113">
        <v>924</v>
      </c>
      <c r="K31" s="113">
        <v>984</v>
      </c>
      <c r="L31" s="113">
        <v>852</v>
      </c>
      <c r="M31" s="113">
        <v>1058</v>
      </c>
      <c r="N31" s="113">
        <v>928</v>
      </c>
      <c r="O31" s="113">
        <v>1087</v>
      </c>
      <c r="P31" s="113">
        <v>979</v>
      </c>
      <c r="Q31" s="113">
        <v>1059</v>
      </c>
      <c r="R31" s="114">
        <v>1149</v>
      </c>
      <c r="S31" s="115">
        <v>11812</v>
      </c>
    </row>
    <row r="32" spans="1:19" ht="27" x14ac:dyDescent="0.3">
      <c r="A32" t="s">
        <v>249</v>
      </c>
      <c r="B32" s="132" t="s">
        <v>202</v>
      </c>
      <c r="C32">
        <v>31</v>
      </c>
      <c r="D32">
        <v>31</v>
      </c>
      <c r="E32">
        <v>29</v>
      </c>
      <c r="F32" s="112" t="s">
        <v>200</v>
      </c>
      <c r="G32" s="113">
        <v>10271.213158000002</v>
      </c>
      <c r="H32" s="113">
        <v>10467.565678999999</v>
      </c>
      <c r="I32" s="113">
        <v>13896.960146000001</v>
      </c>
      <c r="J32" s="113">
        <v>12184.133571999999</v>
      </c>
      <c r="K32" s="113">
        <v>12120.781418</v>
      </c>
      <c r="L32" s="113">
        <v>11405.773213999999</v>
      </c>
      <c r="M32" s="113">
        <v>12685.326997</v>
      </c>
      <c r="N32" s="113">
        <v>11310.765717</v>
      </c>
      <c r="O32" s="113">
        <v>12930.137684000001</v>
      </c>
      <c r="P32" s="113">
        <v>12608.697831000001</v>
      </c>
      <c r="Q32" s="113">
        <v>12717.577033999998</v>
      </c>
      <c r="R32" s="114">
        <v>11804.330754999999</v>
      </c>
      <c r="S32" s="115">
        <v>144403.263205</v>
      </c>
    </row>
    <row r="33" spans="1:19" ht="27.6" thickBot="1" x14ac:dyDescent="0.35">
      <c r="A33" t="s">
        <v>249</v>
      </c>
      <c r="B33" s="132" t="s">
        <v>202</v>
      </c>
      <c r="C33">
        <v>32</v>
      </c>
      <c r="D33">
        <v>32</v>
      </c>
      <c r="E33">
        <v>29</v>
      </c>
      <c r="F33" s="112" t="s">
        <v>201</v>
      </c>
      <c r="G33" s="113">
        <v>38.527999999999999</v>
      </c>
      <c r="H33" s="113">
        <v>39.316000000000003</v>
      </c>
      <c r="I33" s="113">
        <v>52.148000000000003</v>
      </c>
      <c r="J33" s="113">
        <v>45.720999999999997</v>
      </c>
      <c r="K33" s="113">
        <v>46.417000000000002</v>
      </c>
      <c r="L33" s="113">
        <v>46.417000000000002</v>
      </c>
      <c r="M33" s="113">
        <v>49.558</v>
      </c>
      <c r="N33" s="113">
        <v>44.308999999999997</v>
      </c>
      <c r="O33" s="113">
        <v>50.662999999999997</v>
      </c>
      <c r="P33" s="113">
        <v>49.298999999999999</v>
      </c>
      <c r="Q33" s="113">
        <v>50.372999999999998</v>
      </c>
      <c r="R33" s="114">
        <v>47.621000000000002</v>
      </c>
      <c r="S33" s="115">
        <v>560.37</v>
      </c>
    </row>
    <row r="34" spans="1:19" ht="27" x14ac:dyDescent="0.3">
      <c r="A34" t="s">
        <v>249</v>
      </c>
      <c r="B34" s="132" t="s">
        <v>202</v>
      </c>
      <c r="C34">
        <v>33</v>
      </c>
      <c r="D34">
        <v>33</v>
      </c>
      <c r="F34" s="108">
        <v>2008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10"/>
      <c r="S34" s="111"/>
    </row>
    <row r="35" spans="1:19" ht="27" x14ac:dyDescent="0.3">
      <c r="A35" t="s">
        <v>249</v>
      </c>
      <c r="B35" s="132" t="s">
        <v>202</v>
      </c>
      <c r="C35">
        <v>34</v>
      </c>
      <c r="D35">
        <v>34</v>
      </c>
      <c r="E35">
        <v>33</v>
      </c>
      <c r="F35" s="112" t="s">
        <v>199</v>
      </c>
      <c r="G35" s="113">
        <v>891.65899999999999</v>
      </c>
      <c r="H35" s="113">
        <v>878.53700000000003</v>
      </c>
      <c r="I35" s="113">
        <v>822.89300000000003</v>
      </c>
      <c r="J35" s="113">
        <v>1023.496</v>
      </c>
      <c r="K35" s="113">
        <v>1093.2629999999999</v>
      </c>
      <c r="L35" s="113">
        <v>999.02099999999996</v>
      </c>
      <c r="M35" s="113">
        <v>856.76099999999997</v>
      </c>
      <c r="N35" s="113">
        <v>1120.1179999999999</v>
      </c>
      <c r="O35" s="113">
        <v>870.39</v>
      </c>
      <c r="P35" s="113">
        <v>927.61599999999999</v>
      </c>
      <c r="Q35" s="113">
        <v>767.67600000000004</v>
      </c>
      <c r="R35" s="114">
        <v>701.10199999999998</v>
      </c>
      <c r="S35" s="115">
        <v>10952.531999999999</v>
      </c>
    </row>
    <row r="36" spans="1:19" ht="27" x14ac:dyDescent="0.3">
      <c r="A36" t="s">
        <v>249</v>
      </c>
      <c r="B36" s="132" t="s">
        <v>202</v>
      </c>
      <c r="C36">
        <v>35</v>
      </c>
      <c r="D36">
        <v>35</v>
      </c>
      <c r="E36">
        <v>33</v>
      </c>
      <c r="F36" s="112" t="s">
        <v>200</v>
      </c>
      <c r="G36" s="113">
        <v>11008.071688</v>
      </c>
      <c r="H36" s="113">
        <v>10256.928583000001</v>
      </c>
      <c r="I36" s="113">
        <v>12636.707404999999</v>
      </c>
      <c r="J36" s="113">
        <v>19342.973525000001</v>
      </c>
      <c r="K36" s="113">
        <v>19795.602885</v>
      </c>
      <c r="L36" s="113">
        <v>17042.41544139</v>
      </c>
      <c r="M36" s="113">
        <v>15442.90930549</v>
      </c>
      <c r="N36" s="113">
        <v>18870.979633759998</v>
      </c>
      <c r="O36" s="113">
        <v>16479.387733029998</v>
      </c>
      <c r="P36" s="113">
        <v>18171.642400770001</v>
      </c>
      <c r="Q36" s="113">
        <v>16564.25529112</v>
      </c>
      <c r="R36" s="114">
        <v>10861.847697769999</v>
      </c>
      <c r="S36" s="115">
        <v>186473.72158933</v>
      </c>
    </row>
    <row r="37" spans="1:19" ht="27.6" thickBot="1" x14ac:dyDescent="0.35">
      <c r="A37" t="s">
        <v>249</v>
      </c>
      <c r="B37" s="132" t="s">
        <v>202</v>
      </c>
      <c r="C37">
        <v>36</v>
      </c>
      <c r="D37">
        <v>36</v>
      </c>
      <c r="E37">
        <v>33</v>
      </c>
      <c r="F37" s="112" t="s">
        <v>201</v>
      </c>
      <c r="G37" s="113">
        <v>43.967215269999997</v>
      </c>
      <c r="H37" s="113">
        <v>41.129716029999997</v>
      </c>
      <c r="I37" s="113">
        <v>50.472130870000001</v>
      </c>
      <c r="J37" s="113">
        <v>80.028851990000007</v>
      </c>
      <c r="K37" s="113">
        <v>83.115433870000004</v>
      </c>
      <c r="L37" s="113">
        <v>71.552672099999995</v>
      </c>
      <c r="M37" s="113">
        <v>66.446836649999995</v>
      </c>
      <c r="N37" s="113">
        <v>83.341340079999995</v>
      </c>
      <c r="O37" s="113">
        <v>71.956107470000006</v>
      </c>
      <c r="P37" s="113">
        <v>77.520764490000005</v>
      </c>
      <c r="Q37" s="113">
        <v>67.367233170000006</v>
      </c>
      <c r="R37" s="114">
        <v>42.70265646</v>
      </c>
      <c r="S37" s="115">
        <v>779.60095845000001</v>
      </c>
    </row>
    <row r="38" spans="1:19" ht="27" x14ac:dyDescent="0.3">
      <c r="A38" t="s">
        <v>249</v>
      </c>
      <c r="B38" s="132" t="s">
        <v>202</v>
      </c>
      <c r="C38">
        <v>37</v>
      </c>
      <c r="D38">
        <v>37</v>
      </c>
      <c r="F38" s="108">
        <v>2009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10"/>
      <c r="S38" s="111"/>
    </row>
    <row r="39" spans="1:19" ht="27" x14ac:dyDescent="0.3">
      <c r="A39" t="s">
        <v>249</v>
      </c>
      <c r="B39" s="132" t="s">
        <v>202</v>
      </c>
      <c r="C39">
        <v>38</v>
      </c>
      <c r="D39">
        <v>38</v>
      </c>
      <c r="E39">
        <v>37</v>
      </c>
      <c r="F39" s="112" t="s">
        <v>199</v>
      </c>
      <c r="G39" s="113">
        <v>794</v>
      </c>
      <c r="H39" s="113">
        <v>728</v>
      </c>
      <c r="I39" s="113">
        <v>490</v>
      </c>
      <c r="J39" s="113">
        <v>824</v>
      </c>
      <c r="K39" s="113">
        <v>1011</v>
      </c>
      <c r="L39" s="113">
        <v>878</v>
      </c>
      <c r="M39" s="113">
        <v>808</v>
      </c>
      <c r="N39" s="113">
        <v>956</v>
      </c>
      <c r="O39" s="113">
        <v>1012</v>
      </c>
      <c r="P39" s="113">
        <v>1047</v>
      </c>
      <c r="Q39" s="113">
        <v>763</v>
      </c>
      <c r="R39" s="114">
        <v>984</v>
      </c>
      <c r="S39" s="115">
        <v>10295</v>
      </c>
    </row>
    <row r="40" spans="1:19" ht="27" x14ac:dyDescent="0.3">
      <c r="A40" t="s">
        <v>249</v>
      </c>
      <c r="B40" s="132" t="s">
        <v>202</v>
      </c>
      <c r="C40">
        <v>39</v>
      </c>
      <c r="D40">
        <v>39</v>
      </c>
      <c r="E40">
        <v>37</v>
      </c>
      <c r="F40" s="112" t="s">
        <v>200</v>
      </c>
      <c r="G40" s="113">
        <v>14118</v>
      </c>
      <c r="H40" s="113">
        <v>9799</v>
      </c>
      <c r="I40" s="113">
        <v>6843</v>
      </c>
      <c r="J40" s="113">
        <v>10141</v>
      </c>
      <c r="K40" s="113">
        <v>11418</v>
      </c>
      <c r="L40" s="113">
        <v>10168</v>
      </c>
      <c r="M40" s="113">
        <v>11359</v>
      </c>
      <c r="N40" s="113">
        <v>10967</v>
      </c>
      <c r="O40" s="113">
        <v>13094</v>
      </c>
      <c r="P40" s="113">
        <v>19855</v>
      </c>
      <c r="Q40" s="113">
        <v>10255</v>
      </c>
      <c r="R40" s="114">
        <v>14464</v>
      </c>
      <c r="S40" s="115">
        <v>142481</v>
      </c>
    </row>
    <row r="41" spans="1:19" ht="27.6" thickBot="1" x14ac:dyDescent="0.35">
      <c r="A41" t="s">
        <v>249</v>
      </c>
      <c r="B41" s="132" t="s">
        <v>202</v>
      </c>
      <c r="C41">
        <v>40</v>
      </c>
      <c r="D41">
        <v>40</v>
      </c>
      <c r="E41">
        <v>37</v>
      </c>
      <c r="F41" s="112" t="s">
        <v>201</v>
      </c>
      <c r="G41" s="113">
        <v>51.354999999999997</v>
      </c>
      <c r="H41" s="113">
        <v>38.148000000000003</v>
      </c>
      <c r="I41" s="113">
        <v>29.288</v>
      </c>
      <c r="J41" s="113">
        <v>38.314</v>
      </c>
      <c r="K41" s="113">
        <v>43.259</v>
      </c>
      <c r="L41" s="113">
        <v>38.51</v>
      </c>
      <c r="M41" s="113">
        <v>43.124000000000002</v>
      </c>
      <c r="N41" s="113">
        <v>41.969000000000001</v>
      </c>
      <c r="O41" s="113">
        <v>50.18</v>
      </c>
      <c r="P41" s="113">
        <v>53.597999999999999</v>
      </c>
      <c r="Q41" s="113">
        <v>39.405000000000001</v>
      </c>
      <c r="R41" s="114">
        <v>55.067</v>
      </c>
      <c r="S41" s="115">
        <v>522.21699999999998</v>
      </c>
    </row>
    <row r="42" spans="1:19" ht="27" x14ac:dyDescent="0.3">
      <c r="A42" t="s">
        <v>249</v>
      </c>
      <c r="B42" s="132" t="s">
        <v>202</v>
      </c>
      <c r="C42">
        <v>41</v>
      </c>
      <c r="D42">
        <v>41</v>
      </c>
      <c r="F42" s="108">
        <v>2010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10"/>
      <c r="S42" s="111"/>
    </row>
    <row r="43" spans="1:19" ht="27" x14ac:dyDescent="0.3">
      <c r="A43" t="s">
        <v>249</v>
      </c>
      <c r="B43" s="132" t="s">
        <v>202</v>
      </c>
      <c r="C43">
        <v>42</v>
      </c>
      <c r="D43">
        <v>42</v>
      </c>
      <c r="E43">
        <v>41</v>
      </c>
      <c r="F43" s="112" t="s">
        <v>199</v>
      </c>
      <c r="G43" s="113">
        <v>780</v>
      </c>
      <c r="H43" s="113">
        <v>704</v>
      </c>
      <c r="I43" s="113">
        <v>1077</v>
      </c>
      <c r="J43" s="113">
        <v>848</v>
      </c>
      <c r="K43" s="113">
        <v>925</v>
      </c>
      <c r="L43" s="113">
        <v>891</v>
      </c>
      <c r="M43" s="113">
        <v>1085</v>
      </c>
      <c r="N43" s="113">
        <v>1046</v>
      </c>
      <c r="O43" s="113">
        <v>677</v>
      </c>
      <c r="P43" s="113">
        <v>1016</v>
      </c>
      <c r="Q43" s="113">
        <v>1057</v>
      </c>
      <c r="R43" s="114">
        <v>1001</v>
      </c>
      <c r="S43" s="115">
        <f>SUM(G43:R43)</f>
        <v>11107</v>
      </c>
    </row>
    <row r="44" spans="1:19" ht="27" x14ac:dyDescent="0.3">
      <c r="A44" t="s">
        <v>249</v>
      </c>
      <c r="B44" s="132" t="s">
        <v>202</v>
      </c>
      <c r="C44">
        <v>43</v>
      </c>
      <c r="D44">
        <v>43</v>
      </c>
      <c r="E44">
        <v>41</v>
      </c>
      <c r="F44" s="112" t="s">
        <v>200</v>
      </c>
      <c r="G44" s="113">
        <v>11077.80191817</v>
      </c>
      <c r="H44" s="113">
        <v>9653.3940073400008</v>
      </c>
      <c r="I44" s="113">
        <v>15491.83338849</v>
      </c>
      <c r="J44" s="113">
        <v>14070.695260070001</v>
      </c>
      <c r="K44" s="113">
        <v>18862.909991</v>
      </c>
      <c r="L44" s="113">
        <v>15698.36610479</v>
      </c>
      <c r="M44" s="113">
        <v>24655.786613</v>
      </c>
      <c r="N44" s="113">
        <v>26004</v>
      </c>
      <c r="O44" s="113">
        <v>17539.477321750001</v>
      </c>
      <c r="P44" s="113">
        <v>29730.44420324</v>
      </c>
      <c r="Q44" s="113">
        <v>32392.320395999999</v>
      </c>
      <c r="R44" s="114">
        <v>31886.057663</v>
      </c>
      <c r="S44" s="115">
        <f>SUM(G44:R44)</f>
        <v>247063.08686685003</v>
      </c>
    </row>
    <row r="45" spans="1:19" ht="27" x14ac:dyDescent="0.3">
      <c r="A45" t="s">
        <v>249</v>
      </c>
      <c r="B45" s="132" t="s">
        <v>202</v>
      </c>
      <c r="C45">
        <v>44</v>
      </c>
      <c r="D45">
        <v>44</v>
      </c>
      <c r="E45">
        <v>41</v>
      </c>
      <c r="F45" s="112" t="s">
        <v>201</v>
      </c>
      <c r="G45" s="113">
        <v>42.388466819999998</v>
      </c>
      <c r="H45" s="113">
        <v>37.134151439999997</v>
      </c>
      <c r="I45" s="113">
        <v>59.492447730000002</v>
      </c>
      <c r="J45" s="113">
        <v>53.26983895</v>
      </c>
      <c r="K45" s="113">
        <v>70.347243930000005</v>
      </c>
      <c r="L45" s="113">
        <v>57.448459730000003</v>
      </c>
      <c r="M45" s="113">
        <v>87.187618409999999</v>
      </c>
      <c r="N45" s="113">
        <v>94.852999999999994</v>
      </c>
      <c r="O45" s="113">
        <v>61.294696219999999</v>
      </c>
      <c r="P45" s="113">
        <v>103.0940919</v>
      </c>
      <c r="Q45" s="113">
        <v>114.5171477</v>
      </c>
      <c r="R45" s="114">
        <v>113.9601775</v>
      </c>
      <c r="S45" s="115">
        <f>SUM(G45:R45)</f>
        <v>894.98734033000005</v>
      </c>
    </row>
    <row r="46" spans="1:19" ht="27" x14ac:dyDescent="0.3">
      <c r="A46" t="s">
        <v>249</v>
      </c>
      <c r="B46" s="132" t="s">
        <v>202</v>
      </c>
      <c r="C46">
        <v>45</v>
      </c>
      <c r="D46">
        <v>45</v>
      </c>
      <c r="F46" s="116">
        <v>2011</v>
      </c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4"/>
      <c r="S46" s="115"/>
    </row>
    <row r="47" spans="1:19" ht="27" x14ac:dyDescent="0.3">
      <c r="A47" t="s">
        <v>249</v>
      </c>
      <c r="B47" s="132" t="s">
        <v>202</v>
      </c>
      <c r="C47">
        <v>46</v>
      </c>
      <c r="D47">
        <v>46</v>
      </c>
      <c r="E47">
        <v>45</v>
      </c>
      <c r="F47" s="112" t="s">
        <v>199</v>
      </c>
      <c r="G47" s="113">
        <v>766.53800000000001</v>
      </c>
      <c r="H47" s="113">
        <v>793.49099999999999</v>
      </c>
      <c r="I47" s="113">
        <v>1067.902</v>
      </c>
      <c r="J47" s="113">
        <v>694.154</v>
      </c>
      <c r="K47" s="113">
        <v>1124.386</v>
      </c>
      <c r="L47" s="113">
        <v>569.03</v>
      </c>
      <c r="M47" s="113">
        <v>973.75599999999997</v>
      </c>
      <c r="N47" s="113">
        <v>1003.831</v>
      </c>
      <c r="O47" s="113">
        <v>970.79200000000003</v>
      </c>
      <c r="P47" s="113">
        <v>879.63199999999995</v>
      </c>
      <c r="Q47" s="113">
        <v>923.22500000000002</v>
      </c>
      <c r="R47" s="114">
        <v>1254.923</v>
      </c>
      <c r="S47" s="115">
        <f>SUM(G47:R47)</f>
        <v>11021.660000000002</v>
      </c>
    </row>
    <row r="48" spans="1:19" ht="27" x14ac:dyDescent="0.3">
      <c r="A48" t="s">
        <v>249</v>
      </c>
      <c r="B48" s="132" t="s">
        <v>202</v>
      </c>
      <c r="C48">
        <v>47</v>
      </c>
      <c r="D48">
        <v>47</v>
      </c>
      <c r="E48">
        <v>45</v>
      </c>
      <c r="F48" s="112" t="s">
        <v>200</v>
      </c>
      <c r="G48" s="113">
        <v>26744.828213700002</v>
      </c>
      <c r="H48" s="113">
        <v>26698.784580619998</v>
      </c>
      <c r="I48" s="113">
        <v>34822.613949700004</v>
      </c>
      <c r="J48" s="113">
        <v>27425.927299900002</v>
      </c>
      <c r="K48" s="113">
        <v>45563.032311399998</v>
      </c>
      <c r="L48" s="113">
        <v>22156.179076659999</v>
      </c>
      <c r="M48" s="113">
        <v>39070.411722500001</v>
      </c>
      <c r="N48" s="113">
        <v>40240.652122</v>
      </c>
      <c r="O48" s="113">
        <v>38070.497372999998</v>
      </c>
      <c r="P48" s="113">
        <v>33537.745972999997</v>
      </c>
      <c r="Q48" s="113">
        <v>23700.875790999999</v>
      </c>
      <c r="R48" s="114">
        <v>35090.008201440003</v>
      </c>
      <c r="S48" s="115">
        <f>SUM(G48:R48)</f>
        <v>393121.55661492003</v>
      </c>
    </row>
    <row r="49" spans="1:19" ht="27" x14ac:dyDescent="0.3">
      <c r="A49" t="s">
        <v>249</v>
      </c>
      <c r="B49" s="132" t="s">
        <v>202</v>
      </c>
      <c r="C49">
        <v>48</v>
      </c>
      <c r="D49">
        <v>48</v>
      </c>
      <c r="E49">
        <v>45</v>
      </c>
      <c r="F49" s="112" t="s">
        <v>201</v>
      </c>
      <c r="G49" s="113">
        <v>95.075820239999999</v>
      </c>
      <c r="H49" s="113">
        <v>96.28470043999998</v>
      </c>
      <c r="I49" s="113">
        <v>121.06739195000002</v>
      </c>
      <c r="J49" s="113">
        <v>98.899885690000019</v>
      </c>
      <c r="K49" s="113">
        <v>168.02964529999994</v>
      </c>
      <c r="L49" s="113">
        <v>81.360513089999998</v>
      </c>
      <c r="M49" s="113">
        <v>143.03123341999998</v>
      </c>
      <c r="N49" s="113">
        <v>145.64642992</v>
      </c>
      <c r="O49" s="113">
        <v>136.80644460999997</v>
      </c>
      <c r="P49" s="113">
        <v>118.09897164999998</v>
      </c>
      <c r="Q49" s="113">
        <v>83.076433769999994</v>
      </c>
      <c r="R49" s="114">
        <v>122.68804658000002</v>
      </c>
      <c r="S49" s="115">
        <f>SUM(G49:R49)</f>
        <v>1410.06551666</v>
      </c>
    </row>
    <row r="50" spans="1:19" ht="27" x14ac:dyDescent="0.3">
      <c r="A50" t="s">
        <v>249</v>
      </c>
      <c r="B50" s="132" t="s">
        <v>202</v>
      </c>
      <c r="C50">
        <v>49</v>
      </c>
      <c r="D50">
        <v>49</v>
      </c>
      <c r="F50" s="116">
        <v>2012</v>
      </c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4"/>
      <c r="S50" s="115"/>
    </row>
    <row r="51" spans="1:19" ht="27" x14ac:dyDescent="0.3">
      <c r="A51" t="s">
        <v>249</v>
      </c>
      <c r="B51" s="132" t="s">
        <v>202</v>
      </c>
      <c r="C51">
        <v>50</v>
      </c>
      <c r="D51">
        <v>50</v>
      </c>
      <c r="E51">
        <v>49</v>
      </c>
      <c r="F51" s="112" t="s">
        <v>199</v>
      </c>
      <c r="G51" s="113">
        <v>656</v>
      </c>
      <c r="H51" s="113">
        <v>898</v>
      </c>
      <c r="I51" s="113">
        <v>1104</v>
      </c>
      <c r="J51" s="113">
        <v>1009</v>
      </c>
      <c r="K51" s="113">
        <v>865</v>
      </c>
      <c r="L51" s="113">
        <v>915</v>
      </c>
      <c r="M51" s="113">
        <v>957</v>
      </c>
      <c r="N51" s="113">
        <v>852</v>
      </c>
      <c r="O51" s="113">
        <v>873</v>
      </c>
      <c r="P51" s="113">
        <v>859</v>
      </c>
      <c r="Q51" s="113">
        <v>1149</v>
      </c>
      <c r="R51" s="114">
        <v>1360</v>
      </c>
      <c r="S51" s="115">
        <f>SUM(G51:R51)</f>
        <v>11497</v>
      </c>
    </row>
    <row r="52" spans="1:19" ht="27" x14ac:dyDescent="0.3">
      <c r="A52" t="s">
        <v>249</v>
      </c>
      <c r="B52" s="132" t="s">
        <v>202</v>
      </c>
      <c r="C52">
        <v>51</v>
      </c>
      <c r="D52">
        <v>51</v>
      </c>
      <c r="E52">
        <v>49</v>
      </c>
      <c r="F52" s="112" t="s">
        <v>200</v>
      </c>
      <c r="G52" s="113">
        <v>19131</v>
      </c>
      <c r="H52" s="113">
        <v>26348</v>
      </c>
      <c r="I52" s="113">
        <v>30986</v>
      </c>
      <c r="J52" s="113">
        <v>29620</v>
      </c>
      <c r="K52" s="113">
        <v>30908</v>
      </c>
      <c r="L52" s="113">
        <v>25840</v>
      </c>
      <c r="M52" s="113">
        <v>29818</v>
      </c>
      <c r="N52" s="113">
        <v>22348</v>
      </c>
      <c r="O52" s="113">
        <v>14384</v>
      </c>
      <c r="P52" s="113">
        <v>9791</v>
      </c>
      <c r="Q52" s="113">
        <v>23879</v>
      </c>
      <c r="R52" s="114">
        <v>70239</v>
      </c>
      <c r="S52" s="115">
        <f>SUM(G52:R52)</f>
        <v>333292</v>
      </c>
    </row>
    <row r="53" spans="1:19" ht="27" x14ac:dyDescent="0.3">
      <c r="A53" t="s">
        <v>249</v>
      </c>
      <c r="B53" s="132" t="s">
        <v>202</v>
      </c>
      <c r="C53">
        <v>52</v>
      </c>
      <c r="D53">
        <v>52</v>
      </c>
      <c r="E53">
        <v>49</v>
      </c>
      <c r="F53" s="112" t="s">
        <v>201</v>
      </c>
      <c r="G53" s="113">
        <v>66.5</v>
      </c>
      <c r="H53" s="113">
        <v>90.915999999999997</v>
      </c>
      <c r="I53" s="113">
        <v>106.009</v>
      </c>
      <c r="J53" s="113">
        <v>101.992</v>
      </c>
      <c r="K53" s="113">
        <v>106.468</v>
      </c>
      <c r="L53" s="113">
        <v>94.286000000000001</v>
      </c>
      <c r="M53" s="113">
        <v>95.385999999999996</v>
      </c>
      <c r="N53" s="113">
        <v>74.680999999999997</v>
      </c>
      <c r="O53" s="113">
        <v>47.874000000000002</v>
      </c>
      <c r="P53" s="113">
        <v>49.646000000000001</v>
      </c>
      <c r="Q53" s="113">
        <v>74.453999999999994</v>
      </c>
      <c r="R53" s="114">
        <v>222.44499999999999</v>
      </c>
      <c r="S53" s="115">
        <f>SUM(G53:R53)</f>
        <v>1130.6569999999999</v>
      </c>
    </row>
    <row r="54" spans="1:19" ht="27" x14ac:dyDescent="0.3">
      <c r="A54" t="s">
        <v>249</v>
      </c>
      <c r="B54" s="132" t="s">
        <v>202</v>
      </c>
      <c r="C54">
        <v>53</v>
      </c>
      <c r="D54">
        <v>53</v>
      </c>
      <c r="F54" s="117">
        <v>2014</v>
      </c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4"/>
      <c r="S54" s="118"/>
    </row>
    <row r="55" spans="1:19" ht="27" x14ac:dyDescent="0.3">
      <c r="A55" t="s">
        <v>249</v>
      </c>
      <c r="B55" s="132" t="s">
        <v>202</v>
      </c>
      <c r="C55">
        <v>54</v>
      </c>
      <c r="D55">
        <v>54</v>
      </c>
      <c r="E55">
        <v>53</v>
      </c>
      <c r="F55" s="119" t="s">
        <v>199</v>
      </c>
      <c r="G55" s="113">
        <v>971</v>
      </c>
      <c r="H55" s="113">
        <v>1225</v>
      </c>
      <c r="I55" s="113">
        <v>1127</v>
      </c>
      <c r="J55" s="113">
        <v>981</v>
      </c>
      <c r="K55" s="113">
        <v>1138</v>
      </c>
      <c r="L55" s="113">
        <v>889</v>
      </c>
      <c r="M55" s="113">
        <v>1193</v>
      </c>
      <c r="N55" s="113">
        <v>1141</v>
      </c>
      <c r="O55" s="113">
        <v>1130</v>
      </c>
      <c r="P55" s="113">
        <v>1076</v>
      </c>
      <c r="Q55" s="113">
        <v>974</v>
      </c>
      <c r="R55" s="114">
        <v>1210</v>
      </c>
      <c r="S55" s="118">
        <f>SUM(G55:R55)</f>
        <v>13055</v>
      </c>
    </row>
    <row r="56" spans="1:19" ht="27" x14ac:dyDescent="0.3">
      <c r="A56" t="s">
        <v>249</v>
      </c>
      <c r="B56" s="132" t="s">
        <v>202</v>
      </c>
      <c r="C56">
        <v>55</v>
      </c>
      <c r="D56">
        <v>55</v>
      </c>
      <c r="E56">
        <v>53</v>
      </c>
      <c r="F56" s="119" t="s">
        <v>200</v>
      </c>
      <c r="G56" s="113">
        <v>26706</v>
      </c>
      <c r="H56" s="113">
        <v>33055</v>
      </c>
      <c r="I56" s="113">
        <v>26942</v>
      </c>
      <c r="J56" s="113">
        <v>19900</v>
      </c>
      <c r="K56" s="113">
        <v>20229</v>
      </c>
      <c r="L56" s="113">
        <v>12932</v>
      </c>
      <c r="M56" s="113">
        <v>21189</v>
      </c>
      <c r="N56" s="113">
        <v>14267</v>
      </c>
      <c r="O56" s="113">
        <v>12873</v>
      </c>
      <c r="P56" s="113">
        <v>14382</v>
      </c>
      <c r="Q56" s="113">
        <v>8345</v>
      </c>
      <c r="R56" s="114">
        <v>8199</v>
      </c>
      <c r="S56" s="118">
        <f>SUM(G56:R56)</f>
        <v>219019</v>
      </c>
    </row>
    <row r="57" spans="1:19" ht="27" x14ac:dyDescent="0.3">
      <c r="A57" t="s">
        <v>249</v>
      </c>
      <c r="B57" s="132" t="s">
        <v>202</v>
      </c>
      <c r="C57">
        <v>56</v>
      </c>
      <c r="D57">
        <v>56</v>
      </c>
      <c r="E57">
        <v>53</v>
      </c>
      <c r="F57" s="119" t="s">
        <v>201</v>
      </c>
      <c r="G57" s="113">
        <v>89.441000000000003</v>
      </c>
      <c r="H57" s="113">
        <v>109.991</v>
      </c>
      <c r="I57" s="113">
        <v>90</v>
      </c>
      <c r="J57" s="113">
        <v>66.834000000000003</v>
      </c>
      <c r="K57" s="113">
        <v>67.86</v>
      </c>
      <c r="L57" s="113">
        <v>43.247999999999998</v>
      </c>
      <c r="M57" s="113">
        <v>70.801000000000002</v>
      </c>
      <c r="N57" s="113">
        <v>47.515999999999998</v>
      </c>
      <c r="O57" s="113">
        <v>42.817999999999998</v>
      </c>
      <c r="P57" s="113">
        <v>47.603000000000002</v>
      </c>
      <c r="Q57" s="113">
        <v>27.361000000000001</v>
      </c>
      <c r="R57" s="114">
        <v>27.268000000000001</v>
      </c>
      <c r="S57" s="118">
        <f>SUM(G57:R57)</f>
        <v>730.74099999999999</v>
      </c>
    </row>
    <row r="58" spans="1:19" ht="27" x14ac:dyDescent="0.3">
      <c r="A58" t="s">
        <v>249</v>
      </c>
      <c r="B58" s="132" t="s">
        <v>202</v>
      </c>
      <c r="C58">
        <v>57</v>
      </c>
      <c r="D58">
        <v>57</v>
      </c>
      <c r="F58" s="117">
        <v>2015</v>
      </c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4"/>
      <c r="S58" s="118"/>
    </row>
    <row r="59" spans="1:19" ht="27" x14ac:dyDescent="0.3">
      <c r="A59" t="s">
        <v>249</v>
      </c>
      <c r="B59" s="132" t="s">
        <v>202</v>
      </c>
      <c r="C59">
        <v>58</v>
      </c>
      <c r="D59">
        <v>58</v>
      </c>
      <c r="E59">
        <v>57</v>
      </c>
      <c r="F59" s="119" t="s">
        <v>199</v>
      </c>
      <c r="G59" s="113">
        <v>555</v>
      </c>
      <c r="H59" s="113">
        <v>1154</v>
      </c>
      <c r="I59" s="113">
        <v>817</v>
      </c>
      <c r="J59" s="113">
        <v>1104</v>
      </c>
      <c r="K59" s="113">
        <v>820</v>
      </c>
      <c r="L59" s="113">
        <v>1179</v>
      </c>
      <c r="M59" s="113">
        <v>926</v>
      </c>
      <c r="N59" s="113">
        <v>830</v>
      </c>
      <c r="O59" s="113">
        <v>787</v>
      </c>
      <c r="P59" s="113">
        <v>1132</v>
      </c>
      <c r="Q59" s="113">
        <v>920</v>
      </c>
      <c r="R59" s="114">
        <v>1216</v>
      </c>
      <c r="S59" s="118">
        <f>SUM(G59:R59)</f>
        <v>11440</v>
      </c>
    </row>
    <row r="60" spans="1:19" ht="27" x14ac:dyDescent="0.3">
      <c r="A60" t="s">
        <v>249</v>
      </c>
      <c r="B60" s="132" t="s">
        <v>202</v>
      </c>
      <c r="C60">
        <v>59</v>
      </c>
      <c r="D60">
        <v>59</v>
      </c>
      <c r="E60">
        <v>57</v>
      </c>
      <c r="F60" s="119" t="s">
        <v>200</v>
      </c>
      <c r="G60" s="113">
        <v>817</v>
      </c>
      <c r="H60" s="113">
        <v>1522</v>
      </c>
      <c r="I60" s="113">
        <v>1044</v>
      </c>
      <c r="J60" s="113">
        <v>1003</v>
      </c>
      <c r="K60" s="113">
        <v>821</v>
      </c>
      <c r="L60" s="113">
        <v>1085</v>
      </c>
      <c r="M60" s="113">
        <v>921</v>
      </c>
      <c r="N60" s="113">
        <v>851</v>
      </c>
      <c r="O60" s="113">
        <v>700</v>
      </c>
      <c r="P60" s="113">
        <v>991</v>
      </c>
      <c r="Q60" s="113">
        <v>732</v>
      </c>
      <c r="R60" s="114">
        <v>921</v>
      </c>
      <c r="S60" s="118">
        <f>SUM(G60:R60)</f>
        <v>11408</v>
      </c>
    </row>
    <row r="61" spans="1:19" ht="27" x14ac:dyDescent="0.3">
      <c r="A61" t="s">
        <v>249</v>
      </c>
      <c r="B61" s="132" t="s">
        <v>202</v>
      </c>
      <c r="C61">
        <v>60</v>
      </c>
      <c r="D61">
        <v>60</v>
      </c>
      <c r="E61">
        <v>57</v>
      </c>
      <c r="F61" s="119" t="s">
        <v>201</v>
      </c>
      <c r="G61" s="113">
        <v>25670</v>
      </c>
      <c r="H61" s="113">
        <v>47791</v>
      </c>
      <c r="I61" s="113">
        <v>32778</v>
      </c>
      <c r="J61" s="113">
        <v>31494</v>
      </c>
      <c r="K61" s="113">
        <v>25792</v>
      </c>
      <c r="L61" s="113">
        <v>34061</v>
      </c>
      <c r="M61" s="113">
        <v>28921</v>
      </c>
      <c r="N61" s="113">
        <v>26716</v>
      </c>
      <c r="O61" s="113">
        <v>21976</v>
      </c>
      <c r="P61" s="113">
        <v>31117</v>
      </c>
      <c r="Q61" s="113">
        <v>23003</v>
      </c>
      <c r="R61" s="114">
        <v>28912</v>
      </c>
      <c r="S61" s="118">
        <f>SUM(G61:R61)</f>
        <v>358231</v>
      </c>
    </row>
    <row r="62" spans="1:19" ht="27" x14ac:dyDescent="0.3">
      <c r="A62" t="s">
        <v>249</v>
      </c>
      <c r="B62" s="132" t="s">
        <v>202</v>
      </c>
      <c r="C62">
        <v>61</v>
      </c>
      <c r="D62">
        <v>61</v>
      </c>
      <c r="F62" s="117">
        <v>2016</v>
      </c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4"/>
      <c r="S62" s="118"/>
    </row>
    <row r="63" spans="1:19" ht="27" x14ac:dyDescent="0.3">
      <c r="A63" t="s">
        <v>249</v>
      </c>
      <c r="B63" s="132" t="s">
        <v>202</v>
      </c>
      <c r="C63">
        <v>62</v>
      </c>
      <c r="D63">
        <v>62</v>
      </c>
      <c r="E63">
        <v>61</v>
      </c>
      <c r="F63" s="119" t="s">
        <v>199</v>
      </c>
      <c r="G63" s="113">
        <v>933.98500000000001</v>
      </c>
      <c r="H63" s="113">
        <v>986.55399999999997</v>
      </c>
      <c r="I63" s="113">
        <v>1152.192</v>
      </c>
      <c r="J63" s="113">
        <v>960.26700000000005</v>
      </c>
      <c r="K63" s="113">
        <v>1091.011</v>
      </c>
      <c r="L63" s="113">
        <v>1080.3240000000001</v>
      </c>
      <c r="M63" s="113">
        <v>1229.2149999999999</v>
      </c>
      <c r="N63" s="113">
        <v>1299.934</v>
      </c>
      <c r="O63" s="113">
        <v>998.46900000000005</v>
      </c>
      <c r="P63" s="113">
        <v>1252.412</v>
      </c>
      <c r="Q63" s="113">
        <v>1000.102</v>
      </c>
      <c r="R63" s="114">
        <v>1290.2739999999999</v>
      </c>
      <c r="S63" s="118">
        <f>SUM(G63:R63)</f>
        <v>13274.739000000001</v>
      </c>
    </row>
    <row r="64" spans="1:19" ht="27" x14ac:dyDescent="0.3">
      <c r="A64" t="s">
        <v>249</v>
      </c>
      <c r="B64" s="132" t="s">
        <v>202</v>
      </c>
      <c r="C64">
        <v>63</v>
      </c>
      <c r="D64">
        <v>63</v>
      </c>
      <c r="E64">
        <v>61</v>
      </c>
      <c r="F64" s="119" t="s">
        <v>200</v>
      </c>
      <c r="G64" s="113">
        <v>17849.342430000001</v>
      </c>
      <c r="H64" s="113">
        <v>18311.909079999998</v>
      </c>
      <c r="I64" s="113">
        <v>27345.564460000001</v>
      </c>
      <c r="J64" s="113">
        <v>31273.240399999999</v>
      </c>
      <c r="K64" s="113">
        <v>50146.154649999997</v>
      </c>
      <c r="L64" s="113">
        <v>46987.617049999993</v>
      </c>
      <c r="M64" s="113">
        <v>48533.688179999997</v>
      </c>
      <c r="N64" s="113">
        <v>46483.022659999995</v>
      </c>
      <c r="O64" s="113">
        <v>37222.086040000002</v>
      </c>
      <c r="P64" s="113">
        <v>48516.16461</v>
      </c>
      <c r="Q64" s="113">
        <v>55238.087930000002</v>
      </c>
      <c r="R64" s="114">
        <v>151511.9731</v>
      </c>
      <c r="S64" s="118">
        <f>SUM(G64:R64)</f>
        <v>579418.85058999993</v>
      </c>
    </row>
    <row r="65" spans="1:19" ht="27" x14ac:dyDescent="0.3">
      <c r="A65" t="s">
        <v>249</v>
      </c>
      <c r="B65" s="132" t="s">
        <v>202</v>
      </c>
      <c r="C65">
        <v>64</v>
      </c>
      <c r="D65">
        <v>64</v>
      </c>
      <c r="E65">
        <v>61</v>
      </c>
      <c r="F65" s="119" t="s">
        <v>201</v>
      </c>
      <c r="G65" s="113">
        <v>6035.7551426999999</v>
      </c>
      <c r="H65" s="113">
        <v>6213.7801081000007</v>
      </c>
      <c r="I65" s="113">
        <v>9397.0297710300001</v>
      </c>
      <c r="J65" s="113">
        <v>10913.735434790002</v>
      </c>
      <c r="K65" s="113">
        <v>17576.093056349997</v>
      </c>
      <c r="L65" s="113">
        <v>16545.279715649998</v>
      </c>
      <c r="M65" s="113">
        <v>17138.701306999999</v>
      </c>
      <c r="N65" s="113">
        <v>16434.66876733</v>
      </c>
      <c r="O65" s="113">
        <v>13185.17953795</v>
      </c>
      <c r="P65" s="113">
        <v>17210.624233759998</v>
      </c>
      <c r="Q65" s="113">
        <v>19612.835500410001</v>
      </c>
      <c r="R65" s="114">
        <v>53752.83225811</v>
      </c>
      <c r="S65" s="118">
        <f>SUM(G65:R65)</f>
        <v>204016.51483318</v>
      </c>
    </row>
    <row r="66" spans="1:19" ht="27" x14ac:dyDescent="0.3">
      <c r="A66" t="s">
        <v>249</v>
      </c>
      <c r="B66" s="132" t="s">
        <v>202</v>
      </c>
      <c r="C66">
        <v>65</v>
      </c>
      <c r="D66">
        <v>65</v>
      </c>
      <c r="F66" s="117">
        <v>2017</v>
      </c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4"/>
      <c r="S66" s="118"/>
    </row>
    <row r="67" spans="1:19" ht="27" x14ac:dyDescent="0.3">
      <c r="A67" t="s">
        <v>249</v>
      </c>
      <c r="B67" s="132" t="s">
        <v>202</v>
      </c>
      <c r="C67">
        <v>66</v>
      </c>
      <c r="D67">
        <v>66</v>
      </c>
      <c r="E67">
        <v>65</v>
      </c>
      <c r="F67" s="119" t="s">
        <v>199</v>
      </c>
      <c r="G67" s="113">
        <v>680.81299999999999</v>
      </c>
      <c r="H67" s="113">
        <v>1167.7090000000001</v>
      </c>
      <c r="I67" s="113">
        <v>1142</v>
      </c>
      <c r="J67" s="113">
        <v>901.30700000000002</v>
      </c>
      <c r="K67" s="113">
        <v>1070.8109999999999</v>
      </c>
      <c r="L67" s="113">
        <v>870.86</v>
      </c>
      <c r="M67" s="113">
        <v>995.69500000000005</v>
      </c>
      <c r="N67" s="113">
        <v>961.00099999999998</v>
      </c>
      <c r="O67" s="113">
        <v>801.54300000000001</v>
      </c>
      <c r="P67" s="113">
        <v>1133.181</v>
      </c>
      <c r="Q67" s="113">
        <v>890.12699999999995</v>
      </c>
      <c r="R67" s="114">
        <v>1098.7950000000001</v>
      </c>
      <c r="S67" s="118">
        <f>SUM(G67:R67)</f>
        <v>11713.842000000001</v>
      </c>
    </row>
    <row r="68" spans="1:19" ht="27" x14ac:dyDescent="0.3">
      <c r="A68" t="s">
        <v>249</v>
      </c>
      <c r="B68" s="132" t="s">
        <v>202</v>
      </c>
      <c r="C68">
        <v>67</v>
      </c>
      <c r="D68">
        <v>67</v>
      </c>
      <c r="E68">
        <v>65</v>
      </c>
      <c r="F68" s="119" t="s">
        <v>200</v>
      </c>
      <c r="G68" s="113">
        <v>35325.219530000002</v>
      </c>
      <c r="H68" s="113">
        <v>64384.312969999999</v>
      </c>
      <c r="I68" s="113">
        <v>60990.735860000001</v>
      </c>
      <c r="J68" s="113">
        <v>50001.972969999995</v>
      </c>
      <c r="K68" s="113">
        <v>56094.935440000001</v>
      </c>
      <c r="L68" s="113">
        <v>44299.568659999997</v>
      </c>
      <c r="M68" s="113">
        <v>27015.829379999999</v>
      </c>
      <c r="N68" s="113">
        <v>4030.0537300000001</v>
      </c>
      <c r="O68" s="113">
        <v>35717.697</v>
      </c>
      <c r="P68" s="113">
        <v>43542.115890000001</v>
      </c>
      <c r="Q68" s="113">
        <v>47841.988069999999</v>
      </c>
      <c r="R68" s="114">
        <v>45425.570499999973</v>
      </c>
      <c r="S68" s="118">
        <f>SUM(G68:R68)</f>
        <v>514670</v>
      </c>
    </row>
    <row r="69" spans="1:19" ht="27" x14ac:dyDescent="0.3">
      <c r="A69" t="s">
        <v>249</v>
      </c>
      <c r="B69" s="132" t="s">
        <v>202</v>
      </c>
      <c r="C69">
        <v>68</v>
      </c>
      <c r="D69">
        <v>68</v>
      </c>
      <c r="E69">
        <v>65</v>
      </c>
      <c r="F69" s="119" t="s">
        <v>201</v>
      </c>
      <c r="G69" s="113">
        <v>12563.41432584</v>
      </c>
      <c r="H69" s="113">
        <v>22920.17157418</v>
      </c>
      <c r="I69" s="113">
        <v>21747.466685599997</v>
      </c>
      <c r="J69" s="113">
        <v>17881.205553799999</v>
      </c>
      <c r="K69" s="113">
        <v>20069.646001740002</v>
      </c>
      <c r="L69" s="113">
        <v>15856.144610449999</v>
      </c>
      <c r="M69" s="113">
        <v>9661.6710611899998</v>
      </c>
      <c r="N69" s="113">
        <v>1441.0263122399999</v>
      </c>
      <c r="O69" s="113">
        <v>12642.27885316</v>
      </c>
      <c r="P69" s="113">
        <v>15416.956973169999</v>
      </c>
      <c r="Q69" s="113">
        <v>16887.162395980002</v>
      </c>
      <c r="R69" s="114">
        <v>16006.855652650003</v>
      </c>
      <c r="S69" s="118">
        <f>SUM(G69:R69)</f>
        <v>183094</v>
      </c>
    </row>
    <row r="70" spans="1:19" ht="27" x14ac:dyDescent="0.3">
      <c r="A70" t="s">
        <v>249</v>
      </c>
      <c r="B70" s="132" t="s">
        <v>202</v>
      </c>
      <c r="C70">
        <v>69</v>
      </c>
      <c r="D70">
        <v>69</v>
      </c>
      <c r="F70" s="117">
        <v>2018</v>
      </c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4"/>
      <c r="S70" s="118"/>
    </row>
    <row r="71" spans="1:19" ht="27" x14ac:dyDescent="0.3">
      <c r="A71" t="s">
        <v>249</v>
      </c>
      <c r="B71" s="132" t="s">
        <v>202</v>
      </c>
      <c r="C71">
        <v>70</v>
      </c>
      <c r="D71">
        <v>70</v>
      </c>
      <c r="E71">
        <v>69</v>
      </c>
      <c r="F71" s="119" t="s">
        <v>199</v>
      </c>
      <c r="G71" s="113">
        <v>475</v>
      </c>
      <c r="H71" s="113">
        <v>1207</v>
      </c>
      <c r="I71" s="113">
        <v>1199</v>
      </c>
      <c r="J71" s="113">
        <v>939</v>
      </c>
      <c r="K71" s="113">
        <v>1015</v>
      </c>
      <c r="L71" s="113">
        <v>983</v>
      </c>
      <c r="M71" s="113">
        <v>716</v>
      </c>
      <c r="N71" s="113">
        <v>909</v>
      </c>
      <c r="O71" s="113">
        <v>800</v>
      </c>
      <c r="P71" s="113">
        <v>836</v>
      </c>
      <c r="Q71" s="113">
        <v>1051</v>
      </c>
      <c r="R71" s="114">
        <v>1140</v>
      </c>
      <c r="S71" s="118">
        <f>SUM(G71:R71)</f>
        <v>11270</v>
      </c>
    </row>
    <row r="72" spans="1:19" ht="27" x14ac:dyDescent="0.3">
      <c r="A72" t="s">
        <v>249</v>
      </c>
      <c r="B72" s="132" t="s">
        <v>202</v>
      </c>
      <c r="C72">
        <v>71</v>
      </c>
      <c r="D72">
        <v>71</v>
      </c>
      <c r="E72">
        <v>69</v>
      </c>
      <c r="F72" s="119" t="s">
        <v>200</v>
      </c>
      <c r="G72" s="113">
        <v>857</v>
      </c>
      <c r="H72" s="113">
        <v>2057</v>
      </c>
      <c r="I72" s="113">
        <v>1645</v>
      </c>
      <c r="J72" s="113">
        <v>1527</v>
      </c>
      <c r="K72" s="113">
        <v>1392</v>
      </c>
      <c r="L72" s="113">
        <v>1307</v>
      </c>
      <c r="M72" s="113">
        <v>1322</v>
      </c>
      <c r="N72" s="113">
        <v>1537</v>
      </c>
      <c r="O72" s="113">
        <v>1118</v>
      </c>
      <c r="P72" s="113">
        <v>1502</v>
      </c>
      <c r="Q72" s="113">
        <v>1856</v>
      </c>
      <c r="R72" s="114">
        <v>2248</v>
      </c>
      <c r="S72" s="118">
        <f>SUM(G72:R72)</f>
        <v>18368</v>
      </c>
    </row>
    <row r="73" spans="1:19" ht="27" x14ac:dyDescent="0.3">
      <c r="A73" t="s">
        <v>249</v>
      </c>
      <c r="B73" s="132" t="s">
        <v>202</v>
      </c>
      <c r="C73">
        <v>72</v>
      </c>
      <c r="D73">
        <v>72</v>
      </c>
      <c r="E73">
        <v>69</v>
      </c>
      <c r="F73" s="119" t="s">
        <v>201</v>
      </c>
      <c r="G73" s="113">
        <v>24082</v>
      </c>
      <c r="H73" s="113">
        <v>57794</v>
      </c>
      <c r="I73" s="113">
        <v>46198</v>
      </c>
      <c r="J73" s="113">
        <v>42909</v>
      </c>
      <c r="K73" s="113">
        <v>39097</v>
      </c>
      <c r="L73" s="113">
        <v>36714</v>
      </c>
      <c r="M73" s="113">
        <v>37144</v>
      </c>
      <c r="N73" s="113">
        <v>43179</v>
      </c>
      <c r="O73" s="113">
        <v>31417</v>
      </c>
      <c r="P73" s="113">
        <v>42199</v>
      </c>
      <c r="Q73" s="113">
        <v>52126</v>
      </c>
      <c r="R73" s="114">
        <v>63138</v>
      </c>
      <c r="S73" s="118">
        <f>SUM(G73:R73)</f>
        <v>515997</v>
      </c>
    </row>
    <row r="74" spans="1:19" ht="27" x14ac:dyDescent="0.3">
      <c r="A74" t="s">
        <v>249</v>
      </c>
      <c r="B74" s="132" t="s">
        <v>202</v>
      </c>
      <c r="C74">
        <v>73</v>
      </c>
      <c r="D74">
        <v>73</v>
      </c>
      <c r="F74" s="117">
        <v>2019</v>
      </c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4"/>
      <c r="S74" s="118"/>
    </row>
    <row r="75" spans="1:19" ht="27" x14ac:dyDescent="0.3">
      <c r="A75" t="s">
        <v>249</v>
      </c>
      <c r="B75" s="132" t="s">
        <v>202</v>
      </c>
      <c r="C75">
        <v>74</v>
      </c>
      <c r="D75">
        <v>74</v>
      </c>
      <c r="E75">
        <v>73</v>
      </c>
      <c r="F75" s="119" t="s">
        <v>199</v>
      </c>
      <c r="G75" s="113">
        <v>912</v>
      </c>
      <c r="H75" s="113">
        <v>958</v>
      </c>
      <c r="I75" s="113">
        <v>832</v>
      </c>
      <c r="J75" s="113">
        <v>875</v>
      </c>
      <c r="K75" s="113">
        <v>1123</v>
      </c>
      <c r="L75" s="113">
        <v>930</v>
      </c>
      <c r="M75" s="113">
        <v>1102</v>
      </c>
      <c r="N75" s="113">
        <v>1020</v>
      </c>
      <c r="O75" s="113">
        <v>799</v>
      </c>
      <c r="P75" s="113">
        <v>1050</v>
      </c>
      <c r="Q75" s="113">
        <v>1199</v>
      </c>
      <c r="R75" s="114">
        <v>1217</v>
      </c>
      <c r="S75" s="118">
        <f>SUM(G75:R75)</f>
        <v>12017</v>
      </c>
    </row>
    <row r="76" spans="1:19" ht="27" x14ac:dyDescent="0.3">
      <c r="A76" t="s">
        <v>249</v>
      </c>
      <c r="B76" s="132" t="s">
        <v>202</v>
      </c>
      <c r="C76">
        <v>75</v>
      </c>
      <c r="D76">
        <v>75</v>
      </c>
      <c r="E76">
        <v>73</v>
      </c>
      <c r="F76" s="119" t="s">
        <v>200</v>
      </c>
      <c r="G76" s="113">
        <v>1917</v>
      </c>
      <c r="H76" s="113">
        <v>2358</v>
      </c>
      <c r="I76" s="113">
        <v>2348</v>
      </c>
      <c r="J76" s="113">
        <v>2577</v>
      </c>
      <c r="K76" s="113">
        <v>3561</v>
      </c>
      <c r="L76" s="113">
        <v>2506</v>
      </c>
      <c r="M76" s="113">
        <v>3150</v>
      </c>
      <c r="N76" s="113">
        <v>2809</v>
      </c>
      <c r="O76" s="113">
        <v>2313</v>
      </c>
      <c r="P76" s="113">
        <v>2786</v>
      </c>
      <c r="Q76" s="113">
        <v>3066</v>
      </c>
      <c r="R76" s="114">
        <v>2882</v>
      </c>
      <c r="S76" s="118">
        <f>SUM(G76:R76)</f>
        <v>32273</v>
      </c>
    </row>
    <row r="77" spans="1:19" ht="27" x14ac:dyDescent="0.3">
      <c r="A77" t="s">
        <v>249</v>
      </c>
      <c r="B77" s="132" t="s">
        <v>202</v>
      </c>
      <c r="C77">
        <v>76</v>
      </c>
      <c r="D77">
        <v>76</v>
      </c>
      <c r="E77">
        <v>73</v>
      </c>
      <c r="F77" s="119" t="s">
        <v>201</v>
      </c>
      <c r="G77" s="113">
        <v>52285</v>
      </c>
      <c r="H77" s="113">
        <v>64327</v>
      </c>
      <c r="I77" s="113">
        <v>64057</v>
      </c>
      <c r="J77" s="113">
        <v>70306</v>
      </c>
      <c r="K77" s="113">
        <v>97129</v>
      </c>
      <c r="L77" s="113">
        <v>68366</v>
      </c>
      <c r="M77" s="113">
        <v>85924</v>
      </c>
      <c r="N77" s="113">
        <v>76632</v>
      </c>
      <c r="O77" s="113">
        <v>63094</v>
      </c>
      <c r="P77" s="113">
        <v>76005</v>
      </c>
      <c r="Q77" s="113">
        <v>83648</v>
      </c>
      <c r="R77" s="114">
        <v>78628</v>
      </c>
      <c r="S77" s="118">
        <f>SUM(G77:R77)</f>
        <v>880401</v>
      </c>
    </row>
    <row r="78" spans="1:19" ht="27" x14ac:dyDescent="0.3">
      <c r="A78" t="s">
        <v>249</v>
      </c>
      <c r="B78" s="132" t="s">
        <v>202</v>
      </c>
      <c r="C78">
        <v>77</v>
      </c>
      <c r="D78">
        <v>77</v>
      </c>
      <c r="F78" s="120">
        <v>2020</v>
      </c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3"/>
    </row>
    <row r="79" spans="1:19" ht="26.4" x14ac:dyDescent="0.3">
      <c r="A79" t="s">
        <v>249</v>
      </c>
      <c r="B79" s="132" t="s">
        <v>202</v>
      </c>
      <c r="C79">
        <v>78</v>
      </c>
      <c r="D79">
        <v>78</v>
      </c>
      <c r="E79">
        <v>77</v>
      </c>
      <c r="F79" s="124" t="s">
        <v>199</v>
      </c>
      <c r="G79" s="121">
        <v>830</v>
      </c>
      <c r="H79" s="121">
        <v>903</v>
      </c>
      <c r="I79" s="121">
        <v>1166</v>
      </c>
      <c r="J79" s="121">
        <v>1119</v>
      </c>
      <c r="K79" s="121">
        <v>982</v>
      </c>
      <c r="L79" s="121">
        <v>1137</v>
      </c>
      <c r="M79" s="121">
        <v>1090</v>
      </c>
      <c r="N79" s="121">
        <v>1022</v>
      </c>
      <c r="O79" s="121">
        <v>1005</v>
      </c>
      <c r="P79" s="121">
        <v>1128</v>
      </c>
      <c r="Q79" s="121">
        <v>1042</v>
      </c>
      <c r="R79" s="121">
        <v>1077</v>
      </c>
      <c r="S79" s="123">
        <f>SUM(G79:R79)</f>
        <v>12501</v>
      </c>
    </row>
    <row r="80" spans="1:19" ht="26.4" x14ac:dyDescent="0.3">
      <c r="A80" t="s">
        <v>249</v>
      </c>
      <c r="B80" s="132" t="s">
        <v>202</v>
      </c>
      <c r="C80">
        <v>79</v>
      </c>
      <c r="D80">
        <v>79</v>
      </c>
      <c r="E80">
        <v>77</v>
      </c>
      <c r="F80" s="124" t="s">
        <v>200</v>
      </c>
      <c r="G80" s="121">
        <v>1870</v>
      </c>
      <c r="H80" s="121">
        <v>2482</v>
      </c>
      <c r="I80" s="121">
        <v>3176</v>
      </c>
      <c r="J80" s="121">
        <v>3534</v>
      </c>
      <c r="K80" s="121">
        <v>3137</v>
      </c>
      <c r="L80" s="121">
        <v>3862</v>
      </c>
      <c r="M80" s="121">
        <v>3872</v>
      </c>
      <c r="N80" s="121">
        <v>4148</v>
      </c>
      <c r="O80" s="121">
        <v>3787</v>
      </c>
      <c r="P80" s="121">
        <v>4489</v>
      </c>
      <c r="Q80" s="121">
        <v>4076</v>
      </c>
      <c r="R80" s="121">
        <v>6773</v>
      </c>
      <c r="S80" s="123">
        <f>SUM(G80:R80)</f>
        <v>45206</v>
      </c>
    </row>
    <row r="81" spans="1:19" ht="26.4" x14ac:dyDescent="0.3">
      <c r="A81" t="s">
        <v>249</v>
      </c>
      <c r="B81" s="132" t="s">
        <v>202</v>
      </c>
      <c r="C81">
        <v>80</v>
      </c>
      <c r="D81">
        <v>80</v>
      </c>
      <c r="E81">
        <v>77</v>
      </c>
      <c r="F81" s="124" t="s">
        <v>201</v>
      </c>
      <c r="G81" s="121">
        <v>50212</v>
      </c>
      <c r="H81" s="121">
        <v>66445</v>
      </c>
      <c r="I81" s="121">
        <v>85608</v>
      </c>
      <c r="J81" s="121">
        <v>95576</v>
      </c>
      <c r="K81" s="121">
        <v>84214</v>
      </c>
      <c r="L81" s="121">
        <v>103485</v>
      </c>
      <c r="M81" s="121">
        <v>103944</v>
      </c>
      <c r="N81" s="121">
        <v>111688</v>
      </c>
      <c r="O81" s="121">
        <v>102757</v>
      </c>
      <c r="P81" s="121">
        <v>122112</v>
      </c>
      <c r="Q81" s="121">
        <v>110317</v>
      </c>
      <c r="R81" s="121">
        <v>184232</v>
      </c>
      <c r="S81" s="123">
        <f>SUM(G81:R81)</f>
        <v>1220590</v>
      </c>
    </row>
    <row r="82" spans="1:19" ht="27" x14ac:dyDescent="0.75">
      <c r="A82" t="s">
        <v>249</v>
      </c>
      <c r="B82" s="132" t="s">
        <v>202</v>
      </c>
      <c r="C82">
        <v>81</v>
      </c>
      <c r="D82">
        <v>81</v>
      </c>
      <c r="F82" s="125">
        <v>2021</v>
      </c>
      <c r="G82" s="126"/>
      <c r="H82" s="126"/>
      <c r="I82" s="126"/>
      <c r="J82" s="127"/>
      <c r="K82" s="127"/>
      <c r="L82" s="127"/>
      <c r="M82" s="127"/>
      <c r="N82" s="127"/>
      <c r="O82" s="127"/>
      <c r="P82" s="127"/>
      <c r="Q82" s="127"/>
      <c r="R82" s="128"/>
      <c r="S82" s="129"/>
    </row>
    <row r="83" spans="1:19" ht="26.4" x14ac:dyDescent="0.7">
      <c r="A83" t="s">
        <v>249</v>
      </c>
      <c r="B83" s="132" t="s">
        <v>202</v>
      </c>
      <c r="C83">
        <v>82</v>
      </c>
      <c r="D83">
        <v>82</v>
      </c>
      <c r="E83">
        <v>81</v>
      </c>
      <c r="F83" s="124" t="s">
        <v>199</v>
      </c>
      <c r="G83" s="126">
        <v>857</v>
      </c>
      <c r="H83" s="126">
        <v>900</v>
      </c>
      <c r="I83" s="126">
        <v>1046</v>
      </c>
      <c r="J83" s="127">
        <v>1128</v>
      </c>
      <c r="K83" s="127">
        <v>1109</v>
      </c>
      <c r="L83" s="127">
        <v>967</v>
      </c>
      <c r="M83" s="127">
        <v>1083</v>
      </c>
      <c r="N83" s="127">
        <v>1123</v>
      </c>
      <c r="O83" s="127">
        <v>1205</v>
      </c>
      <c r="P83" s="127">
        <v>1131</v>
      </c>
      <c r="Q83" s="127">
        <v>837</v>
      </c>
      <c r="R83" s="127">
        <v>1317</v>
      </c>
      <c r="S83" s="129">
        <v>12701</v>
      </c>
    </row>
    <row r="84" spans="1:19" ht="26.4" x14ac:dyDescent="0.7">
      <c r="A84" t="s">
        <v>249</v>
      </c>
      <c r="B84" s="132" t="s">
        <v>202</v>
      </c>
      <c r="C84">
        <v>83</v>
      </c>
      <c r="D84">
        <v>83</v>
      </c>
      <c r="E84">
        <v>81</v>
      </c>
      <c r="F84" s="124" t="s">
        <v>200</v>
      </c>
      <c r="G84" s="126">
        <v>4344</v>
      </c>
      <c r="H84" s="126">
        <v>5107</v>
      </c>
      <c r="I84" s="126">
        <v>7155</v>
      </c>
      <c r="J84" s="127">
        <v>5882</v>
      </c>
      <c r="K84" s="127">
        <v>5253</v>
      </c>
      <c r="L84" s="127">
        <v>4162</v>
      </c>
      <c r="M84" s="127">
        <v>4410</v>
      </c>
      <c r="N84" s="127">
        <v>4554</v>
      </c>
      <c r="O84" s="127">
        <v>4774</v>
      </c>
      <c r="P84" s="127">
        <v>4227</v>
      </c>
      <c r="Q84" s="127">
        <v>2941</v>
      </c>
      <c r="R84" s="127">
        <v>30795</v>
      </c>
      <c r="S84" s="129">
        <v>83604</v>
      </c>
    </row>
    <row r="85" spans="1:19" ht="26.4" x14ac:dyDescent="0.7">
      <c r="A85" t="s">
        <v>249</v>
      </c>
      <c r="B85" s="132" t="s">
        <v>202</v>
      </c>
      <c r="C85">
        <v>84</v>
      </c>
      <c r="D85">
        <v>84</v>
      </c>
      <c r="E85">
        <v>81</v>
      </c>
      <c r="F85" s="124" t="s">
        <v>201</v>
      </c>
      <c r="G85" s="126">
        <v>119659</v>
      </c>
      <c r="H85" s="126">
        <v>142018</v>
      </c>
      <c r="I85" s="126">
        <v>199934</v>
      </c>
      <c r="J85" s="127">
        <v>163962</v>
      </c>
      <c r="K85" s="127">
        <v>146763</v>
      </c>
      <c r="L85" s="127">
        <v>115547</v>
      </c>
      <c r="M85" s="127">
        <v>122279</v>
      </c>
      <c r="N85" s="127">
        <v>126361</v>
      </c>
      <c r="O85" s="127">
        <v>131815</v>
      </c>
      <c r="P85" s="127">
        <v>99600</v>
      </c>
      <c r="Q85" s="127">
        <v>75157</v>
      </c>
      <c r="R85" s="127">
        <v>154361</v>
      </c>
      <c r="S85" s="129">
        <v>1597456</v>
      </c>
    </row>
    <row r="86" spans="1:19" ht="26.4" x14ac:dyDescent="0.7">
      <c r="A86" t="s">
        <v>249</v>
      </c>
      <c r="B86" s="132" t="s">
        <v>202</v>
      </c>
      <c r="C86">
        <v>85</v>
      </c>
      <c r="D86">
        <v>85</v>
      </c>
      <c r="F86" s="125">
        <v>2022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26.4" x14ac:dyDescent="0.7">
      <c r="A87" t="s">
        <v>249</v>
      </c>
      <c r="B87" s="132" t="s">
        <v>202</v>
      </c>
      <c r="C87">
        <v>86</v>
      </c>
      <c r="D87">
        <v>86</v>
      </c>
      <c r="E87">
        <v>85</v>
      </c>
      <c r="F87" s="124" t="s">
        <v>199</v>
      </c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</row>
    <row r="88" spans="1:19" ht="27" x14ac:dyDescent="0.75">
      <c r="A88" t="s">
        <v>249</v>
      </c>
      <c r="B88" s="132" t="s">
        <v>202</v>
      </c>
      <c r="C88">
        <v>87</v>
      </c>
      <c r="D88">
        <v>87</v>
      </c>
      <c r="E88">
        <v>85</v>
      </c>
      <c r="F88" s="124" t="s">
        <v>200</v>
      </c>
      <c r="G88" s="126"/>
      <c r="H88" s="126"/>
      <c r="I88" s="126"/>
      <c r="J88" s="127"/>
      <c r="K88" s="127"/>
      <c r="L88" s="127"/>
      <c r="M88" s="127"/>
      <c r="N88" s="127"/>
      <c r="O88" s="127"/>
      <c r="P88" s="127"/>
      <c r="Q88" s="127"/>
      <c r="R88" s="128"/>
      <c r="S88" s="129"/>
    </row>
    <row r="89" spans="1:19" ht="27" x14ac:dyDescent="0.75">
      <c r="A89" t="s">
        <v>249</v>
      </c>
      <c r="B89" s="132" t="s">
        <v>202</v>
      </c>
      <c r="C89">
        <v>88</v>
      </c>
      <c r="D89">
        <v>88</v>
      </c>
      <c r="E89">
        <v>85</v>
      </c>
      <c r="F89" s="124" t="s">
        <v>201</v>
      </c>
      <c r="G89" s="126"/>
      <c r="H89" s="126"/>
      <c r="I89" s="126"/>
      <c r="J89" s="127"/>
      <c r="K89" s="127"/>
      <c r="L89" s="127"/>
      <c r="M89" s="127"/>
      <c r="N89" s="127"/>
      <c r="O89" s="127"/>
      <c r="P89" s="127"/>
      <c r="Q89" s="127"/>
      <c r="R89" s="128"/>
      <c r="S89" s="129"/>
    </row>
    <row r="90" spans="1:19" ht="27" x14ac:dyDescent="0.75">
      <c r="A90" t="s">
        <v>249</v>
      </c>
      <c r="B90" s="132" t="s">
        <v>202</v>
      </c>
      <c r="C90">
        <v>89</v>
      </c>
      <c r="D90">
        <v>89</v>
      </c>
      <c r="F90" s="125">
        <v>2023</v>
      </c>
      <c r="G90" s="126"/>
      <c r="H90" s="126"/>
      <c r="I90" s="126"/>
      <c r="J90" s="127"/>
      <c r="K90" s="127"/>
      <c r="L90" s="127"/>
      <c r="M90" s="127"/>
      <c r="N90" s="127"/>
      <c r="O90" s="127"/>
      <c r="P90" s="127"/>
      <c r="Q90" s="127"/>
      <c r="R90" s="128"/>
      <c r="S90" s="129"/>
    </row>
    <row r="91" spans="1:19" ht="26.4" x14ac:dyDescent="0.7">
      <c r="A91" t="s">
        <v>249</v>
      </c>
      <c r="B91" s="132" t="s">
        <v>202</v>
      </c>
      <c r="C91">
        <v>90</v>
      </c>
      <c r="D91">
        <v>90</v>
      </c>
      <c r="E91">
        <v>89</v>
      </c>
      <c r="F91" s="124" t="s">
        <v>199</v>
      </c>
      <c r="G91" s="126">
        <v>1104</v>
      </c>
      <c r="H91" s="126">
        <v>1007</v>
      </c>
      <c r="I91" s="126">
        <v>1163</v>
      </c>
      <c r="J91" s="127">
        <v>1143</v>
      </c>
      <c r="K91" s="127">
        <v>1089</v>
      </c>
      <c r="L91" s="127">
        <v>1275</v>
      </c>
      <c r="M91" s="127">
        <v>1160</v>
      </c>
      <c r="N91" s="126">
        <v>1247</v>
      </c>
      <c r="O91" s="126">
        <v>1172</v>
      </c>
      <c r="P91" s="126">
        <v>1223</v>
      </c>
      <c r="Q91" s="127">
        <v>1160</v>
      </c>
      <c r="R91" s="127">
        <v>1367</v>
      </c>
      <c r="S91" s="127">
        <v>14110</v>
      </c>
    </row>
    <row r="92" spans="1:19" ht="26.4" x14ac:dyDescent="0.7">
      <c r="A92" t="s">
        <v>249</v>
      </c>
      <c r="B92" s="132" t="s">
        <v>202</v>
      </c>
      <c r="C92">
        <v>91</v>
      </c>
      <c r="D92">
        <v>91</v>
      </c>
      <c r="E92">
        <v>89</v>
      </c>
      <c r="F92" s="124" t="s">
        <v>200</v>
      </c>
      <c r="G92" s="126">
        <v>3571.0482499999998</v>
      </c>
      <c r="H92" s="126">
        <v>3249.3551599999996</v>
      </c>
      <c r="I92" s="126">
        <v>3948.8142599999996</v>
      </c>
      <c r="J92" s="126">
        <v>3760.7095600000002</v>
      </c>
      <c r="K92" s="126">
        <v>3715.6644000000001</v>
      </c>
      <c r="L92" s="126">
        <v>3968.1097</v>
      </c>
      <c r="M92" s="126">
        <v>3615.2871099999998</v>
      </c>
      <c r="N92" s="126">
        <v>3682.5235200000002</v>
      </c>
      <c r="O92" s="126">
        <v>3512.4317900000001</v>
      </c>
      <c r="P92" s="126">
        <v>3812.4362600000004</v>
      </c>
      <c r="Q92" s="126">
        <v>3925.4521199999999</v>
      </c>
      <c r="R92" s="126">
        <v>5044.5315499999997</v>
      </c>
      <c r="S92" s="126">
        <v>45820.165500000003</v>
      </c>
    </row>
    <row r="93" spans="1:19" ht="26.4" x14ac:dyDescent="0.7">
      <c r="A93" t="s">
        <v>249</v>
      </c>
      <c r="B93" s="132" t="s">
        <v>202</v>
      </c>
      <c r="C93">
        <v>92</v>
      </c>
      <c r="D93">
        <v>92</v>
      </c>
      <c r="E93">
        <v>89</v>
      </c>
      <c r="F93" s="124" t="s">
        <v>201</v>
      </c>
      <c r="G93" s="126">
        <v>98675</v>
      </c>
      <c r="H93" s="126">
        <v>92627</v>
      </c>
      <c r="I93" s="126">
        <v>114558</v>
      </c>
      <c r="J93" s="127">
        <v>109898</v>
      </c>
      <c r="K93" s="127">
        <v>108360</v>
      </c>
      <c r="L93" s="127">
        <v>115285</v>
      </c>
      <c r="M93" s="127">
        <v>99403</v>
      </c>
      <c r="N93" s="126">
        <v>97344</v>
      </c>
      <c r="O93" s="126">
        <v>92603</v>
      </c>
      <c r="P93" s="126">
        <v>99959</v>
      </c>
      <c r="Q93" s="127">
        <v>99278</v>
      </c>
      <c r="R93" s="127">
        <v>127355</v>
      </c>
      <c r="S93" s="127">
        <v>1255347</v>
      </c>
    </row>
    <row r="94" spans="1:19" ht="26.4" x14ac:dyDescent="0.7">
      <c r="A94" t="s">
        <v>249</v>
      </c>
      <c r="B94" s="132" t="s">
        <v>202</v>
      </c>
      <c r="C94">
        <v>93</v>
      </c>
      <c r="D94">
        <v>93</v>
      </c>
      <c r="F94" s="125">
        <v>2024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26.4" x14ac:dyDescent="0.7">
      <c r="A95" t="s">
        <v>249</v>
      </c>
      <c r="B95" s="132" t="s">
        <v>202</v>
      </c>
      <c r="C95">
        <v>94</v>
      </c>
      <c r="D95">
        <v>94</v>
      </c>
      <c r="E95">
        <v>93</v>
      </c>
      <c r="F95" s="124" t="s">
        <v>199</v>
      </c>
      <c r="G95" s="126">
        <v>1261</v>
      </c>
      <c r="H95" s="126">
        <v>1194</v>
      </c>
      <c r="I95" s="126">
        <v>1176</v>
      </c>
      <c r="J95" s="126">
        <v>1317</v>
      </c>
      <c r="K95" s="126">
        <v>1104</v>
      </c>
      <c r="L95" s="126">
        <v>1070</v>
      </c>
      <c r="M95" s="126">
        <v>1271</v>
      </c>
      <c r="N95" s="126">
        <v>1143</v>
      </c>
      <c r="O95" s="126">
        <v>1145</v>
      </c>
      <c r="P95" s="126">
        <v>1143</v>
      </c>
      <c r="Q95" s="126">
        <v>1071</v>
      </c>
      <c r="R95" s="126">
        <v>1331</v>
      </c>
      <c r="S95" s="126">
        <v>14226</v>
      </c>
    </row>
    <row r="96" spans="1:19" ht="26.4" x14ac:dyDescent="0.7">
      <c r="A96" t="s">
        <v>249</v>
      </c>
      <c r="B96" s="132" t="s">
        <v>202</v>
      </c>
      <c r="C96">
        <v>95</v>
      </c>
      <c r="D96">
        <v>95</v>
      </c>
      <c r="E96">
        <v>93</v>
      </c>
      <c r="F96" s="124" t="s">
        <v>200</v>
      </c>
      <c r="G96" s="126">
        <v>4974.2251100000003</v>
      </c>
      <c r="H96" s="126">
        <v>4554.16</v>
      </c>
      <c r="I96" s="126">
        <v>3777.5532399999997</v>
      </c>
      <c r="J96" s="126">
        <v>4190.3840399999999</v>
      </c>
      <c r="K96" s="126">
        <v>3571.5174400000001</v>
      </c>
      <c r="L96" s="126">
        <v>3284.6156000000001</v>
      </c>
      <c r="M96" s="126">
        <v>3602.1900799999999</v>
      </c>
      <c r="N96" s="126">
        <v>3252.9386</v>
      </c>
      <c r="O96" s="126">
        <v>2940.9354500000004</v>
      </c>
      <c r="P96" s="126">
        <v>2838.2307999999998</v>
      </c>
      <c r="Q96" s="126">
        <v>3028.5696000000007</v>
      </c>
      <c r="R96" s="126">
        <v>2849.9942400000004</v>
      </c>
      <c r="S96" s="126">
        <v>42859.794587500008</v>
      </c>
    </row>
    <row r="97" spans="1:19" ht="26.4" x14ac:dyDescent="0.7">
      <c r="A97" t="s">
        <v>249</v>
      </c>
      <c r="B97" s="132" t="s">
        <v>202</v>
      </c>
      <c r="C97">
        <v>96</v>
      </c>
      <c r="D97">
        <v>96</v>
      </c>
      <c r="E97">
        <v>93</v>
      </c>
      <c r="F97" s="124" t="s">
        <v>201</v>
      </c>
      <c r="G97" s="126">
        <v>125122</v>
      </c>
      <c r="H97" s="126">
        <v>113854</v>
      </c>
      <c r="I97" s="126">
        <v>94723</v>
      </c>
      <c r="J97" s="126">
        <v>105711</v>
      </c>
      <c r="K97" s="126">
        <v>90008</v>
      </c>
      <c r="L97" s="126">
        <v>83440</v>
      </c>
      <c r="M97" s="126">
        <v>90781</v>
      </c>
      <c r="N97" s="126">
        <v>81938</v>
      </c>
      <c r="O97" s="126">
        <v>74135</v>
      </c>
      <c r="P97" s="126">
        <v>71420</v>
      </c>
      <c r="Q97" s="126">
        <v>75904</v>
      </c>
      <c r="R97" s="126">
        <v>71536</v>
      </c>
      <c r="S97" s="126">
        <v>1078573</v>
      </c>
    </row>
    <row r="98" spans="1:19" ht="26.4" x14ac:dyDescent="0.7">
      <c r="F98" s="130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</row>
    <row r="99" spans="1:19" ht="27" x14ac:dyDescent="0.3"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4"/>
      <c r="R99" s="135"/>
      <c r="S99" s="1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FD6F-68E8-4070-A4F0-F012BF27D681}">
  <sheetPr>
    <tabColor rgb="FFFFFF00"/>
  </sheetPr>
  <dimension ref="A1:S201"/>
  <sheetViews>
    <sheetView zoomScale="62" workbookViewId="0">
      <selection activeCell="G96" sqref="G96"/>
    </sheetView>
  </sheetViews>
  <sheetFormatPr baseColWidth="10" defaultRowHeight="14.4" x14ac:dyDescent="0.3"/>
  <cols>
    <col min="6" max="6" width="26.109375" customWidth="1"/>
  </cols>
  <sheetData>
    <row r="1" spans="1:19" ht="27" x14ac:dyDescent="0.75">
      <c r="F1" s="98"/>
      <c r="G1" s="137"/>
      <c r="H1" s="137"/>
      <c r="I1" s="137"/>
      <c r="J1" s="137"/>
      <c r="K1" s="137"/>
      <c r="L1" s="137"/>
      <c r="M1" s="137"/>
      <c r="N1" s="138"/>
      <c r="O1" s="138"/>
      <c r="P1" s="139"/>
      <c r="Q1" s="139"/>
      <c r="R1" s="140"/>
      <c r="S1" s="141"/>
    </row>
    <row r="2" spans="1:19" ht="27" x14ac:dyDescent="0.75">
      <c r="G2" s="138"/>
      <c r="H2" s="138"/>
      <c r="I2" s="142"/>
      <c r="J2" s="142"/>
      <c r="K2" s="142"/>
      <c r="L2" s="142"/>
      <c r="M2" s="142"/>
      <c r="N2" s="142"/>
      <c r="O2" s="142"/>
      <c r="P2" s="139"/>
      <c r="Q2" s="139"/>
      <c r="R2" s="140"/>
      <c r="S2" s="141"/>
    </row>
    <row r="3" spans="1:19" ht="15" thickBot="1" x14ac:dyDescent="0.35"/>
    <row r="4" spans="1:19" ht="30" x14ac:dyDescent="0.3">
      <c r="A4" s="13" t="s">
        <v>3</v>
      </c>
      <c r="B4" s="13" t="s">
        <v>4</v>
      </c>
      <c r="C4" s="13" t="s">
        <v>6</v>
      </c>
      <c r="D4" s="13" t="s">
        <v>7</v>
      </c>
      <c r="E4" s="13" t="s">
        <v>8</v>
      </c>
      <c r="F4" s="206" t="s">
        <v>244</v>
      </c>
      <c r="G4" s="2" t="s">
        <v>14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  <c r="O4" s="2" t="s">
        <v>203</v>
      </c>
      <c r="P4" s="2" t="s">
        <v>24</v>
      </c>
      <c r="Q4" s="2" t="s">
        <v>204</v>
      </c>
      <c r="R4" s="2" t="s">
        <v>205</v>
      </c>
      <c r="S4" s="2" t="s">
        <v>177</v>
      </c>
    </row>
    <row r="5" spans="1:19" ht="26.4" x14ac:dyDescent="0.3">
      <c r="A5" s="98" t="s">
        <v>246</v>
      </c>
      <c r="B5" s="71" t="s">
        <v>167</v>
      </c>
      <c r="C5">
        <v>1</v>
      </c>
      <c r="D5">
        <v>1</v>
      </c>
      <c r="F5" s="89">
        <v>1999</v>
      </c>
      <c r="G5" s="143">
        <f t="shared" ref="G5:S5" si="0">SUM(G6:G8)</f>
        <v>725</v>
      </c>
      <c r="H5" s="143">
        <f t="shared" si="0"/>
        <v>6236</v>
      </c>
      <c r="I5" s="143">
        <f t="shared" si="0"/>
        <v>2007</v>
      </c>
      <c r="J5" s="143">
        <f t="shared" si="0"/>
        <v>4959</v>
      </c>
      <c r="K5" s="143">
        <f t="shared" si="0"/>
        <v>2159</v>
      </c>
      <c r="L5" s="143">
        <f t="shared" si="0"/>
        <v>3093</v>
      </c>
      <c r="M5" s="143">
        <f t="shared" si="0"/>
        <v>1633</v>
      </c>
      <c r="N5" s="143">
        <f t="shared" si="0"/>
        <v>2835</v>
      </c>
      <c r="O5" s="143">
        <f t="shared" si="0"/>
        <v>1723</v>
      </c>
      <c r="P5" s="143">
        <f t="shared" si="0"/>
        <v>5959</v>
      </c>
      <c r="Q5" s="143">
        <f t="shared" si="0"/>
        <v>1050</v>
      </c>
      <c r="R5" s="143">
        <f t="shared" si="0"/>
        <v>866</v>
      </c>
      <c r="S5" s="143">
        <f t="shared" si="0"/>
        <v>33245</v>
      </c>
    </row>
    <row r="6" spans="1:19" ht="26.4" x14ac:dyDescent="0.3">
      <c r="A6" s="98" t="s">
        <v>246</v>
      </c>
      <c r="B6" s="71" t="s">
        <v>167</v>
      </c>
      <c r="C6">
        <v>2</v>
      </c>
      <c r="D6">
        <v>2</v>
      </c>
      <c r="E6">
        <v>1</v>
      </c>
      <c r="F6" s="91" t="s">
        <v>206</v>
      </c>
      <c r="G6" s="143">
        <v>499</v>
      </c>
      <c r="H6" s="143">
        <v>2376</v>
      </c>
      <c r="I6" s="143">
        <v>239</v>
      </c>
      <c r="J6" s="143">
        <v>3241</v>
      </c>
      <c r="K6" s="143">
        <v>1111</v>
      </c>
      <c r="L6" s="143">
        <v>1080</v>
      </c>
      <c r="M6" s="143">
        <v>123</v>
      </c>
      <c r="N6" s="143">
        <v>1759</v>
      </c>
      <c r="O6" s="143"/>
      <c r="P6" s="143">
        <v>5001</v>
      </c>
      <c r="Q6" s="143">
        <v>253</v>
      </c>
      <c r="R6" s="143">
        <v>19</v>
      </c>
      <c r="S6" s="143">
        <f>SUM(G6:R6)</f>
        <v>15701</v>
      </c>
    </row>
    <row r="7" spans="1:19" ht="26.4" x14ac:dyDescent="0.3">
      <c r="A7" s="98" t="s">
        <v>246</v>
      </c>
      <c r="B7" s="71" t="s">
        <v>167</v>
      </c>
      <c r="C7">
        <v>3</v>
      </c>
      <c r="D7">
        <v>3</v>
      </c>
      <c r="E7">
        <v>1</v>
      </c>
      <c r="F7" s="93" t="s">
        <v>207</v>
      </c>
      <c r="G7" s="143">
        <v>217</v>
      </c>
      <c r="H7" s="143">
        <v>3793</v>
      </c>
      <c r="I7" s="143">
        <v>1741</v>
      </c>
      <c r="J7" s="143">
        <v>1608</v>
      </c>
      <c r="K7" s="143">
        <v>969</v>
      </c>
      <c r="L7" s="143">
        <v>1903</v>
      </c>
      <c r="M7" s="143">
        <v>1415</v>
      </c>
      <c r="N7" s="143">
        <v>1040</v>
      </c>
      <c r="O7" s="143">
        <v>1536</v>
      </c>
      <c r="P7" s="143">
        <v>933</v>
      </c>
      <c r="Q7" s="143">
        <v>794</v>
      </c>
      <c r="R7" s="143">
        <v>840</v>
      </c>
      <c r="S7" s="143">
        <f>SUM(G7:R7)</f>
        <v>16789</v>
      </c>
    </row>
    <row r="8" spans="1:19" ht="26.4" x14ac:dyDescent="0.3">
      <c r="A8" s="98" t="s">
        <v>246</v>
      </c>
      <c r="B8" s="71" t="s">
        <v>167</v>
      </c>
      <c r="C8">
        <v>4</v>
      </c>
      <c r="D8">
        <v>4</v>
      </c>
      <c r="E8">
        <v>1</v>
      </c>
      <c r="F8" s="93" t="s">
        <v>208</v>
      </c>
      <c r="G8" s="143">
        <v>9</v>
      </c>
      <c r="H8" s="143">
        <v>67</v>
      </c>
      <c r="I8" s="143">
        <v>27</v>
      </c>
      <c r="J8" s="143">
        <v>110</v>
      </c>
      <c r="K8" s="143">
        <v>79</v>
      </c>
      <c r="L8" s="143">
        <v>110</v>
      </c>
      <c r="M8" s="143">
        <v>95</v>
      </c>
      <c r="N8" s="143">
        <v>36</v>
      </c>
      <c r="O8" s="143">
        <v>187</v>
      </c>
      <c r="P8" s="143">
        <v>25</v>
      </c>
      <c r="Q8" s="143">
        <v>3</v>
      </c>
      <c r="R8" s="143">
        <v>7</v>
      </c>
      <c r="S8" s="143">
        <f>SUM(G8:R8)</f>
        <v>755</v>
      </c>
    </row>
    <row r="9" spans="1:19" ht="26.4" x14ac:dyDescent="0.3">
      <c r="A9" s="98" t="s">
        <v>246</v>
      </c>
      <c r="B9" s="71" t="s">
        <v>167</v>
      </c>
      <c r="C9">
        <v>5</v>
      </c>
      <c r="D9">
        <v>5</v>
      </c>
      <c r="F9" s="89">
        <v>2000</v>
      </c>
      <c r="G9" s="143">
        <f t="shared" ref="G9:S9" si="1">SUM(G10:G12)</f>
        <v>1701</v>
      </c>
      <c r="H9" s="143">
        <f t="shared" si="1"/>
        <v>4397</v>
      </c>
      <c r="I9" s="143">
        <f t="shared" si="1"/>
        <v>5764</v>
      </c>
      <c r="J9" s="143">
        <f t="shared" si="1"/>
        <v>2415</v>
      </c>
      <c r="K9" s="143">
        <f t="shared" si="1"/>
        <v>4264</v>
      </c>
      <c r="L9" s="143">
        <f t="shared" si="1"/>
        <v>2311</v>
      </c>
      <c r="M9" s="143">
        <f t="shared" si="1"/>
        <v>5790</v>
      </c>
      <c r="N9" s="143">
        <f t="shared" si="1"/>
        <v>4317</v>
      </c>
      <c r="O9" s="143">
        <f t="shared" si="1"/>
        <v>5569</v>
      </c>
      <c r="P9" s="143">
        <f t="shared" si="1"/>
        <v>1083</v>
      </c>
      <c r="Q9" s="143">
        <f t="shared" si="1"/>
        <v>166</v>
      </c>
      <c r="R9" s="143">
        <f t="shared" si="1"/>
        <v>1496</v>
      </c>
      <c r="S9" s="143">
        <f t="shared" si="1"/>
        <v>39273</v>
      </c>
    </row>
    <row r="10" spans="1:19" ht="26.4" x14ac:dyDescent="0.3">
      <c r="A10" s="98" t="s">
        <v>246</v>
      </c>
      <c r="B10" s="71" t="s">
        <v>167</v>
      </c>
      <c r="C10">
        <v>6</v>
      </c>
      <c r="D10">
        <v>6</v>
      </c>
      <c r="E10">
        <v>5</v>
      </c>
      <c r="F10" s="91" t="s">
        <v>206</v>
      </c>
      <c r="G10" s="143">
        <v>0</v>
      </c>
      <c r="H10" s="143">
        <v>184</v>
      </c>
      <c r="I10" s="143">
        <v>2754</v>
      </c>
      <c r="J10" s="143">
        <v>274</v>
      </c>
      <c r="K10" s="143">
        <v>2561</v>
      </c>
      <c r="L10" s="143">
        <v>572</v>
      </c>
      <c r="M10" s="143">
        <v>2336</v>
      </c>
      <c r="N10" s="143">
        <v>2222</v>
      </c>
      <c r="O10" s="143">
        <v>3310</v>
      </c>
      <c r="P10" s="143">
        <v>0</v>
      </c>
      <c r="Q10" s="143">
        <v>0</v>
      </c>
      <c r="R10" s="143">
        <v>324</v>
      </c>
      <c r="S10" s="143">
        <f>SUM(G10:R10)</f>
        <v>14537</v>
      </c>
    </row>
    <row r="11" spans="1:19" ht="26.4" x14ac:dyDescent="0.3">
      <c r="A11" s="98" t="s">
        <v>246</v>
      </c>
      <c r="B11" s="71" t="s">
        <v>167</v>
      </c>
      <c r="C11">
        <v>7</v>
      </c>
      <c r="D11">
        <v>7</v>
      </c>
      <c r="E11">
        <v>5</v>
      </c>
      <c r="F11" s="93" t="s">
        <v>207</v>
      </c>
      <c r="G11" s="143">
        <v>1617</v>
      </c>
      <c r="H11" s="143">
        <v>3967</v>
      </c>
      <c r="I11" s="143">
        <v>2783</v>
      </c>
      <c r="J11" s="143">
        <v>1834</v>
      </c>
      <c r="K11" s="143">
        <v>1554</v>
      </c>
      <c r="L11" s="143">
        <v>1635</v>
      </c>
      <c r="M11" s="143">
        <v>3352</v>
      </c>
      <c r="N11" s="143">
        <v>2016</v>
      </c>
      <c r="O11" s="143">
        <v>1614</v>
      </c>
      <c r="P11" s="143">
        <v>866</v>
      </c>
      <c r="Q11" s="143">
        <v>166</v>
      </c>
      <c r="R11" s="143">
        <v>1144</v>
      </c>
      <c r="S11" s="143">
        <f>SUM(G11:R11)</f>
        <v>22548</v>
      </c>
    </row>
    <row r="12" spans="1:19" ht="26.4" x14ac:dyDescent="0.3">
      <c r="A12" s="98" t="s">
        <v>246</v>
      </c>
      <c r="B12" s="71" t="s">
        <v>167</v>
      </c>
      <c r="C12">
        <v>8</v>
      </c>
      <c r="D12">
        <v>8</v>
      </c>
      <c r="E12">
        <v>5</v>
      </c>
      <c r="F12" s="93" t="s">
        <v>208</v>
      </c>
      <c r="G12" s="143">
        <v>84</v>
      </c>
      <c r="H12" s="143">
        <v>246</v>
      </c>
      <c r="I12" s="143">
        <v>227</v>
      </c>
      <c r="J12" s="143">
        <v>307</v>
      </c>
      <c r="K12" s="143">
        <v>149</v>
      </c>
      <c r="L12" s="143">
        <v>104</v>
      </c>
      <c r="M12" s="143">
        <v>102</v>
      </c>
      <c r="N12" s="143">
        <v>79</v>
      </c>
      <c r="O12" s="143">
        <v>645</v>
      </c>
      <c r="P12" s="143">
        <v>217</v>
      </c>
      <c r="Q12" s="143">
        <v>0</v>
      </c>
      <c r="R12" s="143">
        <v>28</v>
      </c>
      <c r="S12" s="143">
        <f>SUM(G12:R12)</f>
        <v>2188</v>
      </c>
    </row>
    <row r="13" spans="1:19" ht="26.4" x14ac:dyDescent="0.3">
      <c r="A13" s="98" t="s">
        <v>246</v>
      </c>
      <c r="B13" s="71" t="s">
        <v>167</v>
      </c>
      <c r="C13">
        <v>9</v>
      </c>
      <c r="D13">
        <v>9</v>
      </c>
      <c r="F13" s="89">
        <v>2001</v>
      </c>
      <c r="G13" s="143">
        <f t="shared" ref="G13:S13" si="2">SUM(G14:G16)</f>
        <v>4090</v>
      </c>
      <c r="H13" s="143">
        <f t="shared" si="2"/>
        <v>4570</v>
      </c>
      <c r="I13" s="143">
        <f t="shared" si="2"/>
        <v>6925</v>
      </c>
      <c r="J13" s="143">
        <f t="shared" si="2"/>
        <v>3505</v>
      </c>
      <c r="K13" s="143">
        <f t="shared" si="2"/>
        <v>3300</v>
      </c>
      <c r="L13" s="143">
        <f t="shared" si="2"/>
        <v>3448</v>
      </c>
      <c r="M13" s="143">
        <f t="shared" si="2"/>
        <v>3336</v>
      </c>
      <c r="N13" s="143">
        <f t="shared" si="2"/>
        <v>4244</v>
      </c>
      <c r="O13" s="143">
        <f t="shared" si="2"/>
        <v>7397</v>
      </c>
      <c r="P13" s="143">
        <f t="shared" si="2"/>
        <v>2651</v>
      </c>
      <c r="Q13" s="143">
        <f t="shared" si="2"/>
        <v>1402</v>
      </c>
      <c r="R13" s="143">
        <f t="shared" si="2"/>
        <v>3224</v>
      </c>
      <c r="S13" s="143">
        <f t="shared" si="2"/>
        <v>48092</v>
      </c>
    </row>
    <row r="14" spans="1:19" ht="26.4" x14ac:dyDescent="0.3">
      <c r="A14" s="98" t="s">
        <v>246</v>
      </c>
      <c r="B14" s="71" t="s">
        <v>167</v>
      </c>
      <c r="C14">
        <v>10</v>
      </c>
      <c r="D14">
        <v>10</v>
      </c>
      <c r="E14">
        <v>9</v>
      </c>
      <c r="F14" s="91" t="s">
        <v>206</v>
      </c>
      <c r="G14" s="143">
        <v>697</v>
      </c>
      <c r="H14" s="143">
        <v>420</v>
      </c>
      <c r="I14" s="143">
        <v>2906</v>
      </c>
      <c r="J14" s="143">
        <v>626</v>
      </c>
      <c r="K14" s="143">
        <v>549</v>
      </c>
      <c r="L14" s="143">
        <v>280</v>
      </c>
      <c r="M14" s="143">
        <v>193</v>
      </c>
      <c r="N14" s="143">
        <v>2126</v>
      </c>
      <c r="O14" s="143">
        <v>3719</v>
      </c>
      <c r="P14" s="143">
        <v>0</v>
      </c>
      <c r="Q14" s="143">
        <v>67</v>
      </c>
      <c r="R14" s="143">
        <v>458</v>
      </c>
      <c r="S14" s="143">
        <f>SUM(G14:R14)</f>
        <v>12041</v>
      </c>
    </row>
    <row r="15" spans="1:19" ht="26.4" x14ac:dyDescent="0.3">
      <c r="A15" s="98" t="s">
        <v>246</v>
      </c>
      <c r="B15" s="71" t="s">
        <v>167</v>
      </c>
      <c r="C15">
        <v>11</v>
      </c>
      <c r="D15">
        <v>11</v>
      </c>
      <c r="E15">
        <v>9</v>
      </c>
      <c r="F15" s="93" t="s">
        <v>207</v>
      </c>
      <c r="G15" s="143">
        <v>3201</v>
      </c>
      <c r="H15" s="143">
        <v>3633</v>
      </c>
      <c r="I15" s="143">
        <v>3756</v>
      </c>
      <c r="J15" s="143">
        <v>2357</v>
      </c>
      <c r="K15" s="143">
        <v>2530</v>
      </c>
      <c r="L15" s="143">
        <v>2966</v>
      </c>
      <c r="M15" s="143">
        <v>2424</v>
      </c>
      <c r="N15" s="143">
        <v>2062</v>
      </c>
      <c r="O15" s="143">
        <v>3193</v>
      </c>
      <c r="P15" s="143">
        <v>2615</v>
      </c>
      <c r="Q15" s="143">
        <v>1306</v>
      </c>
      <c r="R15" s="143">
        <v>2664</v>
      </c>
      <c r="S15" s="143">
        <f>SUM(G15:R15)</f>
        <v>32707</v>
      </c>
    </row>
    <row r="16" spans="1:19" ht="26.4" x14ac:dyDescent="0.3">
      <c r="A16" s="98" t="s">
        <v>246</v>
      </c>
      <c r="B16" s="71" t="s">
        <v>167</v>
      </c>
      <c r="C16">
        <v>12</v>
      </c>
      <c r="D16">
        <v>12</v>
      </c>
      <c r="E16">
        <v>9</v>
      </c>
      <c r="F16" s="93" t="s">
        <v>208</v>
      </c>
      <c r="G16" s="143">
        <v>192</v>
      </c>
      <c r="H16" s="143">
        <v>517</v>
      </c>
      <c r="I16" s="143">
        <v>263</v>
      </c>
      <c r="J16" s="143">
        <v>522</v>
      </c>
      <c r="K16" s="143">
        <v>221</v>
      </c>
      <c r="L16" s="143">
        <v>202</v>
      </c>
      <c r="M16" s="143">
        <v>719</v>
      </c>
      <c r="N16" s="143">
        <v>56</v>
      </c>
      <c r="O16" s="143">
        <v>485</v>
      </c>
      <c r="P16" s="143">
        <v>36</v>
      </c>
      <c r="Q16" s="143">
        <v>29</v>
      </c>
      <c r="R16" s="143">
        <v>102</v>
      </c>
      <c r="S16" s="143">
        <f>SUM(G16:R16)</f>
        <v>3344</v>
      </c>
    </row>
    <row r="17" spans="1:19" ht="26.4" x14ac:dyDescent="0.3">
      <c r="A17" s="98" t="s">
        <v>246</v>
      </c>
      <c r="B17" s="71" t="s">
        <v>167</v>
      </c>
      <c r="C17">
        <v>13</v>
      </c>
      <c r="D17">
        <v>13</v>
      </c>
      <c r="F17" s="89">
        <v>2002</v>
      </c>
      <c r="G17" s="143">
        <f t="shared" ref="G17:S17" si="3">SUM(G18:G20)</f>
        <v>4692</v>
      </c>
      <c r="H17" s="143">
        <f t="shared" si="3"/>
        <v>3147</v>
      </c>
      <c r="I17" s="143">
        <f t="shared" si="3"/>
        <v>3286</v>
      </c>
      <c r="J17" s="143">
        <f t="shared" si="3"/>
        <v>3009</v>
      </c>
      <c r="K17" s="143">
        <f t="shared" si="3"/>
        <v>4824</v>
      </c>
      <c r="L17" s="143">
        <f t="shared" si="3"/>
        <v>2034</v>
      </c>
      <c r="M17" s="143">
        <f t="shared" si="3"/>
        <v>4461</v>
      </c>
      <c r="N17" s="143">
        <f t="shared" si="3"/>
        <v>2685</v>
      </c>
      <c r="O17" s="143">
        <f t="shared" si="3"/>
        <v>4776</v>
      </c>
      <c r="P17" s="143">
        <f t="shared" si="3"/>
        <v>974</v>
      </c>
      <c r="Q17" s="143">
        <f t="shared" si="3"/>
        <v>622</v>
      </c>
      <c r="R17" s="143">
        <f t="shared" si="3"/>
        <v>5745</v>
      </c>
      <c r="S17" s="143">
        <f t="shared" si="3"/>
        <v>40255</v>
      </c>
    </row>
    <row r="18" spans="1:19" ht="26.4" x14ac:dyDescent="0.3">
      <c r="A18" s="98" t="s">
        <v>246</v>
      </c>
      <c r="B18" s="71" t="s">
        <v>167</v>
      </c>
      <c r="C18">
        <v>14</v>
      </c>
      <c r="D18">
        <v>14</v>
      </c>
      <c r="E18">
        <v>13</v>
      </c>
      <c r="F18" s="91" t="s">
        <v>206</v>
      </c>
      <c r="G18" s="143">
        <v>1219</v>
      </c>
      <c r="H18" s="143">
        <v>745</v>
      </c>
      <c r="I18" s="143">
        <v>524</v>
      </c>
      <c r="J18" s="143">
        <v>738</v>
      </c>
      <c r="K18" s="143">
        <v>278</v>
      </c>
      <c r="L18" s="143">
        <v>247</v>
      </c>
      <c r="M18" s="143">
        <v>247</v>
      </c>
      <c r="N18" s="143">
        <v>949</v>
      </c>
      <c r="O18" s="143">
        <v>1135</v>
      </c>
      <c r="P18" s="143">
        <v>640</v>
      </c>
      <c r="Q18" s="143">
        <v>146</v>
      </c>
      <c r="R18" s="143">
        <v>2712</v>
      </c>
      <c r="S18" s="143">
        <f>SUM(G18:R18)</f>
        <v>9580</v>
      </c>
    </row>
    <row r="19" spans="1:19" ht="26.4" x14ac:dyDescent="0.3">
      <c r="A19" s="98" t="s">
        <v>246</v>
      </c>
      <c r="B19" s="71" t="s">
        <v>167</v>
      </c>
      <c r="C19">
        <v>15</v>
      </c>
      <c r="D19">
        <v>15</v>
      </c>
      <c r="E19">
        <v>13</v>
      </c>
      <c r="F19" s="93" t="s">
        <v>207</v>
      </c>
      <c r="G19" s="143">
        <v>3228</v>
      </c>
      <c r="H19" s="143">
        <v>1925</v>
      </c>
      <c r="I19" s="143">
        <v>1895</v>
      </c>
      <c r="J19" s="143">
        <v>1783</v>
      </c>
      <c r="K19" s="143">
        <v>4235</v>
      </c>
      <c r="L19" s="143">
        <v>1505</v>
      </c>
      <c r="M19" s="143">
        <v>3633</v>
      </c>
      <c r="N19" s="143">
        <v>1531</v>
      </c>
      <c r="O19" s="143">
        <v>3323</v>
      </c>
      <c r="P19" s="143">
        <v>180</v>
      </c>
      <c r="Q19" s="143">
        <v>427</v>
      </c>
      <c r="R19" s="143">
        <v>2934</v>
      </c>
      <c r="S19" s="143">
        <f>SUM(G19:R19)</f>
        <v>26599</v>
      </c>
    </row>
    <row r="20" spans="1:19" ht="26.4" x14ac:dyDescent="0.3">
      <c r="A20" s="98" t="s">
        <v>246</v>
      </c>
      <c r="B20" s="71" t="s">
        <v>167</v>
      </c>
      <c r="C20">
        <v>16</v>
      </c>
      <c r="D20">
        <v>16</v>
      </c>
      <c r="E20">
        <v>13</v>
      </c>
      <c r="F20" s="93" t="s">
        <v>208</v>
      </c>
      <c r="G20" s="143">
        <v>245</v>
      </c>
      <c r="H20" s="143">
        <v>477</v>
      </c>
      <c r="I20" s="143">
        <v>867</v>
      </c>
      <c r="J20" s="143">
        <v>488</v>
      </c>
      <c r="K20" s="143">
        <v>311</v>
      </c>
      <c r="L20" s="143">
        <v>282</v>
      </c>
      <c r="M20" s="143">
        <v>581</v>
      </c>
      <c r="N20" s="143">
        <v>205</v>
      </c>
      <c r="O20" s="143">
        <v>318</v>
      </c>
      <c r="P20" s="143">
        <v>154</v>
      </c>
      <c r="Q20" s="143">
        <v>49</v>
      </c>
      <c r="R20" s="143">
        <v>99</v>
      </c>
      <c r="S20" s="143">
        <f>SUM(G20:R20)</f>
        <v>4076</v>
      </c>
    </row>
    <row r="21" spans="1:19" ht="26.4" x14ac:dyDescent="0.3">
      <c r="A21" s="98" t="s">
        <v>246</v>
      </c>
      <c r="B21" s="71" t="s">
        <v>167</v>
      </c>
      <c r="C21">
        <v>17</v>
      </c>
      <c r="D21">
        <v>17</v>
      </c>
      <c r="F21" s="89">
        <v>2003</v>
      </c>
      <c r="G21" s="143">
        <f t="shared" ref="G21:S21" si="4">SUM(G22:G24)</f>
        <v>2296</v>
      </c>
      <c r="H21" s="143">
        <f t="shared" si="4"/>
        <v>3325</v>
      </c>
      <c r="I21" s="143">
        <f t="shared" si="4"/>
        <v>3669</v>
      </c>
      <c r="J21" s="143">
        <f t="shared" si="4"/>
        <v>2703</v>
      </c>
      <c r="K21" s="143">
        <f t="shared" si="4"/>
        <v>2459</v>
      </c>
      <c r="L21" s="143">
        <f t="shared" si="4"/>
        <v>3440</v>
      </c>
      <c r="M21" s="143">
        <f t="shared" si="4"/>
        <v>3022</v>
      </c>
      <c r="N21" s="143">
        <f t="shared" si="4"/>
        <v>1823</v>
      </c>
      <c r="O21" s="143">
        <f t="shared" si="4"/>
        <v>5348</v>
      </c>
      <c r="P21" s="143">
        <f t="shared" si="4"/>
        <v>737</v>
      </c>
      <c r="Q21" s="143">
        <f t="shared" si="4"/>
        <v>284</v>
      </c>
      <c r="R21" s="143">
        <f t="shared" si="4"/>
        <v>5504</v>
      </c>
      <c r="S21" s="143">
        <f t="shared" si="4"/>
        <v>34610</v>
      </c>
    </row>
    <row r="22" spans="1:19" ht="26.4" x14ac:dyDescent="0.3">
      <c r="A22" s="98" t="s">
        <v>246</v>
      </c>
      <c r="B22" s="71" t="s">
        <v>167</v>
      </c>
      <c r="C22">
        <v>18</v>
      </c>
      <c r="D22">
        <v>18</v>
      </c>
      <c r="E22">
        <v>17</v>
      </c>
      <c r="F22" s="91" t="s">
        <v>206</v>
      </c>
      <c r="G22" s="143">
        <v>437</v>
      </c>
      <c r="H22" s="143">
        <v>626</v>
      </c>
      <c r="I22" s="143">
        <v>1083</v>
      </c>
      <c r="J22" s="143">
        <v>567</v>
      </c>
      <c r="K22" s="143">
        <v>255</v>
      </c>
      <c r="L22" s="143">
        <v>343</v>
      </c>
      <c r="M22" s="143">
        <v>485</v>
      </c>
      <c r="N22" s="143">
        <v>147</v>
      </c>
      <c r="O22" s="143">
        <v>2065</v>
      </c>
      <c r="P22" s="143">
        <v>303</v>
      </c>
      <c r="Q22" s="143">
        <v>47</v>
      </c>
      <c r="R22" s="143">
        <v>664</v>
      </c>
      <c r="S22" s="143">
        <f>SUM(G22:R22)</f>
        <v>7022</v>
      </c>
    </row>
    <row r="23" spans="1:19" ht="26.4" x14ac:dyDescent="0.3">
      <c r="A23" s="98" t="s">
        <v>246</v>
      </c>
      <c r="B23" s="71" t="s">
        <v>167</v>
      </c>
      <c r="C23">
        <v>19</v>
      </c>
      <c r="D23">
        <v>19</v>
      </c>
      <c r="E23">
        <v>17</v>
      </c>
      <c r="F23" s="93" t="s">
        <v>207</v>
      </c>
      <c r="G23" s="143">
        <v>1716</v>
      </c>
      <c r="H23" s="143">
        <v>2412</v>
      </c>
      <c r="I23" s="143">
        <v>2453</v>
      </c>
      <c r="J23" s="143">
        <v>1931</v>
      </c>
      <c r="K23" s="143">
        <v>1870</v>
      </c>
      <c r="L23" s="143">
        <v>2419</v>
      </c>
      <c r="M23" s="143">
        <v>2463</v>
      </c>
      <c r="N23" s="143">
        <v>1391</v>
      </c>
      <c r="O23" s="143">
        <v>2908</v>
      </c>
      <c r="P23" s="143">
        <v>408</v>
      </c>
      <c r="Q23" s="143">
        <v>159</v>
      </c>
      <c r="R23" s="143">
        <v>4323</v>
      </c>
      <c r="S23" s="143">
        <f>SUM(G23:R23)</f>
        <v>24453</v>
      </c>
    </row>
    <row r="24" spans="1:19" ht="26.4" x14ac:dyDescent="0.3">
      <c r="A24" s="98" t="s">
        <v>246</v>
      </c>
      <c r="B24" s="71" t="s">
        <v>167</v>
      </c>
      <c r="C24">
        <v>20</v>
      </c>
      <c r="D24">
        <v>20</v>
      </c>
      <c r="E24">
        <v>17</v>
      </c>
      <c r="F24" s="93" t="s">
        <v>208</v>
      </c>
      <c r="G24" s="143">
        <v>143</v>
      </c>
      <c r="H24" s="143">
        <v>287</v>
      </c>
      <c r="I24" s="143">
        <v>133</v>
      </c>
      <c r="J24" s="143">
        <v>205</v>
      </c>
      <c r="K24" s="143">
        <v>334</v>
      </c>
      <c r="L24" s="143">
        <v>678</v>
      </c>
      <c r="M24" s="143">
        <v>74</v>
      </c>
      <c r="N24" s="143">
        <v>285</v>
      </c>
      <c r="O24" s="143">
        <v>375</v>
      </c>
      <c r="P24" s="143">
        <v>26</v>
      </c>
      <c r="Q24" s="143">
        <v>78</v>
      </c>
      <c r="R24" s="143">
        <v>517</v>
      </c>
      <c r="S24" s="143">
        <f>SUM(G24:R24)</f>
        <v>3135</v>
      </c>
    </row>
    <row r="25" spans="1:19" ht="26.4" x14ac:dyDescent="0.3">
      <c r="A25" s="98" t="s">
        <v>246</v>
      </c>
      <c r="B25" s="71" t="s">
        <v>167</v>
      </c>
      <c r="C25">
        <v>21</v>
      </c>
      <c r="D25">
        <v>21</v>
      </c>
      <c r="F25" s="89">
        <v>2004</v>
      </c>
      <c r="G25" s="143">
        <f t="shared" ref="G25:S25" si="5">SUM(G26:G28)</f>
        <v>3136</v>
      </c>
      <c r="H25" s="143">
        <f t="shared" si="5"/>
        <v>4412</v>
      </c>
      <c r="I25" s="143">
        <f t="shared" si="5"/>
        <v>2224</v>
      </c>
      <c r="J25" s="143">
        <f t="shared" si="5"/>
        <v>2266</v>
      </c>
      <c r="K25" s="143">
        <f t="shared" si="5"/>
        <v>2929</v>
      </c>
      <c r="L25" s="143">
        <f t="shared" si="5"/>
        <v>2984</v>
      </c>
      <c r="M25" s="143">
        <f t="shared" si="5"/>
        <v>4099</v>
      </c>
      <c r="N25" s="143">
        <f t="shared" si="5"/>
        <v>3315</v>
      </c>
      <c r="O25" s="143">
        <f t="shared" si="5"/>
        <v>6585</v>
      </c>
      <c r="P25" s="143">
        <f t="shared" si="5"/>
        <v>1691</v>
      </c>
      <c r="Q25" s="143">
        <f t="shared" si="5"/>
        <v>1374</v>
      </c>
      <c r="R25" s="143">
        <f t="shared" si="5"/>
        <v>4296</v>
      </c>
      <c r="S25" s="143">
        <f t="shared" si="5"/>
        <v>39311</v>
      </c>
    </row>
    <row r="26" spans="1:19" ht="26.4" x14ac:dyDescent="0.3">
      <c r="A26" s="98" t="s">
        <v>246</v>
      </c>
      <c r="B26" s="71" t="s">
        <v>167</v>
      </c>
      <c r="C26">
        <v>22</v>
      </c>
      <c r="D26">
        <v>22</v>
      </c>
      <c r="E26">
        <v>21</v>
      </c>
      <c r="F26" s="91" t="s">
        <v>206</v>
      </c>
      <c r="G26" s="143">
        <v>2246</v>
      </c>
      <c r="H26" s="143">
        <v>1238</v>
      </c>
      <c r="I26" s="143">
        <v>432</v>
      </c>
      <c r="J26" s="143">
        <v>610</v>
      </c>
      <c r="K26" s="143">
        <v>1142</v>
      </c>
      <c r="L26" s="143">
        <v>909</v>
      </c>
      <c r="M26" s="143">
        <v>1129</v>
      </c>
      <c r="N26" s="143">
        <v>1438</v>
      </c>
      <c r="O26" s="143">
        <v>1603</v>
      </c>
      <c r="P26" s="143">
        <v>861</v>
      </c>
      <c r="Q26" s="143">
        <v>511</v>
      </c>
      <c r="R26" s="143">
        <v>1857</v>
      </c>
      <c r="S26" s="143">
        <f>SUM(G26:R26)</f>
        <v>13976</v>
      </c>
    </row>
    <row r="27" spans="1:19" ht="26.4" x14ac:dyDescent="0.3">
      <c r="A27" s="98" t="s">
        <v>246</v>
      </c>
      <c r="B27" s="71" t="s">
        <v>167</v>
      </c>
      <c r="C27">
        <v>23</v>
      </c>
      <c r="D27">
        <v>23</v>
      </c>
      <c r="E27">
        <v>21</v>
      </c>
      <c r="F27" s="93" t="s">
        <v>207</v>
      </c>
      <c r="G27" s="143">
        <v>890</v>
      </c>
      <c r="H27" s="143">
        <v>3041</v>
      </c>
      <c r="I27" s="143">
        <v>1729</v>
      </c>
      <c r="J27" s="143">
        <v>1304</v>
      </c>
      <c r="K27" s="143">
        <v>1348</v>
      </c>
      <c r="L27" s="143">
        <v>1777</v>
      </c>
      <c r="M27" s="143">
        <v>2221</v>
      </c>
      <c r="N27" s="143">
        <v>1588</v>
      </c>
      <c r="O27" s="143">
        <v>4073</v>
      </c>
      <c r="P27" s="143">
        <v>369</v>
      </c>
      <c r="Q27" s="143">
        <v>771</v>
      </c>
      <c r="R27" s="143">
        <v>1821</v>
      </c>
      <c r="S27" s="143">
        <f>SUM(G27:R27)</f>
        <v>20932</v>
      </c>
    </row>
    <row r="28" spans="1:19" ht="26.4" x14ac:dyDescent="0.3">
      <c r="A28" s="98" t="s">
        <v>246</v>
      </c>
      <c r="B28" s="71" t="s">
        <v>167</v>
      </c>
      <c r="C28">
        <v>24</v>
      </c>
      <c r="D28">
        <v>24</v>
      </c>
      <c r="E28">
        <v>21</v>
      </c>
      <c r="F28" s="93" t="s">
        <v>208</v>
      </c>
      <c r="G28" s="143">
        <v>0</v>
      </c>
      <c r="H28" s="143">
        <v>133</v>
      </c>
      <c r="I28" s="143">
        <v>63</v>
      </c>
      <c r="J28" s="143">
        <v>352</v>
      </c>
      <c r="K28" s="143">
        <v>439</v>
      </c>
      <c r="L28" s="143">
        <v>298</v>
      </c>
      <c r="M28" s="143">
        <v>749</v>
      </c>
      <c r="N28" s="143">
        <v>289</v>
      </c>
      <c r="O28" s="143">
        <v>909</v>
      </c>
      <c r="P28" s="143">
        <v>461</v>
      </c>
      <c r="Q28" s="143">
        <v>92</v>
      </c>
      <c r="R28" s="143">
        <v>618</v>
      </c>
      <c r="S28" s="143">
        <f>SUM(G28:R28)</f>
        <v>4403</v>
      </c>
    </row>
    <row r="29" spans="1:19" ht="26.4" x14ac:dyDescent="0.3">
      <c r="A29" s="98" t="s">
        <v>246</v>
      </c>
      <c r="B29" s="71" t="s">
        <v>167</v>
      </c>
      <c r="C29">
        <v>25</v>
      </c>
      <c r="D29">
        <v>25</v>
      </c>
      <c r="F29" s="89">
        <v>2005</v>
      </c>
      <c r="G29" s="143">
        <f t="shared" ref="G29:S29" si="6">SUM(G30:G32)</f>
        <v>2848</v>
      </c>
      <c r="H29" s="143">
        <f t="shared" si="6"/>
        <v>3923</v>
      </c>
      <c r="I29" s="143">
        <f t="shared" si="6"/>
        <v>3648</v>
      </c>
      <c r="J29" s="143">
        <f t="shared" si="6"/>
        <v>4198</v>
      </c>
      <c r="K29" s="143">
        <f t="shared" si="6"/>
        <v>3530</v>
      </c>
      <c r="L29" s="143">
        <f t="shared" si="6"/>
        <v>4083</v>
      </c>
      <c r="M29" s="143">
        <f t="shared" si="6"/>
        <v>5269</v>
      </c>
      <c r="N29" s="143">
        <f t="shared" si="6"/>
        <v>4102</v>
      </c>
      <c r="O29" s="143">
        <f t="shared" si="6"/>
        <v>3999</v>
      </c>
      <c r="P29" s="143">
        <f t="shared" si="6"/>
        <v>3927</v>
      </c>
      <c r="Q29" s="143">
        <f t="shared" si="6"/>
        <v>2477</v>
      </c>
      <c r="R29" s="143">
        <f t="shared" si="6"/>
        <v>749</v>
      </c>
      <c r="S29" s="143">
        <f t="shared" si="6"/>
        <v>42753</v>
      </c>
    </row>
    <row r="30" spans="1:19" ht="26.4" x14ac:dyDescent="0.3">
      <c r="A30" s="98" t="s">
        <v>246</v>
      </c>
      <c r="B30" s="71" t="s">
        <v>167</v>
      </c>
      <c r="C30">
        <v>26</v>
      </c>
      <c r="D30">
        <v>26</v>
      </c>
      <c r="E30">
        <v>25</v>
      </c>
      <c r="F30" s="91" t="s">
        <v>206</v>
      </c>
      <c r="G30" s="143">
        <v>648</v>
      </c>
      <c r="H30" s="143">
        <v>1226</v>
      </c>
      <c r="I30" s="143">
        <v>1187</v>
      </c>
      <c r="J30" s="143">
        <v>1835</v>
      </c>
      <c r="K30" s="143">
        <v>668</v>
      </c>
      <c r="L30" s="143">
        <v>2329</v>
      </c>
      <c r="M30" s="143">
        <v>2201</v>
      </c>
      <c r="N30" s="143">
        <v>824</v>
      </c>
      <c r="O30" s="143">
        <v>478</v>
      </c>
      <c r="P30" s="143">
        <v>2608</v>
      </c>
      <c r="Q30" s="143">
        <v>1930</v>
      </c>
      <c r="R30" s="143">
        <v>144</v>
      </c>
      <c r="S30" s="143">
        <f>SUM(G30:R30)</f>
        <v>16078</v>
      </c>
    </row>
    <row r="31" spans="1:19" ht="26.4" x14ac:dyDescent="0.3">
      <c r="A31" s="98" t="s">
        <v>246</v>
      </c>
      <c r="B31" s="71" t="s">
        <v>167</v>
      </c>
      <c r="C31">
        <v>27</v>
      </c>
      <c r="D31">
        <v>27</v>
      </c>
      <c r="E31">
        <v>25</v>
      </c>
      <c r="F31" s="93" t="s">
        <v>207</v>
      </c>
      <c r="G31" s="143">
        <v>1956</v>
      </c>
      <c r="H31" s="143">
        <v>1773</v>
      </c>
      <c r="I31" s="143">
        <v>1796</v>
      </c>
      <c r="J31" s="143">
        <v>1957</v>
      </c>
      <c r="K31" s="143">
        <v>1874</v>
      </c>
      <c r="L31" s="143">
        <v>1414</v>
      </c>
      <c r="M31" s="143">
        <v>2364</v>
      </c>
      <c r="N31" s="143">
        <v>2286</v>
      </c>
      <c r="O31" s="143">
        <v>2903</v>
      </c>
      <c r="P31" s="143">
        <v>942</v>
      </c>
      <c r="Q31" s="143">
        <v>505</v>
      </c>
      <c r="R31" s="143">
        <v>583</v>
      </c>
      <c r="S31" s="143">
        <f>SUM(G31:R31)</f>
        <v>20353</v>
      </c>
    </row>
    <row r="32" spans="1:19" ht="26.4" x14ac:dyDescent="0.3">
      <c r="A32" s="98" t="s">
        <v>246</v>
      </c>
      <c r="B32" s="71" t="s">
        <v>167</v>
      </c>
      <c r="C32">
        <v>28</v>
      </c>
      <c r="D32">
        <v>28</v>
      </c>
      <c r="E32">
        <v>25</v>
      </c>
      <c r="F32" s="93" t="s">
        <v>208</v>
      </c>
      <c r="G32" s="143">
        <v>244</v>
      </c>
      <c r="H32" s="143">
        <v>924</v>
      </c>
      <c r="I32" s="143">
        <v>665</v>
      </c>
      <c r="J32" s="143">
        <v>406</v>
      </c>
      <c r="K32" s="143">
        <v>988</v>
      </c>
      <c r="L32" s="143">
        <v>340</v>
      </c>
      <c r="M32" s="143">
        <v>704</v>
      </c>
      <c r="N32" s="143">
        <v>992</v>
      </c>
      <c r="O32" s="143">
        <v>618</v>
      </c>
      <c r="P32" s="143">
        <v>377</v>
      </c>
      <c r="Q32" s="143">
        <v>42</v>
      </c>
      <c r="R32" s="143">
        <v>22</v>
      </c>
      <c r="S32" s="143">
        <f>SUM(G32:R32)</f>
        <v>6322</v>
      </c>
    </row>
    <row r="33" spans="1:19" ht="26.4" x14ac:dyDescent="0.3">
      <c r="A33" s="98" t="s">
        <v>246</v>
      </c>
      <c r="B33" s="71" t="s">
        <v>167</v>
      </c>
      <c r="C33">
        <v>29</v>
      </c>
      <c r="D33">
        <v>29</v>
      </c>
      <c r="F33" s="89">
        <v>2006</v>
      </c>
      <c r="G33" s="143">
        <f t="shared" ref="G33:S33" si="7">SUM(G34:G36)</f>
        <v>2567</v>
      </c>
      <c r="H33" s="143">
        <f t="shared" si="7"/>
        <v>3745</v>
      </c>
      <c r="I33" s="143">
        <f t="shared" si="7"/>
        <v>6260</v>
      </c>
      <c r="J33" s="143">
        <f t="shared" si="7"/>
        <v>2596</v>
      </c>
      <c r="K33" s="143">
        <f t="shared" si="7"/>
        <v>3646</v>
      </c>
      <c r="L33" s="143">
        <f t="shared" si="7"/>
        <v>4713</v>
      </c>
      <c r="M33" s="143">
        <f t="shared" si="7"/>
        <v>3844</v>
      </c>
      <c r="N33" s="143">
        <f t="shared" si="7"/>
        <v>3413</v>
      </c>
      <c r="O33" s="143">
        <f t="shared" si="7"/>
        <v>5918</v>
      </c>
      <c r="P33" s="143">
        <f t="shared" si="7"/>
        <v>902</v>
      </c>
      <c r="Q33" s="143">
        <f t="shared" si="7"/>
        <v>2315</v>
      </c>
      <c r="R33" s="143">
        <f t="shared" si="7"/>
        <v>3129</v>
      </c>
      <c r="S33" s="143">
        <f t="shared" si="7"/>
        <v>43048</v>
      </c>
    </row>
    <row r="34" spans="1:19" ht="26.4" x14ac:dyDescent="0.3">
      <c r="A34" s="98" t="s">
        <v>246</v>
      </c>
      <c r="B34" s="71" t="s">
        <v>167</v>
      </c>
      <c r="C34">
        <v>30</v>
      </c>
      <c r="D34">
        <v>30</v>
      </c>
      <c r="E34">
        <v>29</v>
      </c>
      <c r="F34" s="91" t="s">
        <v>96</v>
      </c>
      <c r="G34" s="95">
        <v>520</v>
      </c>
      <c r="H34" s="95">
        <v>1627</v>
      </c>
      <c r="I34" s="95">
        <v>2977</v>
      </c>
      <c r="J34" s="95">
        <v>1151</v>
      </c>
      <c r="K34" s="95">
        <v>1131</v>
      </c>
      <c r="L34" s="95">
        <v>2737</v>
      </c>
      <c r="M34" s="95">
        <v>1148</v>
      </c>
      <c r="N34" s="95">
        <v>1139</v>
      </c>
      <c r="O34" s="95">
        <v>2640</v>
      </c>
      <c r="P34" s="95">
        <v>294</v>
      </c>
      <c r="Q34" s="95">
        <v>792</v>
      </c>
      <c r="R34" s="95">
        <v>1410</v>
      </c>
      <c r="S34" s="143">
        <f>SUM(G34:R34)</f>
        <v>17566</v>
      </c>
    </row>
    <row r="35" spans="1:19" ht="26.4" x14ac:dyDescent="0.3">
      <c r="A35" s="98" t="s">
        <v>246</v>
      </c>
      <c r="B35" s="71" t="s">
        <v>167</v>
      </c>
      <c r="C35">
        <v>31</v>
      </c>
      <c r="D35">
        <v>31</v>
      </c>
      <c r="E35">
        <v>29</v>
      </c>
      <c r="F35" s="93" t="s">
        <v>141</v>
      </c>
      <c r="G35" s="95">
        <v>1597</v>
      </c>
      <c r="H35" s="95">
        <v>811</v>
      </c>
      <c r="I35" s="95">
        <v>2584</v>
      </c>
      <c r="J35" s="95">
        <v>1220</v>
      </c>
      <c r="K35" s="95">
        <v>2011</v>
      </c>
      <c r="L35" s="95">
        <v>1713</v>
      </c>
      <c r="M35" s="95">
        <v>2091</v>
      </c>
      <c r="N35" s="95">
        <v>1919</v>
      </c>
      <c r="O35" s="95">
        <v>2837</v>
      </c>
      <c r="P35" s="95">
        <v>587</v>
      </c>
      <c r="Q35" s="95">
        <v>1410</v>
      </c>
      <c r="R35" s="95">
        <v>1462</v>
      </c>
      <c r="S35" s="143">
        <f>SUM(G35:R35)</f>
        <v>20242</v>
      </c>
    </row>
    <row r="36" spans="1:19" ht="26.4" x14ac:dyDescent="0.7">
      <c r="A36" s="98" t="s">
        <v>246</v>
      </c>
      <c r="B36" s="71" t="s">
        <v>167</v>
      </c>
      <c r="C36">
        <v>32</v>
      </c>
      <c r="D36">
        <v>32</v>
      </c>
      <c r="E36">
        <v>29</v>
      </c>
      <c r="F36" s="93" t="s">
        <v>121</v>
      </c>
      <c r="G36" s="96">
        <v>450</v>
      </c>
      <c r="H36" s="96">
        <v>1307</v>
      </c>
      <c r="I36" s="96">
        <v>699</v>
      </c>
      <c r="J36" s="96">
        <v>225</v>
      </c>
      <c r="K36" s="96">
        <v>504</v>
      </c>
      <c r="L36" s="96">
        <v>263</v>
      </c>
      <c r="M36" s="96">
        <v>605</v>
      </c>
      <c r="N36" s="96">
        <v>355</v>
      </c>
      <c r="O36" s="96">
        <v>441</v>
      </c>
      <c r="P36" s="96">
        <v>21</v>
      </c>
      <c r="Q36" s="96">
        <v>113</v>
      </c>
      <c r="R36" s="96">
        <v>257</v>
      </c>
      <c r="S36" s="143">
        <f>SUM(G36:R36)</f>
        <v>5240</v>
      </c>
    </row>
    <row r="37" spans="1:19" ht="26.4" x14ac:dyDescent="0.3">
      <c r="A37" s="98" t="s">
        <v>246</v>
      </c>
      <c r="B37" s="71" t="s">
        <v>167</v>
      </c>
      <c r="C37">
        <v>33</v>
      </c>
      <c r="D37">
        <v>33</v>
      </c>
      <c r="F37" s="89">
        <v>2007</v>
      </c>
      <c r="G37" s="143">
        <f t="shared" ref="G37:S37" si="8">SUM(G38:G40)</f>
        <v>3901</v>
      </c>
      <c r="H37" s="143">
        <f t="shared" si="8"/>
        <v>2570</v>
      </c>
      <c r="I37" s="143">
        <f t="shared" si="8"/>
        <v>4985</v>
      </c>
      <c r="J37" s="143">
        <f t="shared" si="8"/>
        <v>3325</v>
      </c>
      <c r="K37" s="143">
        <f t="shared" si="8"/>
        <v>3859</v>
      </c>
      <c r="L37" s="143">
        <f t="shared" si="8"/>
        <v>3968</v>
      </c>
      <c r="M37" s="143">
        <f t="shared" si="8"/>
        <v>3551</v>
      </c>
      <c r="N37" s="143">
        <f t="shared" si="8"/>
        <v>5699</v>
      </c>
      <c r="O37" s="143">
        <f t="shared" si="8"/>
        <v>4820</v>
      </c>
      <c r="P37" s="143">
        <f t="shared" si="8"/>
        <v>1881</v>
      </c>
      <c r="Q37" s="143">
        <f t="shared" si="8"/>
        <v>2463</v>
      </c>
      <c r="R37" s="143">
        <f t="shared" si="8"/>
        <v>2862</v>
      </c>
      <c r="S37" s="143">
        <f t="shared" si="8"/>
        <v>43884</v>
      </c>
    </row>
    <row r="38" spans="1:19" ht="26.4" x14ac:dyDescent="0.3">
      <c r="A38" s="98" t="s">
        <v>246</v>
      </c>
      <c r="B38" s="71" t="s">
        <v>167</v>
      </c>
      <c r="C38">
        <v>34</v>
      </c>
      <c r="D38">
        <v>34</v>
      </c>
      <c r="E38">
        <v>33</v>
      </c>
      <c r="F38" s="91" t="s">
        <v>96</v>
      </c>
      <c r="G38" s="95">
        <v>2048</v>
      </c>
      <c r="H38" s="95">
        <v>870</v>
      </c>
      <c r="I38" s="95">
        <v>2430</v>
      </c>
      <c r="J38" s="95">
        <v>1321</v>
      </c>
      <c r="K38" s="95">
        <v>1252</v>
      </c>
      <c r="L38" s="95">
        <v>1193</v>
      </c>
      <c r="M38" s="95">
        <v>795</v>
      </c>
      <c r="N38" s="95">
        <v>1961</v>
      </c>
      <c r="O38" s="95">
        <v>2011</v>
      </c>
      <c r="P38" s="95">
        <v>477</v>
      </c>
      <c r="Q38" s="95">
        <v>861</v>
      </c>
      <c r="R38" s="95">
        <v>1177</v>
      </c>
      <c r="S38" s="143">
        <f>SUM(G38:R38)</f>
        <v>16396</v>
      </c>
    </row>
    <row r="39" spans="1:19" ht="26.4" x14ac:dyDescent="0.3">
      <c r="A39" s="98" t="s">
        <v>246</v>
      </c>
      <c r="B39" s="71" t="s">
        <v>167</v>
      </c>
      <c r="C39">
        <v>35</v>
      </c>
      <c r="D39">
        <v>35</v>
      </c>
      <c r="E39">
        <v>33</v>
      </c>
      <c r="F39" s="93" t="s">
        <v>141</v>
      </c>
      <c r="G39" s="95">
        <v>1323</v>
      </c>
      <c r="H39" s="95">
        <v>1275</v>
      </c>
      <c r="I39" s="95">
        <v>1707</v>
      </c>
      <c r="J39" s="95">
        <v>1183</v>
      </c>
      <c r="K39" s="95">
        <v>1921</v>
      </c>
      <c r="L39" s="95">
        <v>1904</v>
      </c>
      <c r="M39" s="95">
        <v>2189</v>
      </c>
      <c r="N39" s="95">
        <v>3213</v>
      </c>
      <c r="O39" s="95">
        <v>2320</v>
      </c>
      <c r="P39" s="95">
        <v>1032</v>
      </c>
      <c r="Q39" s="95">
        <v>1563</v>
      </c>
      <c r="R39" s="95">
        <v>1431</v>
      </c>
      <c r="S39" s="143">
        <f>SUM(G39:R39)</f>
        <v>21061</v>
      </c>
    </row>
    <row r="40" spans="1:19" ht="26.4" x14ac:dyDescent="0.7">
      <c r="A40" s="98" t="s">
        <v>246</v>
      </c>
      <c r="B40" s="71" t="s">
        <v>167</v>
      </c>
      <c r="C40">
        <v>36</v>
      </c>
      <c r="D40">
        <v>36</v>
      </c>
      <c r="E40">
        <v>33</v>
      </c>
      <c r="F40" s="93" t="s">
        <v>121</v>
      </c>
      <c r="G40" s="96">
        <v>530</v>
      </c>
      <c r="H40" s="96">
        <v>425</v>
      </c>
      <c r="I40" s="96">
        <v>848</v>
      </c>
      <c r="J40" s="96">
        <v>821</v>
      </c>
      <c r="K40" s="96">
        <v>686</v>
      </c>
      <c r="L40" s="96">
        <v>871</v>
      </c>
      <c r="M40" s="96">
        <v>567</v>
      </c>
      <c r="N40" s="96">
        <v>525</v>
      </c>
      <c r="O40" s="96">
        <v>489</v>
      </c>
      <c r="P40" s="96">
        <v>372</v>
      </c>
      <c r="Q40" s="96">
        <v>39</v>
      </c>
      <c r="R40" s="96">
        <v>254</v>
      </c>
      <c r="S40" s="143">
        <f>SUM(G40:R40)</f>
        <v>6427</v>
      </c>
    </row>
    <row r="41" spans="1:19" ht="26.4" x14ac:dyDescent="0.3">
      <c r="A41" s="98" t="s">
        <v>246</v>
      </c>
      <c r="B41" s="71" t="s">
        <v>167</v>
      </c>
      <c r="C41">
        <v>37</v>
      </c>
      <c r="D41">
        <v>37</v>
      </c>
      <c r="F41" s="89">
        <v>2008</v>
      </c>
      <c r="G41" s="143">
        <f t="shared" ref="G41:S41" si="9">SUM(G42:G44)</f>
        <v>4483</v>
      </c>
      <c r="H41" s="143">
        <f t="shared" si="9"/>
        <v>3555</v>
      </c>
      <c r="I41" s="143">
        <f t="shared" si="9"/>
        <v>3118</v>
      </c>
      <c r="J41" s="143">
        <f t="shared" si="9"/>
        <v>5280</v>
      </c>
      <c r="K41" s="143">
        <f t="shared" si="9"/>
        <v>1757</v>
      </c>
      <c r="L41" s="143">
        <f t="shared" si="9"/>
        <v>1240</v>
      </c>
      <c r="M41" s="143">
        <f t="shared" si="9"/>
        <v>3285</v>
      </c>
      <c r="N41" s="143">
        <f t="shared" si="9"/>
        <v>1065</v>
      </c>
      <c r="O41" s="143">
        <f t="shared" si="9"/>
        <v>1106</v>
      </c>
      <c r="P41" s="143">
        <f t="shared" si="9"/>
        <v>5377</v>
      </c>
      <c r="Q41" s="143">
        <f t="shared" si="9"/>
        <v>1576</v>
      </c>
      <c r="R41" s="143">
        <f t="shared" si="9"/>
        <v>5499</v>
      </c>
      <c r="S41" s="143">
        <f t="shared" si="9"/>
        <v>37341</v>
      </c>
    </row>
    <row r="42" spans="1:19" ht="26.4" x14ac:dyDescent="0.3">
      <c r="A42" s="98" t="s">
        <v>246</v>
      </c>
      <c r="B42" s="71" t="s">
        <v>167</v>
      </c>
      <c r="C42">
        <v>38</v>
      </c>
      <c r="D42">
        <v>38</v>
      </c>
      <c r="E42">
        <v>37</v>
      </c>
      <c r="F42" s="91" t="s">
        <v>96</v>
      </c>
      <c r="G42" s="95">
        <v>2637</v>
      </c>
      <c r="H42" s="95">
        <v>1549</v>
      </c>
      <c r="I42" s="95">
        <v>1410</v>
      </c>
      <c r="J42" s="95">
        <v>2564</v>
      </c>
      <c r="K42" s="95">
        <v>966</v>
      </c>
      <c r="L42" s="95">
        <v>412</v>
      </c>
      <c r="M42" s="95">
        <v>1260</v>
      </c>
      <c r="N42" s="95">
        <v>372</v>
      </c>
      <c r="O42" s="95">
        <v>172</v>
      </c>
      <c r="P42" s="95">
        <v>3072</v>
      </c>
      <c r="Q42" s="95">
        <v>561</v>
      </c>
      <c r="R42" s="95">
        <v>4249</v>
      </c>
      <c r="S42" s="143">
        <f>SUM(G42:R42)</f>
        <v>19224</v>
      </c>
    </row>
    <row r="43" spans="1:19" ht="26.4" x14ac:dyDescent="0.3">
      <c r="A43" s="98" t="s">
        <v>246</v>
      </c>
      <c r="B43" s="71" t="s">
        <v>167</v>
      </c>
      <c r="C43">
        <v>39</v>
      </c>
      <c r="D43">
        <v>39</v>
      </c>
      <c r="E43">
        <v>37</v>
      </c>
      <c r="F43" s="93" t="s">
        <v>141</v>
      </c>
      <c r="G43" s="95">
        <v>1522</v>
      </c>
      <c r="H43" s="95">
        <v>1573</v>
      </c>
      <c r="I43" s="95">
        <v>1434</v>
      </c>
      <c r="J43" s="95">
        <v>1643</v>
      </c>
      <c r="K43" s="95">
        <v>702</v>
      </c>
      <c r="L43" s="95">
        <v>494</v>
      </c>
      <c r="M43" s="95">
        <v>1348</v>
      </c>
      <c r="N43" s="95">
        <v>573</v>
      </c>
      <c r="O43" s="95">
        <v>779</v>
      </c>
      <c r="P43" s="95">
        <v>2090</v>
      </c>
      <c r="Q43" s="95">
        <v>913</v>
      </c>
      <c r="R43" s="95">
        <v>1163</v>
      </c>
      <c r="S43" s="143">
        <f>SUM(G43:R43)</f>
        <v>14234</v>
      </c>
    </row>
    <row r="44" spans="1:19" ht="26.4" x14ac:dyDescent="0.7">
      <c r="A44" s="98" t="s">
        <v>246</v>
      </c>
      <c r="B44" s="71" t="s">
        <v>167</v>
      </c>
      <c r="C44">
        <v>40</v>
      </c>
      <c r="D44">
        <v>40</v>
      </c>
      <c r="E44">
        <v>37</v>
      </c>
      <c r="F44" s="93" t="s">
        <v>121</v>
      </c>
      <c r="G44" s="96">
        <v>324</v>
      </c>
      <c r="H44" s="96">
        <v>433</v>
      </c>
      <c r="I44" s="96">
        <v>274</v>
      </c>
      <c r="J44" s="96">
        <v>1073</v>
      </c>
      <c r="K44" s="96">
        <v>89</v>
      </c>
      <c r="L44" s="96">
        <v>334</v>
      </c>
      <c r="M44" s="96">
        <v>677</v>
      </c>
      <c r="N44" s="96">
        <v>120</v>
      </c>
      <c r="O44" s="96">
        <v>155</v>
      </c>
      <c r="P44" s="96">
        <v>215</v>
      </c>
      <c r="Q44" s="96">
        <v>102</v>
      </c>
      <c r="R44" s="96">
        <v>87</v>
      </c>
      <c r="S44" s="143">
        <f>SUM(G44:R44)</f>
        <v>3883</v>
      </c>
    </row>
    <row r="45" spans="1:19" ht="26.4" x14ac:dyDescent="0.3">
      <c r="A45" s="98" t="s">
        <v>246</v>
      </c>
      <c r="B45" s="71" t="s">
        <v>167</v>
      </c>
      <c r="C45">
        <v>41</v>
      </c>
      <c r="D45">
        <v>41</v>
      </c>
      <c r="F45" s="89">
        <v>2009</v>
      </c>
      <c r="G45" s="143">
        <f t="shared" ref="G45:S45" si="10">SUM(G46:G48)</f>
        <v>2190</v>
      </c>
      <c r="H45" s="143">
        <f t="shared" si="10"/>
        <v>1739</v>
      </c>
      <c r="I45" s="143">
        <f t="shared" si="10"/>
        <v>8315</v>
      </c>
      <c r="J45" s="143">
        <f t="shared" si="10"/>
        <v>6429</v>
      </c>
      <c r="K45" s="143">
        <f t="shared" si="10"/>
        <v>8536</v>
      </c>
      <c r="L45" s="143">
        <f t="shared" si="10"/>
        <v>4022</v>
      </c>
      <c r="M45" s="143">
        <f t="shared" si="10"/>
        <v>6015</v>
      </c>
      <c r="N45" s="143">
        <f t="shared" si="10"/>
        <v>7302</v>
      </c>
      <c r="O45" s="143">
        <f t="shared" si="10"/>
        <v>5741</v>
      </c>
      <c r="P45" s="143">
        <f t="shared" si="10"/>
        <v>2318</v>
      </c>
      <c r="Q45" s="143">
        <f t="shared" si="10"/>
        <v>2105</v>
      </c>
      <c r="R45" s="143">
        <f t="shared" si="10"/>
        <v>2237</v>
      </c>
      <c r="S45" s="143">
        <f t="shared" si="10"/>
        <v>56949</v>
      </c>
    </row>
    <row r="46" spans="1:19" ht="26.4" x14ac:dyDescent="0.3">
      <c r="A46" s="98" t="s">
        <v>246</v>
      </c>
      <c r="B46" s="71" t="s">
        <v>167</v>
      </c>
      <c r="C46">
        <v>42</v>
      </c>
      <c r="D46">
        <v>42</v>
      </c>
      <c r="E46">
        <v>41</v>
      </c>
      <c r="F46" s="91" t="s">
        <v>96</v>
      </c>
      <c r="G46" s="95">
        <v>969</v>
      </c>
      <c r="H46" s="95">
        <v>801</v>
      </c>
      <c r="I46" s="95">
        <v>4524</v>
      </c>
      <c r="J46" s="95">
        <v>2993</v>
      </c>
      <c r="K46" s="95">
        <v>3979</v>
      </c>
      <c r="L46" s="95">
        <v>1819</v>
      </c>
      <c r="M46" s="95">
        <v>2865</v>
      </c>
      <c r="N46" s="95">
        <v>4063</v>
      </c>
      <c r="O46" s="95">
        <v>2656</v>
      </c>
      <c r="P46" s="95">
        <v>1352</v>
      </c>
      <c r="Q46" s="95">
        <v>805</v>
      </c>
      <c r="R46" s="95">
        <v>575</v>
      </c>
      <c r="S46" s="143">
        <f>SUM(G46:R46)</f>
        <v>27401</v>
      </c>
    </row>
    <row r="47" spans="1:19" ht="26.4" x14ac:dyDescent="0.3">
      <c r="A47" s="98" t="s">
        <v>246</v>
      </c>
      <c r="B47" s="71" t="s">
        <v>167</v>
      </c>
      <c r="C47">
        <v>43</v>
      </c>
      <c r="D47">
        <v>43</v>
      </c>
      <c r="E47">
        <v>41</v>
      </c>
      <c r="F47" s="93" t="s">
        <v>141</v>
      </c>
      <c r="G47" s="95">
        <v>921</v>
      </c>
      <c r="H47" s="95">
        <v>748</v>
      </c>
      <c r="I47" s="95">
        <v>3335</v>
      </c>
      <c r="J47" s="95">
        <v>3055</v>
      </c>
      <c r="K47" s="95">
        <v>3308</v>
      </c>
      <c r="L47" s="95">
        <v>1971</v>
      </c>
      <c r="M47" s="95">
        <v>3037</v>
      </c>
      <c r="N47" s="95">
        <v>3086</v>
      </c>
      <c r="O47" s="95">
        <v>2761</v>
      </c>
      <c r="P47" s="95">
        <v>843</v>
      </c>
      <c r="Q47" s="95">
        <v>1155</v>
      </c>
      <c r="R47" s="95">
        <v>1220</v>
      </c>
      <c r="S47" s="143">
        <f>SUM(G47:R47)</f>
        <v>25440</v>
      </c>
    </row>
    <row r="48" spans="1:19" ht="26.4" x14ac:dyDescent="0.7">
      <c r="A48" s="98" t="s">
        <v>246</v>
      </c>
      <c r="B48" s="71" t="s">
        <v>167</v>
      </c>
      <c r="C48">
        <v>44</v>
      </c>
      <c r="D48">
        <v>44</v>
      </c>
      <c r="E48">
        <v>41</v>
      </c>
      <c r="F48" s="93" t="s">
        <v>121</v>
      </c>
      <c r="G48" s="96">
        <v>300</v>
      </c>
      <c r="H48" s="96">
        <v>190</v>
      </c>
      <c r="I48" s="96">
        <v>456</v>
      </c>
      <c r="J48" s="96">
        <v>381</v>
      </c>
      <c r="K48" s="96">
        <v>1249</v>
      </c>
      <c r="L48" s="96">
        <v>232</v>
      </c>
      <c r="M48" s="96">
        <v>113</v>
      </c>
      <c r="N48" s="96">
        <v>153</v>
      </c>
      <c r="O48" s="96">
        <v>324</v>
      </c>
      <c r="P48" s="96">
        <v>123</v>
      </c>
      <c r="Q48" s="96">
        <v>145</v>
      </c>
      <c r="R48" s="96">
        <v>442</v>
      </c>
      <c r="S48" s="143">
        <f>SUM(G48:R48)</f>
        <v>4108</v>
      </c>
    </row>
    <row r="49" spans="1:19" ht="26.4" x14ac:dyDescent="0.3">
      <c r="A49" s="98" t="s">
        <v>246</v>
      </c>
      <c r="B49" s="71" t="s">
        <v>167</v>
      </c>
      <c r="C49">
        <v>45</v>
      </c>
      <c r="D49">
        <v>45</v>
      </c>
      <c r="F49" s="89">
        <v>2010</v>
      </c>
      <c r="G49" s="143">
        <f t="shared" ref="G49:S49" si="11">SUM(G50:G52)</f>
        <v>3313</v>
      </c>
      <c r="H49" s="143">
        <f t="shared" si="11"/>
        <v>3413</v>
      </c>
      <c r="I49" s="143">
        <f t="shared" si="11"/>
        <v>4362</v>
      </c>
      <c r="J49" s="143">
        <f t="shared" si="11"/>
        <v>3511</v>
      </c>
      <c r="K49" s="143">
        <f t="shared" si="11"/>
        <v>4310</v>
      </c>
      <c r="L49" s="143">
        <f t="shared" si="11"/>
        <v>1586</v>
      </c>
      <c r="M49" s="143">
        <f t="shared" si="11"/>
        <v>3976</v>
      </c>
      <c r="N49" s="143">
        <f t="shared" si="11"/>
        <v>4810</v>
      </c>
      <c r="O49" s="143">
        <f t="shared" si="11"/>
        <v>3443</v>
      </c>
      <c r="P49" s="143">
        <f t="shared" si="11"/>
        <v>5626</v>
      </c>
      <c r="Q49" s="143">
        <f t="shared" si="11"/>
        <v>1224</v>
      </c>
      <c r="R49" s="143">
        <f t="shared" si="11"/>
        <v>3099</v>
      </c>
      <c r="S49" s="143">
        <f t="shared" si="11"/>
        <v>42673</v>
      </c>
    </row>
    <row r="50" spans="1:19" ht="26.4" x14ac:dyDescent="0.7">
      <c r="A50" s="98" t="s">
        <v>246</v>
      </c>
      <c r="B50" s="71" t="s">
        <v>167</v>
      </c>
      <c r="C50">
        <v>46</v>
      </c>
      <c r="D50">
        <v>46</v>
      </c>
      <c r="E50">
        <v>45</v>
      </c>
      <c r="F50" s="91" t="s">
        <v>96</v>
      </c>
      <c r="G50" s="96">
        <v>1263</v>
      </c>
      <c r="H50" s="96">
        <v>1384</v>
      </c>
      <c r="I50" s="96">
        <v>936</v>
      </c>
      <c r="J50" s="96">
        <v>932</v>
      </c>
      <c r="K50" s="96">
        <v>1248</v>
      </c>
      <c r="L50" s="96">
        <v>14</v>
      </c>
      <c r="M50" s="96">
        <v>2758</v>
      </c>
      <c r="N50" s="96">
        <v>2354</v>
      </c>
      <c r="O50" s="96">
        <v>1595</v>
      </c>
      <c r="P50" s="96">
        <v>2402</v>
      </c>
      <c r="Q50" s="96">
        <v>53</v>
      </c>
      <c r="R50" s="96">
        <v>1599</v>
      </c>
      <c r="S50" s="143">
        <f>SUM(G50:R50)</f>
        <v>16538</v>
      </c>
    </row>
    <row r="51" spans="1:19" ht="26.4" x14ac:dyDescent="0.7">
      <c r="A51" s="98" t="s">
        <v>246</v>
      </c>
      <c r="B51" s="71" t="s">
        <v>167</v>
      </c>
      <c r="C51">
        <v>47</v>
      </c>
      <c r="D51">
        <v>47</v>
      </c>
      <c r="E51">
        <v>45</v>
      </c>
      <c r="F51" s="93" t="s">
        <v>141</v>
      </c>
      <c r="G51" s="96">
        <v>1672</v>
      </c>
      <c r="H51" s="96">
        <v>1363</v>
      </c>
      <c r="I51" s="96">
        <v>2129</v>
      </c>
      <c r="J51" s="96">
        <v>1730</v>
      </c>
      <c r="K51" s="96">
        <v>2188</v>
      </c>
      <c r="L51" s="96">
        <v>1025</v>
      </c>
      <c r="M51" s="96">
        <v>766</v>
      </c>
      <c r="N51" s="96">
        <v>1182</v>
      </c>
      <c r="O51" s="96">
        <v>1130</v>
      </c>
      <c r="P51" s="96">
        <v>1748</v>
      </c>
      <c r="Q51" s="96">
        <v>884</v>
      </c>
      <c r="R51" s="96">
        <v>776</v>
      </c>
      <c r="S51" s="143">
        <f>SUM(G51:R51)</f>
        <v>16593</v>
      </c>
    </row>
    <row r="52" spans="1:19" ht="26.4" x14ac:dyDescent="0.7">
      <c r="A52" s="98" t="s">
        <v>246</v>
      </c>
      <c r="B52" s="71" t="s">
        <v>167</v>
      </c>
      <c r="C52">
        <v>48</v>
      </c>
      <c r="D52">
        <v>48</v>
      </c>
      <c r="E52">
        <v>45</v>
      </c>
      <c r="F52" s="93" t="s">
        <v>121</v>
      </c>
      <c r="G52" s="96">
        <v>378</v>
      </c>
      <c r="H52" s="96">
        <v>666</v>
      </c>
      <c r="I52" s="96">
        <v>1297</v>
      </c>
      <c r="J52" s="96">
        <v>849</v>
      </c>
      <c r="K52" s="96">
        <v>874</v>
      </c>
      <c r="L52" s="96">
        <v>547</v>
      </c>
      <c r="M52" s="96">
        <v>452</v>
      </c>
      <c r="N52" s="96">
        <v>1274</v>
      </c>
      <c r="O52" s="96">
        <v>718</v>
      </c>
      <c r="P52" s="96">
        <v>1476</v>
      </c>
      <c r="Q52" s="96">
        <v>287</v>
      </c>
      <c r="R52" s="96">
        <v>724</v>
      </c>
      <c r="S52" s="143">
        <f>SUM(G52:R52)</f>
        <v>9542</v>
      </c>
    </row>
    <row r="53" spans="1:19" ht="26.4" x14ac:dyDescent="0.3">
      <c r="A53" s="98" t="s">
        <v>246</v>
      </c>
      <c r="B53" s="71" t="s">
        <v>167</v>
      </c>
      <c r="C53">
        <v>49</v>
      </c>
      <c r="D53">
        <v>49</v>
      </c>
      <c r="F53" s="89">
        <v>2011</v>
      </c>
      <c r="G53" s="143">
        <f t="shared" ref="G53:S53" si="12">SUM(G54:G56)</f>
        <v>5953</v>
      </c>
      <c r="H53" s="143">
        <f t="shared" si="12"/>
        <v>8590</v>
      </c>
      <c r="I53" s="143">
        <f t="shared" si="12"/>
        <v>8091</v>
      </c>
      <c r="J53" s="143">
        <f t="shared" si="12"/>
        <v>7203</v>
      </c>
      <c r="K53" s="143">
        <f t="shared" si="12"/>
        <v>10800</v>
      </c>
      <c r="L53" s="143">
        <f t="shared" si="12"/>
        <v>4069</v>
      </c>
      <c r="M53" s="143">
        <f t="shared" si="12"/>
        <v>5662</v>
      </c>
      <c r="N53" s="143">
        <f t="shared" si="12"/>
        <v>8256</v>
      </c>
      <c r="O53" s="143">
        <f t="shared" si="12"/>
        <v>7202</v>
      </c>
      <c r="P53" s="143">
        <f t="shared" si="12"/>
        <v>9543</v>
      </c>
      <c r="Q53" s="143">
        <f t="shared" si="12"/>
        <v>1805</v>
      </c>
      <c r="R53" s="143">
        <f t="shared" si="12"/>
        <v>6600</v>
      </c>
      <c r="S53" s="143">
        <f t="shared" si="12"/>
        <v>83774</v>
      </c>
    </row>
    <row r="54" spans="1:19" ht="26.4" x14ac:dyDescent="0.7">
      <c r="A54" s="98" t="s">
        <v>246</v>
      </c>
      <c r="B54" s="71" t="s">
        <v>167</v>
      </c>
      <c r="C54">
        <v>50</v>
      </c>
      <c r="D54">
        <v>50</v>
      </c>
      <c r="E54">
        <v>49</v>
      </c>
      <c r="F54" s="91" t="s">
        <v>96</v>
      </c>
      <c r="G54" s="96">
        <v>1650</v>
      </c>
      <c r="H54" s="96">
        <v>1511</v>
      </c>
      <c r="I54" s="96">
        <v>1096</v>
      </c>
      <c r="J54" s="96">
        <v>445</v>
      </c>
      <c r="K54" s="96">
        <v>730</v>
      </c>
      <c r="L54" s="96">
        <v>141</v>
      </c>
      <c r="M54" s="96">
        <v>1570</v>
      </c>
      <c r="N54" s="96">
        <v>1746</v>
      </c>
      <c r="O54" s="96">
        <v>1978</v>
      </c>
      <c r="P54" s="96">
        <v>1533</v>
      </c>
      <c r="Q54" s="96">
        <v>36</v>
      </c>
      <c r="R54" s="96">
        <v>2547</v>
      </c>
      <c r="S54" s="143">
        <f>SUM(G54:R54)</f>
        <v>14983</v>
      </c>
    </row>
    <row r="55" spans="1:19" ht="26.4" x14ac:dyDescent="0.7">
      <c r="A55" s="98" t="s">
        <v>246</v>
      </c>
      <c r="B55" s="71" t="s">
        <v>167</v>
      </c>
      <c r="C55">
        <v>51</v>
      </c>
      <c r="D55">
        <v>51</v>
      </c>
      <c r="E55">
        <v>49</v>
      </c>
      <c r="F55" s="93" t="s">
        <v>141</v>
      </c>
      <c r="G55" s="96">
        <v>812</v>
      </c>
      <c r="H55" s="96">
        <v>2377</v>
      </c>
      <c r="I55" s="96">
        <v>2561</v>
      </c>
      <c r="J55" s="96">
        <v>2352</v>
      </c>
      <c r="K55" s="96">
        <v>4054</v>
      </c>
      <c r="L55" s="96">
        <v>1289</v>
      </c>
      <c r="M55" s="96">
        <v>846</v>
      </c>
      <c r="N55" s="96">
        <v>1894</v>
      </c>
      <c r="O55" s="96">
        <v>1328</v>
      </c>
      <c r="P55" s="96">
        <v>2693</v>
      </c>
      <c r="Q55" s="96">
        <v>452</v>
      </c>
      <c r="R55" s="96">
        <v>505</v>
      </c>
      <c r="S55" s="143">
        <f>SUM(G55:R55)</f>
        <v>21163</v>
      </c>
    </row>
    <row r="56" spans="1:19" ht="26.4" x14ac:dyDescent="0.7">
      <c r="A56" s="98" t="s">
        <v>246</v>
      </c>
      <c r="B56" s="71" t="s">
        <v>167</v>
      </c>
      <c r="C56">
        <v>52</v>
      </c>
      <c r="D56">
        <v>52</v>
      </c>
      <c r="E56">
        <v>49</v>
      </c>
      <c r="F56" s="93" t="s">
        <v>121</v>
      </c>
      <c r="G56" s="96">
        <v>3491</v>
      </c>
      <c r="H56" s="96">
        <v>4702</v>
      </c>
      <c r="I56" s="96">
        <v>4434</v>
      </c>
      <c r="J56" s="96">
        <v>4406</v>
      </c>
      <c r="K56" s="96">
        <v>6016</v>
      </c>
      <c r="L56" s="96">
        <v>2639</v>
      </c>
      <c r="M56" s="96">
        <v>3246</v>
      </c>
      <c r="N56" s="96">
        <v>4616</v>
      </c>
      <c r="O56" s="96">
        <v>3896</v>
      </c>
      <c r="P56" s="96">
        <v>5317</v>
      </c>
      <c r="Q56" s="96">
        <v>1317</v>
      </c>
      <c r="R56" s="96">
        <v>3548</v>
      </c>
      <c r="S56" s="143">
        <f>SUM(G56:R56)</f>
        <v>47628</v>
      </c>
    </row>
    <row r="57" spans="1:19" ht="26.4" x14ac:dyDescent="0.3">
      <c r="A57" s="98" t="s">
        <v>246</v>
      </c>
      <c r="B57" s="71" t="s">
        <v>167</v>
      </c>
      <c r="C57">
        <v>53</v>
      </c>
      <c r="D57">
        <v>53</v>
      </c>
      <c r="F57" s="89">
        <v>2012</v>
      </c>
      <c r="G57" s="143">
        <f t="shared" ref="G57:S57" si="13">SUM(G58:G60)</f>
        <v>3344</v>
      </c>
      <c r="H57" s="143">
        <f t="shared" si="13"/>
        <v>5200</v>
      </c>
      <c r="I57" s="143">
        <f t="shared" si="13"/>
        <v>2970</v>
      </c>
      <c r="J57" s="143">
        <f t="shared" si="13"/>
        <v>3412</v>
      </c>
      <c r="K57" s="143">
        <f t="shared" si="13"/>
        <v>5235</v>
      </c>
      <c r="L57" s="143">
        <f t="shared" si="13"/>
        <v>2034</v>
      </c>
      <c r="M57" s="143">
        <f t="shared" si="13"/>
        <v>2015</v>
      </c>
      <c r="N57" s="143">
        <f t="shared" si="13"/>
        <v>8153</v>
      </c>
      <c r="O57" s="143">
        <f t="shared" si="13"/>
        <v>5320</v>
      </c>
      <c r="P57" s="143">
        <f t="shared" si="13"/>
        <v>5767</v>
      </c>
      <c r="Q57" s="143">
        <f t="shared" si="13"/>
        <v>3123</v>
      </c>
      <c r="R57" s="143">
        <f t="shared" si="13"/>
        <v>2200</v>
      </c>
      <c r="S57" s="143">
        <f t="shared" si="13"/>
        <v>48773</v>
      </c>
    </row>
    <row r="58" spans="1:19" ht="26.4" x14ac:dyDescent="0.7">
      <c r="A58" s="98" t="s">
        <v>246</v>
      </c>
      <c r="B58" s="71" t="s">
        <v>167</v>
      </c>
      <c r="C58">
        <v>54</v>
      </c>
      <c r="D58">
        <v>54</v>
      </c>
      <c r="E58">
        <v>53</v>
      </c>
      <c r="F58" s="91" t="s">
        <v>96</v>
      </c>
      <c r="G58" s="96">
        <v>1251</v>
      </c>
      <c r="H58" s="96">
        <v>2597</v>
      </c>
      <c r="I58" s="96">
        <v>852</v>
      </c>
      <c r="J58" s="96">
        <v>307</v>
      </c>
      <c r="K58" s="96">
        <v>1896</v>
      </c>
      <c r="L58" s="96">
        <v>607</v>
      </c>
      <c r="M58" s="96">
        <v>1110</v>
      </c>
      <c r="N58" s="96">
        <v>6085</v>
      </c>
      <c r="O58" s="96">
        <v>2526</v>
      </c>
      <c r="P58" s="96">
        <v>2310</v>
      </c>
      <c r="Q58" s="96">
        <v>1712</v>
      </c>
      <c r="R58" s="96">
        <v>1909</v>
      </c>
      <c r="S58" s="143">
        <f>SUM(G58:R58)</f>
        <v>23162</v>
      </c>
    </row>
    <row r="59" spans="1:19" ht="26.4" x14ac:dyDescent="0.7">
      <c r="A59" s="98" t="s">
        <v>246</v>
      </c>
      <c r="B59" s="71" t="s">
        <v>167</v>
      </c>
      <c r="C59">
        <v>55</v>
      </c>
      <c r="D59">
        <v>55</v>
      </c>
      <c r="E59">
        <v>53</v>
      </c>
      <c r="F59" s="93" t="s">
        <v>141</v>
      </c>
      <c r="G59" s="96">
        <v>1807</v>
      </c>
      <c r="H59" s="96">
        <v>2301</v>
      </c>
      <c r="I59" s="96">
        <v>1608</v>
      </c>
      <c r="J59" s="96">
        <v>2564</v>
      </c>
      <c r="K59" s="96">
        <v>2569</v>
      </c>
      <c r="L59" s="96">
        <v>829</v>
      </c>
      <c r="M59" s="96">
        <v>602</v>
      </c>
      <c r="N59" s="96">
        <v>1742</v>
      </c>
      <c r="O59" s="96">
        <v>2209</v>
      </c>
      <c r="P59" s="96">
        <v>3135</v>
      </c>
      <c r="Q59" s="96">
        <v>1132</v>
      </c>
      <c r="R59" s="96">
        <v>211</v>
      </c>
      <c r="S59" s="143">
        <f>SUM(G59:R59)</f>
        <v>20709</v>
      </c>
    </row>
    <row r="60" spans="1:19" ht="26.4" x14ac:dyDescent="0.7">
      <c r="A60" s="98" t="s">
        <v>246</v>
      </c>
      <c r="B60" s="71" t="s">
        <v>167</v>
      </c>
      <c r="C60">
        <v>56</v>
      </c>
      <c r="D60">
        <v>56</v>
      </c>
      <c r="E60">
        <v>53</v>
      </c>
      <c r="F60" s="93" t="s">
        <v>121</v>
      </c>
      <c r="G60" s="96">
        <v>286</v>
      </c>
      <c r="H60" s="96">
        <v>302</v>
      </c>
      <c r="I60" s="96">
        <v>510</v>
      </c>
      <c r="J60" s="96">
        <v>541</v>
      </c>
      <c r="K60" s="96">
        <v>770</v>
      </c>
      <c r="L60" s="96">
        <v>598</v>
      </c>
      <c r="M60" s="96">
        <v>303</v>
      </c>
      <c r="N60" s="96">
        <v>326</v>
      </c>
      <c r="O60" s="96">
        <v>585</v>
      </c>
      <c r="P60" s="96">
        <v>322</v>
      </c>
      <c r="Q60" s="96">
        <v>279</v>
      </c>
      <c r="R60" s="96">
        <v>80</v>
      </c>
      <c r="S60" s="143">
        <f>SUM(G60:R60)</f>
        <v>4902</v>
      </c>
    </row>
    <row r="61" spans="1:19" ht="26.4" x14ac:dyDescent="0.3">
      <c r="A61" s="98" t="s">
        <v>246</v>
      </c>
      <c r="B61" s="71" t="s">
        <v>167</v>
      </c>
      <c r="C61">
        <v>57</v>
      </c>
      <c r="D61">
        <v>57</v>
      </c>
      <c r="F61" s="89">
        <v>2013</v>
      </c>
      <c r="G61" s="143">
        <f t="shared" ref="G61:S61" si="14">SUM(G62:G64)</f>
        <v>2682</v>
      </c>
      <c r="H61" s="143">
        <f t="shared" si="14"/>
        <v>4461</v>
      </c>
      <c r="I61" s="143">
        <f t="shared" si="14"/>
        <v>4385</v>
      </c>
      <c r="J61" s="143">
        <f t="shared" si="14"/>
        <v>3836</v>
      </c>
      <c r="K61" s="143">
        <f t="shared" si="14"/>
        <v>5807</v>
      </c>
      <c r="L61" s="143">
        <f t="shared" si="14"/>
        <v>2456</v>
      </c>
      <c r="M61" s="143">
        <f t="shared" si="14"/>
        <v>4236</v>
      </c>
      <c r="N61" s="143">
        <f t="shared" si="14"/>
        <v>4012</v>
      </c>
      <c r="O61" s="143">
        <f t="shared" si="14"/>
        <v>5994</v>
      </c>
      <c r="P61" s="143">
        <f t="shared" si="14"/>
        <v>4728</v>
      </c>
      <c r="Q61" s="143">
        <f t="shared" si="14"/>
        <v>1296</v>
      </c>
      <c r="R61" s="143">
        <f t="shared" si="14"/>
        <v>2672</v>
      </c>
      <c r="S61" s="143">
        <f t="shared" si="14"/>
        <v>46565</v>
      </c>
    </row>
    <row r="62" spans="1:19" ht="26.4" x14ac:dyDescent="0.7">
      <c r="A62" s="98" t="s">
        <v>246</v>
      </c>
      <c r="B62" s="71" t="s">
        <v>167</v>
      </c>
      <c r="C62">
        <v>58</v>
      </c>
      <c r="D62">
        <v>58</v>
      </c>
      <c r="E62">
        <v>57</v>
      </c>
      <c r="F62" s="91" t="s">
        <v>96</v>
      </c>
      <c r="G62" s="96">
        <v>779</v>
      </c>
      <c r="H62" s="96">
        <v>2891</v>
      </c>
      <c r="I62" s="96">
        <v>865</v>
      </c>
      <c r="J62" s="96">
        <v>88</v>
      </c>
      <c r="K62" s="96">
        <v>2004</v>
      </c>
      <c r="L62" s="96">
        <v>242</v>
      </c>
      <c r="M62" s="96">
        <v>3161</v>
      </c>
      <c r="N62" s="96">
        <v>2580</v>
      </c>
      <c r="O62" s="96">
        <v>3234</v>
      </c>
      <c r="P62" s="96">
        <v>2007</v>
      </c>
      <c r="Q62" s="96">
        <v>178</v>
      </c>
      <c r="R62" s="96">
        <v>1502</v>
      </c>
      <c r="S62" s="143">
        <f t="shared" ref="S62:S88" si="15">SUM(G62:R62)</f>
        <v>19531</v>
      </c>
    </row>
    <row r="63" spans="1:19" ht="26.4" x14ac:dyDescent="0.7">
      <c r="A63" s="98" t="s">
        <v>246</v>
      </c>
      <c r="B63" s="71" t="s">
        <v>167</v>
      </c>
      <c r="C63">
        <v>59</v>
      </c>
      <c r="D63">
        <v>59</v>
      </c>
      <c r="E63">
        <v>57</v>
      </c>
      <c r="F63" s="93" t="s">
        <v>141</v>
      </c>
      <c r="G63" s="96">
        <v>1143</v>
      </c>
      <c r="H63" s="96">
        <v>1082</v>
      </c>
      <c r="I63" s="96">
        <v>2864</v>
      </c>
      <c r="J63" s="96">
        <v>2648</v>
      </c>
      <c r="K63" s="96">
        <v>2525</v>
      </c>
      <c r="L63" s="96">
        <v>1889</v>
      </c>
      <c r="M63" s="96">
        <v>966</v>
      </c>
      <c r="N63" s="96">
        <v>1168</v>
      </c>
      <c r="O63" s="96">
        <v>2161</v>
      </c>
      <c r="P63" s="96">
        <v>2082</v>
      </c>
      <c r="Q63" s="96">
        <v>883</v>
      </c>
      <c r="R63" s="96">
        <v>963</v>
      </c>
      <c r="S63" s="143">
        <f t="shared" si="15"/>
        <v>20374</v>
      </c>
    </row>
    <row r="64" spans="1:19" ht="26.4" x14ac:dyDescent="0.7">
      <c r="A64" s="98" t="s">
        <v>246</v>
      </c>
      <c r="B64" s="71" t="s">
        <v>167</v>
      </c>
      <c r="C64">
        <v>60</v>
      </c>
      <c r="D64">
        <v>60</v>
      </c>
      <c r="E64">
        <v>57</v>
      </c>
      <c r="F64" s="93" t="s">
        <v>121</v>
      </c>
      <c r="G64" s="96">
        <v>760</v>
      </c>
      <c r="H64" s="96">
        <v>488</v>
      </c>
      <c r="I64" s="96">
        <v>656</v>
      </c>
      <c r="J64" s="96">
        <v>1100</v>
      </c>
      <c r="K64" s="96">
        <v>1278</v>
      </c>
      <c r="L64" s="96">
        <v>325</v>
      </c>
      <c r="M64" s="96">
        <v>109</v>
      </c>
      <c r="N64" s="96">
        <v>264</v>
      </c>
      <c r="O64" s="96">
        <v>599</v>
      </c>
      <c r="P64" s="96">
        <v>639</v>
      </c>
      <c r="Q64" s="96">
        <v>235</v>
      </c>
      <c r="R64" s="96">
        <v>207</v>
      </c>
      <c r="S64" s="143">
        <f t="shared" si="15"/>
        <v>6660</v>
      </c>
    </row>
    <row r="65" spans="1:19" ht="26.4" x14ac:dyDescent="0.3">
      <c r="A65" s="98" t="s">
        <v>246</v>
      </c>
      <c r="B65" s="71" t="s">
        <v>167</v>
      </c>
      <c r="C65">
        <v>61</v>
      </c>
      <c r="D65">
        <v>61</v>
      </c>
      <c r="F65" s="89">
        <v>2015</v>
      </c>
      <c r="G65" s="143">
        <f t="shared" ref="G65:R65" si="16">SUM(G66:G68)</f>
        <v>3559</v>
      </c>
      <c r="H65" s="143">
        <f t="shared" si="16"/>
        <v>6150</v>
      </c>
      <c r="I65" s="143">
        <f t="shared" si="16"/>
        <v>5901</v>
      </c>
      <c r="J65" s="143">
        <f t="shared" si="16"/>
        <v>6204</v>
      </c>
      <c r="K65" s="143">
        <f t="shared" si="16"/>
        <v>6590</v>
      </c>
      <c r="L65" s="143">
        <f t="shared" si="16"/>
        <v>3725</v>
      </c>
      <c r="M65" s="143">
        <f t="shared" si="16"/>
        <v>6819</v>
      </c>
      <c r="N65" s="143">
        <f t="shared" si="16"/>
        <v>6782</v>
      </c>
      <c r="O65" s="143">
        <f t="shared" si="16"/>
        <v>5398</v>
      </c>
      <c r="P65" s="143">
        <f t="shared" si="16"/>
        <v>5735</v>
      </c>
      <c r="Q65" s="143">
        <f t="shared" si="16"/>
        <v>4480</v>
      </c>
      <c r="R65" s="143">
        <f t="shared" si="16"/>
        <v>6224</v>
      </c>
      <c r="S65" s="143">
        <f t="shared" si="15"/>
        <v>67567</v>
      </c>
    </row>
    <row r="66" spans="1:19" ht="26.4" x14ac:dyDescent="0.7">
      <c r="A66" s="98" t="s">
        <v>246</v>
      </c>
      <c r="B66" s="71" t="s">
        <v>167</v>
      </c>
      <c r="C66">
        <v>62</v>
      </c>
      <c r="D66">
        <v>62</v>
      </c>
      <c r="E66">
        <v>61</v>
      </c>
      <c r="F66" s="91" t="s">
        <v>96</v>
      </c>
      <c r="G66" s="96">
        <v>1109</v>
      </c>
      <c r="H66" s="96">
        <v>838</v>
      </c>
      <c r="I66" s="96">
        <v>619</v>
      </c>
      <c r="J66" s="96">
        <v>1424</v>
      </c>
      <c r="K66" s="96">
        <v>1376</v>
      </c>
      <c r="L66" s="96">
        <v>0</v>
      </c>
      <c r="M66" s="96">
        <v>3529</v>
      </c>
      <c r="N66" s="96">
        <v>2749</v>
      </c>
      <c r="O66" s="96">
        <v>1183</v>
      </c>
      <c r="P66" s="96">
        <v>1083</v>
      </c>
      <c r="Q66" s="96">
        <v>24</v>
      </c>
      <c r="R66" s="96">
        <v>0</v>
      </c>
      <c r="S66" s="143">
        <f t="shared" si="15"/>
        <v>13934</v>
      </c>
    </row>
    <row r="67" spans="1:19" ht="26.4" x14ac:dyDescent="0.7">
      <c r="A67" s="98" t="s">
        <v>246</v>
      </c>
      <c r="B67" s="71" t="s">
        <v>167</v>
      </c>
      <c r="C67">
        <v>63</v>
      </c>
      <c r="D67">
        <v>63</v>
      </c>
      <c r="E67">
        <v>61</v>
      </c>
      <c r="F67" s="93" t="s">
        <v>141</v>
      </c>
      <c r="G67" s="96">
        <v>1985</v>
      </c>
      <c r="H67" s="96">
        <v>2822</v>
      </c>
      <c r="I67" s="96">
        <v>2509</v>
      </c>
      <c r="J67" s="96">
        <v>2575</v>
      </c>
      <c r="K67" s="96">
        <v>2696</v>
      </c>
      <c r="L67" s="96">
        <v>1183</v>
      </c>
      <c r="M67" s="96">
        <v>1502</v>
      </c>
      <c r="N67" s="96">
        <v>2185</v>
      </c>
      <c r="O67" s="96">
        <v>2575</v>
      </c>
      <c r="P67" s="96">
        <v>3042</v>
      </c>
      <c r="Q67" s="96">
        <v>1432</v>
      </c>
      <c r="R67" s="96">
        <v>2352</v>
      </c>
      <c r="S67" s="143">
        <f t="shared" si="15"/>
        <v>26858</v>
      </c>
    </row>
    <row r="68" spans="1:19" ht="26.4" x14ac:dyDescent="0.7">
      <c r="A68" s="98" t="s">
        <v>246</v>
      </c>
      <c r="B68" s="71" t="s">
        <v>167</v>
      </c>
      <c r="C68">
        <v>64</v>
      </c>
      <c r="D68">
        <v>64</v>
      </c>
      <c r="E68">
        <v>61</v>
      </c>
      <c r="F68" s="93" t="s">
        <v>121</v>
      </c>
      <c r="G68" s="96">
        <v>465</v>
      </c>
      <c r="H68" s="96">
        <v>2490</v>
      </c>
      <c r="I68" s="96">
        <v>2773</v>
      </c>
      <c r="J68" s="96">
        <v>2205</v>
      </c>
      <c r="K68" s="96">
        <v>2518</v>
      </c>
      <c r="L68" s="96">
        <v>2542</v>
      </c>
      <c r="M68" s="96">
        <v>1788</v>
      </c>
      <c r="N68" s="96">
        <v>1848</v>
      </c>
      <c r="O68" s="96">
        <v>1640</v>
      </c>
      <c r="P68" s="96">
        <v>1610</v>
      </c>
      <c r="Q68" s="96">
        <v>3024</v>
      </c>
      <c r="R68" s="96">
        <v>3872</v>
      </c>
      <c r="S68" s="143">
        <f t="shared" si="15"/>
        <v>26775</v>
      </c>
    </row>
    <row r="69" spans="1:19" ht="26.4" x14ac:dyDescent="0.3">
      <c r="A69" s="98" t="s">
        <v>246</v>
      </c>
      <c r="B69" s="71" t="s">
        <v>167</v>
      </c>
      <c r="C69">
        <v>65</v>
      </c>
      <c r="D69">
        <v>65</v>
      </c>
      <c r="F69" s="89">
        <v>2016</v>
      </c>
      <c r="G69" s="143">
        <f t="shared" ref="G69:R69" si="17">SUM(G70:G72)</f>
        <v>7355</v>
      </c>
      <c r="H69" s="143">
        <f t="shared" si="17"/>
        <v>5971</v>
      </c>
      <c r="I69" s="143">
        <f t="shared" si="17"/>
        <v>7827</v>
      </c>
      <c r="J69" s="143">
        <f t="shared" si="17"/>
        <v>6392</v>
      </c>
      <c r="K69" s="143">
        <f t="shared" si="17"/>
        <v>6214</v>
      </c>
      <c r="L69" s="143">
        <f t="shared" si="17"/>
        <v>4718</v>
      </c>
      <c r="M69" s="143">
        <f t="shared" si="17"/>
        <v>6416</v>
      </c>
      <c r="N69" s="143">
        <f t="shared" si="17"/>
        <v>6657</v>
      </c>
      <c r="O69" s="143">
        <f t="shared" si="17"/>
        <v>5365</v>
      </c>
      <c r="P69" s="143">
        <f t="shared" si="17"/>
        <v>6870</v>
      </c>
      <c r="Q69" s="143">
        <f t="shared" si="17"/>
        <v>6136</v>
      </c>
      <c r="R69" s="143">
        <f t="shared" si="17"/>
        <v>6142</v>
      </c>
      <c r="S69" s="143">
        <f t="shared" si="15"/>
        <v>76063</v>
      </c>
    </row>
    <row r="70" spans="1:19" ht="26.4" x14ac:dyDescent="0.7">
      <c r="A70" s="98" t="s">
        <v>246</v>
      </c>
      <c r="B70" s="71" t="s">
        <v>167</v>
      </c>
      <c r="C70">
        <v>66</v>
      </c>
      <c r="D70">
        <v>66</v>
      </c>
      <c r="E70">
        <v>65</v>
      </c>
      <c r="F70" s="91" t="s">
        <v>96</v>
      </c>
      <c r="G70" s="96">
        <v>2201</v>
      </c>
      <c r="H70" s="96">
        <v>462</v>
      </c>
      <c r="I70" s="96">
        <v>1416</v>
      </c>
      <c r="J70" s="96">
        <v>671</v>
      </c>
      <c r="K70" s="96">
        <v>880</v>
      </c>
      <c r="L70" s="96">
        <v>0</v>
      </c>
      <c r="M70" s="96">
        <v>3004</v>
      </c>
      <c r="N70" s="96">
        <v>1942</v>
      </c>
      <c r="O70" s="96">
        <v>1689</v>
      </c>
      <c r="P70" s="96">
        <v>1614</v>
      </c>
      <c r="Q70" s="96">
        <v>0</v>
      </c>
      <c r="R70" s="96">
        <v>0</v>
      </c>
      <c r="S70" s="143">
        <f t="shared" si="15"/>
        <v>13879</v>
      </c>
    </row>
    <row r="71" spans="1:19" ht="26.4" x14ac:dyDescent="0.7">
      <c r="A71" s="98" t="s">
        <v>246</v>
      </c>
      <c r="B71" s="71" t="s">
        <v>167</v>
      </c>
      <c r="C71">
        <v>67</v>
      </c>
      <c r="D71">
        <v>67</v>
      </c>
      <c r="E71">
        <v>65</v>
      </c>
      <c r="F71" s="93" t="s">
        <v>141</v>
      </c>
      <c r="G71" s="96">
        <v>2708</v>
      </c>
      <c r="H71" s="96">
        <v>2491</v>
      </c>
      <c r="I71" s="96">
        <v>2763</v>
      </c>
      <c r="J71" s="96">
        <v>2769</v>
      </c>
      <c r="K71" s="96">
        <v>2223</v>
      </c>
      <c r="L71" s="96">
        <v>1618</v>
      </c>
      <c r="M71" s="96">
        <v>1410</v>
      </c>
      <c r="N71" s="96">
        <v>2807</v>
      </c>
      <c r="O71" s="96">
        <v>1848</v>
      </c>
      <c r="P71" s="96">
        <v>2192</v>
      </c>
      <c r="Q71" s="96">
        <v>2265</v>
      </c>
      <c r="R71" s="96">
        <v>3063</v>
      </c>
      <c r="S71" s="143">
        <f t="shared" si="15"/>
        <v>28157</v>
      </c>
    </row>
    <row r="72" spans="1:19" ht="26.4" x14ac:dyDescent="0.7">
      <c r="A72" s="98" t="s">
        <v>246</v>
      </c>
      <c r="B72" s="71" t="s">
        <v>167</v>
      </c>
      <c r="C72">
        <v>68</v>
      </c>
      <c r="D72">
        <v>68</v>
      </c>
      <c r="E72">
        <v>65</v>
      </c>
      <c r="F72" s="93" t="s">
        <v>121</v>
      </c>
      <c r="G72" s="96">
        <v>2446</v>
      </c>
      <c r="H72" s="96">
        <v>3018</v>
      </c>
      <c r="I72" s="96">
        <v>3648</v>
      </c>
      <c r="J72" s="96">
        <v>2952</v>
      </c>
      <c r="K72" s="96">
        <v>3111</v>
      </c>
      <c r="L72" s="96">
        <v>3100</v>
      </c>
      <c r="M72" s="96">
        <v>2002</v>
      </c>
      <c r="N72" s="96">
        <v>1908</v>
      </c>
      <c r="O72" s="96">
        <v>1828</v>
      </c>
      <c r="P72" s="96">
        <v>3064</v>
      </c>
      <c r="Q72" s="96">
        <v>3871</v>
      </c>
      <c r="R72" s="96">
        <v>3079</v>
      </c>
      <c r="S72" s="143">
        <f t="shared" si="15"/>
        <v>34027</v>
      </c>
    </row>
    <row r="73" spans="1:19" ht="26.4" x14ac:dyDescent="0.3">
      <c r="A73" s="98" t="s">
        <v>246</v>
      </c>
      <c r="B73" s="71" t="s">
        <v>167</v>
      </c>
      <c r="C73">
        <v>69</v>
      </c>
      <c r="D73">
        <v>69</v>
      </c>
      <c r="F73" s="89">
        <v>2017</v>
      </c>
      <c r="G73" s="143">
        <f t="shared" ref="G73:R73" si="18">SUM(G74:G76)</f>
        <v>9088</v>
      </c>
      <c r="H73" s="143">
        <f t="shared" si="18"/>
        <v>8502</v>
      </c>
      <c r="I73" s="143">
        <f t="shared" si="18"/>
        <v>6729</v>
      </c>
      <c r="J73" s="143">
        <f t="shared" si="18"/>
        <v>5714</v>
      </c>
      <c r="K73" s="143">
        <f t="shared" si="18"/>
        <v>7451</v>
      </c>
      <c r="L73" s="143">
        <f t="shared" si="18"/>
        <v>4254</v>
      </c>
      <c r="M73" s="143">
        <f t="shared" si="18"/>
        <v>5256</v>
      </c>
      <c r="N73" s="143">
        <f t="shared" si="18"/>
        <v>7956</v>
      </c>
      <c r="O73" s="143">
        <f t="shared" si="18"/>
        <v>6426</v>
      </c>
      <c r="P73" s="143">
        <f t="shared" si="18"/>
        <v>7706</v>
      </c>
      <c r="Q73" s="143">
        <f t="shared" si="18"/>
        <v>4797</v>
      </c>
      <c r="R73" s="143">
        <f t="shared" si="18"/>
        <v>6717</v>
      </c>
      <c r="S73" s="143">
        <f t="shared" si="15"/>
        <v>80596</v>
      </c>
    </row>
    <row r="74" spans="1:19" ht="26.4" x14ac:dyDescent="0.7">
      <c r="A74" s="98" t="s">
        <v>246</v>
      </c>
      <c r="B74" s="71" t="s">
        <v>167</v>
      </c>
      <c r="C74">
        <v>70</v>
      </c>
      <c r="D74">
        <v>70</v>
      </c>
      <c r="E74">
        <v>69</v>
      </c>
      <c r="F74" s="91" t="s">
        <v>96</v>
      </c>
      <c r="G74" s="96">
        <v>2477</v>
      </c>
      <c r="H74" s="96">
        <v>3094</v>
      </c>
      <c r="I74" s="96">
        <v>1076</v>
      </c>
      <c r="J74" s="96">
        <v>472</v>
      </c>
      <c r="K74" s="96">
        <v>862</v>
      </c>
      <c r="L74" s="96">
        <v>48</v>
      </c>
      <c r="M74" s="96">
        <v>1073</v>
      </c>
      <c r="N74" s="96">
        <v>2116</v>
      </c>
      <c r="O74" s="96">
        <v>921</v>
      </c>
      <c r="P74" s="96">
        <v>1425</v>
      </c>
      <c r="Q74" s="96">
        <v>16</v>
      </c>
      <c r="R74" s="96">
        <v>923</v>
      </c>
      <c r="S74" s="143">
        <f t="shared" si="15"/>
        <v>14503</v>
      </c>
    </row>
    <row r="75" spans="1:19" ht="26.4" x14ac:dyDescent="0.7">
      <c r="A75" s="98" t="s">
        <v>246</v>
      </c>
      <c r="B75" s="71" t="s">
        <v>167</v>
      </c>
      <c r="C75">
        <v>71</v>
      </c>
      <c r="D75">
        <v>71</v>
      </c>
      <c r="E75">
        <v>69</v>
      </c>
      <c r="F75" s="93" t="s">
        <v>141</v>
      </c>
      <c r="G75" s="96">
        <v>3363</v>
      </c>
      <c r="H75" s="96">
        <v>3827</v>
      </c>
      <c r="I75" s="96">
        <v>3215</v>
      </c>
      <c r="J75" s="96">
        <v>2210</v>
      </c>
      <c r="K75" s="96">
        <v>3360</v>
      </c>
      <c r="L75" s="96">
        <v>1882</v>
      </c>
      <c r="M75" s="96">
        <v>2312</v>
      </c>
      <c r="N75" s="96">
        <v>3713</v>
      </c>
      <c r="O75" s="96">
        <v>2706</v>
      </c>
      <c r="P75" s="96">
        <v>2918</v>
      </c>
      <c r="Q75" s="96">
        <v>1645</v>
      </c>
      <c r="R75" s="96">
        <v>2300</v>
      </c>
      <c r="S75" s="143">
        <f t="shared" si="15"/>
        <v>33451</v>
      </c>
    </row>
    <row r="76" spans="1:19" ht="26.4" x14ac:dyDescent="0.7">
      <c r="A76" s="98" t="s">
        <v>246</v>
      </c>
      <c r="B76" s="71" t="s">
        <v>167</v>
      </c>
      <c r="C76">
        <v>72</v>
      </c>
      <c r="D76">
        <v>72</v>
      </c>
      <c r="E76">
        <v>69</v>
      </c>
      <c r="F76" s="93" t="s">
        <v>121</v>
      </c>
      <c r="G76" s="96">
        <v>3248</v>
      </c>
      <c r="H76" s="96">
        <v>1581</v>
      </c>
      <c r="I76" s="96">
        <v>2438</v>
      </c>
      <c r="J76" s="96">
        <v>3032</v>
      </c>
      <c r="K76" s="96">
        <v>3229</v>
      </c>
      <c r="L76" s="96">
        <v>2324</v>
      </c>
      <c r="M76" s="96">
        <v>1871</v>
      </c>
      <c r="N76" s="96">
        <v>2127</v>
      </c>
      <c r="O76" s="96">
        <v>2799</v>
      </c>
      <c r="P76" s="96">
        <v>3363</v>
      </c>
      <c r="Q76" s="96">
        <v>3136</v>
      </c>
      <c r="R76" s="96">
        <v>3494</v>
      </c>
      <c r="S76" s="143">
        <f t="shared" si="15"/>
        <v>32642</v>
      </c>
    </row>
    <row r="77" spans="1:19" ht="26.4" x14ac:dyDescent="0.3">
      <c r="A77" s="98" t="s">
        <v>246</v>
      </c>
      <c r="B77" s="71" t="s">
        <v>167</v>
      </c>
      <c r="C77">
        <v>73</v>
      </c>
      <c r="D77">
        <v>73</v>
      </c>
      <c r="F77" s="89">
        <v>2018</v>
      </c>
      <c r="G77" s="143">
        <f t="shared" ref="G77:R77" si="19">SUM(G78:G80)</f>
        <v>6708</v>
      </c>
      <c r="H77" s="143">
        <f t="shared" si="19"/>
        <v>9405</v>
      </c>
      <c r="I77" s="143">
        <f t="shared" si="19"/>
        <v>9413</v>
      </c>
      <c r="J77" s="143">
        <f t="shared" si="19"/>
        <v>8399</v>
      </c>
      <c r="K77" s="143">
        <f t="shared" si="19"/>
        <v>9155</v>
      </c>
      <c r="L77" s="143">
        <f t="shared" si="19"/>
        <v>5119</v>
      </c>
      <c r="M77" s="143">
        <f t="shared" si="19"/>
        <v>9843</v>
      </c>
      <c r="N77" s="143">
        <f t="shared" si="19"/>
        <v>9538</v>
      </c>
      <c r="O77" s="143">
        <f t="shared" si="19"/>
        <v>8685</v>
      </c>
      <c r="P77" s="143">
        <f t="shared" si="19"/>
        <v>9800</v>
      </c>
      <c r="Q77" s="143">
        <f t="shared" si="19"/>
        <v>7456</v>
      </c>
      <c r="R77" s="143">
        <f t="shared" si="19"/>
        <v>6835</v>
      </c>
      <c r="S77" s="143">
        <f t="shared" si="15"/>
        <v>100356</v>
      </c>
    </row>
    <row r="78" spans="1:19" ht="26.4" x14ac:dyDescent="0.7">
      <c r="A78" s="98" t="s">
        <v>246</v>
      </c>
      <c r="B78" s="71" t="s">
        <v>167</v>
      </c>
      <c r="C78">
        <v>74</v>
      </c>
      <c r="D78">
        <v>74</v>
      </c>
      <c r="E78">
        <v>73</v>
      </c>
      <c r="F78" s="91" t="s">
        <v>96</v>
      </c>
      <c r="G78" s="96">
        <v>923</v>
      </c>
      <c r="H78" s="96">
        <v>1313</v>
      </c>
      <c r="I78" s="96">
        <v>824</v>
      </c>
      <c r="J78" s="96">
        <v>615</v>
      </c>
      <c r="K78" s="96">
        <v>742</v>
      </c>
      <c r="L78" s="96">
        <v>0</v>
      </c>
      <c r="M78" s="96">
        <v>1550</v>
      </c>
      <c r="N78" s="96">
        <v>1140</v>
      </c>
      <c r="O78" s="96">
        <v>1432</v>
      </c>
      <c r="P78" s="96">
        <v>792</v>
      </c>
      <c r="Q78" s="96">
        <v>305</v>
      </c>
      <c r="R78" s="96">
        <v>25</v>
      </c>
      <c r="S78" s="143">
        <f t="shared" si="15"/>
        <v>9661</v>
      </c>
    </row>
    <row r="79" spans="1:19" ht="26.4" x14ac:dyDescent="0.7">
      <c r="A79" s="98" t="s">
        <v>246</v>
      </c>
      <c r="B79" s="71" t="s">
        <v>167</v>
      </c>
      <c r="C79">
        <v>75</v>
      </c>
      <c r="D79">
        <v>75</v>
      </c>
      <c r="E79">
        <v>73</v>
      </c>
      <c r="F79" s="93" t="s">
        <v>141</v>
      </c>
      <c r="G79" s="96">
        <v>2289</v>
      </c>
      <c r="H79" s="96">
        <v>3118</v>
      </c>
      <c r="I79" s="96">
        <v>3204</v>
      </c>
      <c r="J79" s="96">
        <v>3161</v>
      </c>
      <c r="K79" s="96">
        <v>3129</v>
      </c>
      <c r="L79" s="96">
        <v>1499</v>
      </c>
      <c r="M79" s="96">
        <v>2927</v>
      </c>
      <c r="N79" s="96">
        <v>3154</v>
      </c>
      <c r="O79" s="96">
        <v>2876</v>
      </c>
      <c r="P79" s="96">
        <v>2821</v>
      </c>
      <c r="Q79" s="96">
        <v>803</v>
      </c>
      <c r="R79" s="96">
        <v>1330</v>
      </c>
      <c r="S79" s="143">
        <f t="shared" si="15"/>
        <v>30311</v>
      </c>
    </row>
    <row r="80" spans="1:19" ht="26.4" x14ac:dyDescent="0.7">
      <c r="A80" s="98" t="s">
        <v>246</v>
      </c>
      <c r="B80" s="71" t="s">
        <v>167</v>
      </c>
      <c r="C80">
        <v>76</v>
      </c>
      <c r="D80">
        <v>76</v>
      </c>
      <c r="E80">
        <v>73</v>
      </c>
      <c r="F80" s="93" t="s">
        <v>121</v>
      </c>
      <c r="G80" s="96">
        <v>3496</v>
      </c>
      <c r="H80" s="96">
        <v>4974</v>
      </c>
      <c r="I80" s="96">
        <v>5385</v>
      </c>
      <c r="J80" s="96">
        <v>4623</v>
      </c>
      <c r="K80" s="96">
        <v>5284</v>
      </c>
      <c r="L80" s="96">
        <v>3620</v>
      </c>
      <c r="M80" s="96">
        <v>5366</v>
      </c>
      <c r="N80" s="96">
        <v>5244</v>
      </c>
      <c r="O80" s="96">
        <v>4377</v>
      </c>
      <c r="P80" s="96">
        <v>6187</v>
      </c>
      <c r="Q80" s="96">
        <v>6348</v>
      </c>
      <c r="R80" s="96">
        <v>5480</v>
      </c>
      <c r="S80" s="143">
        <f t="shared" si="15"/>
        <v>60384</v>
      </c>
    </row>
    <row r="81" spans="1:19" ht="26.4" x14ac:dyDescent="0.3">
      <c r="A81" s="98" t="s">
        <v>246</v>
      </c>
      <c r="B81" s="71" t="s">
        <v>167</v>
      </c>
      <c r="C81">
        <v>77</v>
      </c>
      <c r="D81">
        <v>77</v>
      </c>
      <c r="F81" s="89">
        <v>2019</v>
      </c>
      <c r="G81" s="143">
        <f t="shared" ref="G81:R81" si="20">SUM(G82:G84)</f>
        <v>7128</v>
      </c>
      <c r="H81" s="143">
        <f t="shared" si="20"/>
        <v>9148</v>
      </c>
      <c r="I81" s="143">
        <f t="shared" si="20"/>
        <v>8987</v>
      </c>
      <c r="J81" s="143">
        <f t="shared" si="20"/>
        <v>10643</v>
      </c>
      <c r="K81" s="143">
        <f t="shared" si="20"/>
        <v>10540</v>
      </c>
      <c r="L81" s="143">
        <f t="shared" si="20"/>
        <v>5966</v>
      </c>
      <c r="M81" s="143">
        <f t="shared" si="20"/>
        <v>8082</v>
      </c>
      <c r="N81" s="143">
        <f t="shared" si="20"/>
        <v>5355</v>
      </c>
      <c r="O81" s="143">
        <f t="shared" si="20"/>
        <v>9161</v>
      </c>
      <c r="P81" s="143">
        <f t="shared" si="20"/>
        <v>10318</v>
      </c>
      <c r="Q81" s="143">
        <f t="shared" si="20"/>
        <v>9600</v>
      </c>
      <c r="R81" s="143">
        <f t="shared" si="20"/>
        <v>11262</v>
      </c>
      <c r="S81" s="143">
        <f t="shared" si="15"/>
        <v>106190</v>
      </c>
    </row>
    <row r="82" spans="1:19" ht="26.4" x14ac:dyDescent="0.7">
      <c r="A82" s="98" t="s">
        <v>246</v>
      </c>
      <c r="B82" s="71" t="s">
        <v>167</v>
      </c>
      <c r="C82">
        <v>78</v>
      </c>
      <c r="D82">
        <v>78</v>
      </c>
      <c r="E82">
        <v>77</v>
      </c>
      <c r="F82" s="91" t="s">
        <v>96</v>
      </c>
      <c r="G82" s="96">
        <v>25</v>
      </c>
      <c r="H82" s="96">
        <v>839</v>
      </c>
      <c r="I82" s="96">
        <v>208</v>
      </c>
      <c r="J82" s="96">
        <v>2027</v>
      </c>
      <c r="K82" s="96">
        <v>2385</v>
      </c>
      <c r="L82" s="96">
        <v>370</v>
      </c>
      <c r="M82" s="96">
        <v>299</v>
      </c>
      <c r="N82" s="96">
        <v>636</v>
      </c>
      <c r="O82" s="96">
        <v>2319</v>
      </c>
      <c r="P82" s="96">
        <v>1177</v>
      </c>
      <c r="Q82" s="96">
        <v>535</v>
      </c>
      <c r="R82" s="96">
        <v>2110</v>
      </c>
      <c r="S82" s="143">
        <f t="shared" si="15"/>
        <v>12930</v>
      </c>
    </row>
    <row r="83" spans="1:19" ht="26.4" x14ac:dyDescent="0.7">
      <c r="A83" s="98" t="s">
        <v>246</v>
      </c>
      <c r="B83" s="71" t="s">
        <v>167</v>
      </c>
      <c r="C83">
        <v>79</v>
      </c>
      <c r="D83">
        <v>79</v>
      </c>
      <c r="E83">
        <v>77</v>
      </c>
      <c r="F83" s="93" t="s">
        <v>141</v>
      </c>
      <c r="G83" s="96">
        <v>2696</v>
      </c>
      <c r="H83" s="96">
        <v>4252</v>
      </c>
      <c r="I83" s="96">
        <v>3654</v>
      </c>
      <c r="J83" s="96">
        <v>3946</v>
      </c>
      <c r="K83" s="96">
        <v>3584</v>
      </c>
      <c r="L83" s="96">
        <v>1314</v>
      </c>
      <c r="M83" s="96">
        <v>3009</v>
      </c>
      <c r="N83" s="96">
        <v>2202</v>
      </c>
      <c r="O83" s="96">
        <v>3580</v>
      </c>
      <c r="P83" s="96">
        <v>4084</v>
      </c>
      <c r="Q83" s="96">
        <v>4120</v>
      </c>
      <c r="R83" s="96">
        <v>4434</v>
      </c>
      <c r="S83" s="143">
        <f t="shared" si="15"/>
        <v>40875</v>
      </c>
    </row>
    <row r="84" spans="1:19" ht="26.4" x14ac:dyDescent="0.7">
      <c r="A84" s="98" t="s">
        <v>246</v>
      </c>
      <c r="B84" s="71" t="s">
        <v>167</v>
      </c>
      <c r="C84">
        <v>80</v>
      </c>
      <c r="D84">
        <v>80</v>
      </c>
      <c r="E84">
        <v>77</v>
      </c>
      <c r="F84" s="93" t="s">
        <v>121</v>
      </c>
      <c r="G84" s="96">
        <v>4407</v>
      </c>
      <c r="H84" s="96">
        <v>4057</v>
      </c>
      <c r="I84" s="96">
        <v>5125</v>
      </c>
      <c r="J84" s="96">
        <v>4670</v>
      </c>
      <c r="K84" s="96">
        <v>4571</v>
      </c>
      <c r="L84" s="96">
        <v>4282</v>
      </c>
      <c r="M84" s="96">
        <v>4774</v>
      </c>
      <c r="N84" s="96">
        <v>2517</v>
      </c>
      <c r="O84" s="96">
        <v>3262</v>
      </c>
      <c r="P84" s="96">
        <v>5057</v>
      </c>
      <c r="Q84" s="96">
        <v>4945</v>
      </c>
      <c r="R84" s="96">
        <v>4718</v>
      </c>
      <c r="S84" s="143">
        <f t="shared" si="15"/>
        <v>52385</v>
      </c>
    </row>
    <row r="85" spans="1:19" ht="26.4" x14ac:dyDescent="0.3">
      <c r="A85" s="98" t="s">
        <v>246</v>
      </c>
      <c r="B85" s="71" t="s">
        <v>167</v>
      </c>
      <c r="C85">
        <v>81</v>
      </c>
      <c r="D85">
        <v>81</v>
      </c>
      <c r="F85" s="89">
        <v>2020</v>
      </c>
      <c r="G85" s="143">
        <f t="shared" ref="G85:R85" si="21">SUM(G86:G88)</f>
        <v>10558</v>
      </c>
      <c r="H85" s="143">
        <f t="shared" si="21"/>
        <v>9984</v>
      </c>
      <c r="I85" s="143">
        <f t="shared" si="21"/>
        <v>9916</v>
      </c>
      <c r="J85" s="143">
        <f t="shared" si="21"/>
        <v>5901</v>
      </c>
      <c r="K85" s="143">
        <f t="shared" si="21"/>
        <v>7474</v>
      </c>
      <c r="L85" s="143">
        <f t="shared" si="21"/>
        <v>10082</v>
      </c>
      <c r="M85" s="143">
        <f t="shared" si="21"/>
        <v>10804</v>
      </c>
      <c r="N85" s="143">
        <f t="shared" si="21"/>
        <v>9692</v>
      </c>
      <c r="O85" s="143">
        <f t="shared" si="21"/>
        <v>8726</v>
      </c>
      <c r="P85" s="143">
        <f t="shared" si="21"/>
        <v>10675</v>
      </c>
      <c r="Q85" s="143">
        <f t="shared" si="21"/>
        <v>17192</v>
      </c>
      <c r="R85" s="143">
        <f t="shared" si="21"/>
        <v>13036</v>
      </c>
      <c r="S85" s="143">
        <f t="shared" si="15"/>
        <v>124040</v>
      </c>
    </row>
    <row r="86" spans="1:19" ht="26.4" x14ac:dyDescent="0.7">
      <c r="A86" s="98" t="s">
        <v>246</v>
      </c>
      <c r="B86" s="71" t="s">
        <v>167</v>
      </c>
      <c r="C86">
        <v>82</v>
      </c>
      <c r="D86">
        <v>82</v>
      </c>
      <c r="E86">
        <v>81</v>
      </c>
      <c r="F86" s="91" t="s">
        <v>96</v>
      </c>
      <c r="G86" s="96">
        <v>1177</v>
      </c>
      <c r="H86" s="96">
        <v>739</v>
      </c>
      <c r="I86" s="96">
        <v>815</v>
      </c>
      <c r="J86" s="96">
        <v>145</v>
      </c>
      <c r="K86" s="96">
        <v>46</v>
      </c>
      <c r="L86" s="96">
        <v>1692</v>
      </c>
      <c r="M86" s="96">
        <v>589</v>
      </c>
      <c r="N86" s="96">
        <v>2125</v>
      </c>
      <c r="O86" s="96">
        <v>1051</v>
      </c>
      <c r="P86" s="96">
        <v>1357</v>
      </c>
      <c r="Q86" s="96">
        <v>0</v>
      </c>
      <c r="R86" s="96">
        <v>305</v>
      </c>
      <c r="S86" s="143">
        <f t="shared" si="15"/>
        <v>10041</v>
      </c>
    </row>
    <row r="87" spans="1:19" ht="26.4" x14ac:dyDescent="0.7">
      <c r="A87" s="98" t="s">
        <v>246</v>
      </c>
      <c r="B87" s="71" t="s">
        <v>167</v>
      </c>
      <c r="C87">
        <v>83</v>
      </c>
      <c r="D87">
        <v>83</v>
      </c>
      <c r="E87">
        <v>81</v>
      </c>
      <c r="F87" s="93" t="s">
        <v>141</v>
      </c>
      <c r="G87" s="96">
        <v>3958</v>
      </c>
      <c r="H87" s="96">
        <v>3959</v>
      </c>
      <c r="I87" s="96">
        <v>2906</v>
      </c>
      <c r="J87" s="96">
        <v>960</v>
      </c>
      <c r="K87" s="96">
        <v>1167</v>
      </c>
      <c r="L87" s="96">
        <v>2069</v>
      </c>
      <c r="M87" s="96">
        <v>1994</v>
      </c>
      <c r="N87" s="96">
        <v>2715</v>
      </c>
      <c r="O87" s="96">
        <v>3408</v>
      </c>
      <c r="P87" s="96">
        <v>4072</v>
      </c>
      <c r="Q87" s="96">
        <v>1841</v>
      </c>
      <c r="R87" s="96">
        <v>1685</v>
      </c>
      <c r="S87" s="143">
        <f t="shared" si="15"/>
        <v>30734</v>
      </c>
    </row>
    <row r="88" spans="1:19" ht="26.4" x14ac:dyDescent="0.7">
      <c r="A88" s="98" t="s">
        <v>246</v>
      </c>
      <c r="B88" s="71" t="s">
        <v>167</v>
      </c>
      <c r="C88">
        <v>84</v>
      </c>
      <c r="D88">
        <v>84</v>
      </c>
      <c r="E88">
        <v>81</v>
      </c>
      <c r="F88" s="93" t="s">
        <v>121</v>
      </c>
      <c r="G88" s="96">
        <v>5423</v>
      </c>
      <c r="H88" s="96">
        <v>5286</v>
      </c>
      <c r="I88" s="96">
        <v>6195</v>
      </c>
      <c r="J88" s="96">
        <v>4796</v>
      </c>
      <c r="K88" s="96">
        <v>6261</v>
      </c>
      <c r="L88" s="96">
        <v>6321</v>
      </c>
      <c r="M88" s="96">
        <v>8221</v>
      </c>
      <c r="N88" s="96">
        <v>4852</v>
      </c>
      <c r="O88" s="96">
        <v>4267</v>
      </c>
      <c r="P88" s="96">
        <v>5246</v>
      </c>
      <c r="Q88" s="96">
        <v>15351</v>
      </c>
      <c r="R88" s="96">
        <v>11046</v>
      </c>
      <c r="S88" s="143">
        <f t="shared" si="15"/>
        <v>83265</v>
      </c>
    </row>
    <row r="89" spans="1:19" ht="26.4" x14ac:dyDescent="0.7">
      <c r="A89" s="98" t="s">
        <v>246</v>
      </c>
      <c r="B89" s="71" t="s">
        <v>167</v>
      </c>
      <c r="C89">
        <v>85</v>
      </c>
      <c r="D89">
        <v>85</v>
      </c>
      <c r="F89" s="144">
        <v>2021</v>
      </c>
      <c r="G89" s="145">
        <f t="shared" ref="G89:S89" si="22">SUM(G90:G92)</f>
        <v>13442</v>
      </c>
      <c r="H89" s="145">
        <f t="shared" si="22"/>
        <v>11786</v>
      </c>
      <c r="I89" s="145">
        <f t="shared" si="22"/>
        <v>11512</v>
      </c>
      <c r="J89" s="145">
        <f t="shared" si="22"/>
        <v>13222</v>
      </c>
      <c r="K89" s="145">
        <f t="shared" si="22"/>
        <v>9315</v>
      </c>
      <c r="L89" s="145">
        <f t="shared" si="22"/>
        <v>9761</v>
      </c>
      <c r="M89" s="145">
        <f t="shared" si="22"/>
        <v>7968</v>
      </c>
      <c r="N89" s="145">
        <f t="shared" si="22"/>
        <v>11447</v>
      </c>
      <c r="O89" s="145">
        <f t="shared" si="22"/>
        <v>12165</v>
      </c>
      <c r="P89" s="145">
        <f t="shared" si="22"/>
        <v>15305</v>
      </c>
      <c r="Q89" s="145">
        <f t="shared" si="22"/>
        <v>16672</v>
      </c>
      <c r="R89" s="145">
        <f t="shared" si="22"/>
        <v>16690</v>
      </c>
      <c r="S89" s="145">
        <f t="shared" si="22"/>
        <v>149285</v>
      </c>
    </row>
    <row r="90" spans="1:19" ht="26.4" x14ac:dyDescent="0.7">
      <c r="A90" s="98" t="s">
        <v>246</v>
      </c>
      <c r="B90" s="71" t="s">
        <v>167</v>
      </c>
      <c r="C90">
        <v>86</v>
      </c>
      <c r="D90">
        <v>86</v>
      </c>
      <c r="E90">
        <v>85</v>
      </c>
      <c r="F90" s="91" t="s">
        <v>96</v>
      </c>
      <c r="G90" s="145">
        <v>586</v>
      </c>
      <c r="H90" s="145">
        <v>502</v>
      </c>
      <c r="I90" s="145">
        <v>561</v>
      </c>
      <c r="J90" s="145">
        <v>746</v>
      </c>
      <c r="K90" s="145">
        <v>249</v>
      </c>
      <c r="L90" s="145">
        <v>23</v>
      </c>
      <c r="M90" s="145">
        <v>0</v>
      </c>
      <c r="N90" s="145">
        <v>1774</v>
      </c>
      <c r="O90" s="145">
        <v>687</v>
      </c>
      <c r="P90" s="146">
        <v>217</v>
      </c>
      <c r="Q90" s="146">
        <v>73</v>
      </c>
      <c r="R90" s="146">
        <v>220</v>
      </c>
      <c r="S90" s="146">
        <v>5638</v>
      </c>
    </row>
    <row r="91" spans="1:19" ht="26.4" x14ac:dyDescent="0.7">
      <c r="A91" s="98" t="s">
        <v>246</v>
      </c>
      <c r="B91" s="71" t="s">
        <v>167</v>
      </c>
      <c r="C91">
        <v>87</v>
      </c>
      <c r="D91">
        <v>87</v>
      </c>
      <c r="E91">
        <v>85</v>
      </c>
      <c r="F91" s="93" t="s">
        <v>141</v>
      </c>
      <c r="G91" s="145">
        <v>2352</v>
      </c>
      <c r="H91" s="145">
        <v>3299</v>
      </c>
      <c r="I91" s="145">
        <v>2289</v>
      </c>
      <c r="J91" s="145">
        <v>2681</v>
      </c>
      <c r="K91" s="145">
        <v>1955</v>
      </c>
      <c r="L91" s="145">
        <v>1083</v>
      </c>
      <c r="M91" s="145">
        <v>1210</v>
      </c>
      <c r="N91" s="145">
        <v>2751</v>
      </c>
      <c r="O91" s="145">
        <v>3644</v>
      </c>
      <c r="P91" s="146">
        <v>3420</v>
      </c>
      <c r="Q91" s="146">
        <v>2469</v>
      </c>
      <c r="R91" s="146">
        <v>3759</v>
      </c>
      <c r="S91" s="146">
        <v>30912</v>
      </c>
    </row>
    <row r="92" spans="1:19" ht="26.4" x14ac:dyDescent="0.7">
      <c r="A92" s="98" t="s">
        <v>246</v>
      </c>
      <c r="B92" s="71" t="s">
        <v>167</v>
      </c>
      <c r="C92">
        <v>88</v>
      </c>
      <c r="D92">
        <v>88</v>
      </c>
      <c r="E92">
        <v>85</v>
      </c>
      <c r="F92" s="93" t="s">
        <v>121</v>
      </c>
      <c r="G92" s="145">
        <v>10504</v>
      </c>
      <c r="H92" s="145">
        <v>7985</v>
      </c>
      <c r="I92" s="145">
        <v>8662</v>
      </c>
      <c r="J92" s="145">
        <v>9795</v>
      </c>
      <c r="K92" s="145">
        <v>7111</v>
      </c>
      <c r="L92" s="145">
        <v>8655</v>
      </c>
      <c r="M92" s="145">
        <v>6758</v>
      </c>
      <c r="N92" s="145">
        <v>6922</v>
      </c>
      <c r="O92" s="145">
        <v>7834</v>
      </c>
      <c r="P92" s="146">
        <v>11668</v>
      </c>
      <c r="Q92" s="146">
        <v>14130</v>
      </c>
      <c r="R92" s="146">
        <v>12711</v>
      </c>
      <c r="S92" s="146">
        <v>112735</v>
      </c>
    </row>
    <row r="93" spans="1:19" ht="26.4" x14ac:dyDescent="0.7">
      <c r="A93" s="98" t="s">
        <v>246</v>
      </c>
      <c r="B93" s="71" t="s">
        <v>167</v>
      </c>
      <c r="C93">
        <v>89</v>
      </c>
      <c r="D93">
        <v>89</v>
      </c>
      <c r="F93" s="144">
        <v>2022</v>
      </c>
      <c r="G93" s="145">
        <v>14779</v>
      </c>
      <c r="H93" s="145">
        <v>12487</v>
      </c>
      <c r="I93" s="145">
        <v>10183</v>
      </c>
      <c r="J93" s="145">
        <v>11418</v>
      </c>
      <c r="K93" s="145">
        <v>12255</v>
      </c>
      <c r="L93" s="145">
        <v>12678</v>
      </c>
      <c r="M93" s="145">
        <v>10646</v>
      </c>
      <c r="N93" s="145">
        <v>15808</v>
      </c>
      <c r="O93" s="145">
        <v>16441</v>
      </c>
      <c r="P93" s="145">
        <v>17218</v>
      </c>
      <c r="Q93" s="145">
        <v>18790</v>
      </c>
      <c r="R93" s="145">
        <v>19309</v>
      </c>
      <c r="S93" s="145">
        <v>172012</v>
      </c>
    </row>
    <row r="94" spans="1:19" ht="26.4" x14ac:dyDescent="0.7">
      <c r="A94" s="98" t="s">
        <v>246</v>
      </c>
      <c r="B94" s="71" t="s">
        <v>167</v>
      </c>
      <c r="C94">
        <v>90</v>
      </c>
      <c r="D94">
        <v>90</v>
      </c>
      <c r="E94">
        <v>89</v>
      </c>
      <c r="F94" s="91" t="s">
        <v>96</v>
      </c>
      <c r="G94" s="145">
        <v>97</v>
      </c>
      <c r="H94" s="145">
        <v>0</v>
      </c>
      <c r="I94" s="145">
        <v>434</v>
      </c>
      <c r="J94" s="145">
        <v>570</v>
      </c>
      <c r="K94" s="145">
        <v>1226</v>
      </c>
      <c r="L94" s="145">
        <v>2085</v>
      </c>
      <c r="M94" s="145">
        <v>435</v>
      </c>
      <c r="N94" s="145">
        <v>1422</v>
      </c>
      <c r="O94" s="145">
        <v>2168</v>
      </c>
      <c r="P94" s="146">
        <v>249</v>
      </c>
      <c r="Q94" s="146">
        <v>2074</v>
      </c>
      <c r="R94" s="146">
        <v>610</v>
      </c>
      <c r="S94" s="146">
        <v>11370</v>
      </c>
    </row>
    <row r="95" spans="1:19" ht="26.4" x14ac:dyDescent="0.7">
      <c r="A95" s="98" t="s">
        <v>246</v>
      </c>
      <c r="B95" s="71" t="s">
        <v>167</v>
      </c>
      <c r="C95">
        <v>91</v>
      </c>
      <c r="D95">
        <v>91</v>
      </c>
      <c r="E95">
        <v>89</v>
      </c>
      <c r="F95" s="93" t="s">
        <v>141</v>
      </c>
      <c r="G95" s="145">
        <v>3734</v>
      </c>
      <c r="H95" s="145">
        <v>4326</v>
      </c>
      <c r="I95" s="145">
        <v>3153</v>
      </c>
      <c r="J95" s="145">
        <v>2626</v>
      </c>
      <c r="K95" s="145">
        <v>2573</v>
      </c>
      <c r="L95" s="145">
        <v>1117</v>
      </c>
      <c r="M95" s="145">
        <v>2359</v>
      </c>
      <c r="N95" s="145">
        <v>4090</v>
      </c>
      <c r="O95" s="145">
        <v>3685</v>
      </c>
      <c r="P95" s="146">
        <v>3246</v>
      </c>
      <c r="Q95" s="146">
        <v>1526</v>
      </c>
      <c r="R95" s="146">
        <v>1720</v>
      </c>
      <c r="S95" s="146">
        <v>34155</v>
      </c>
    </row>
    <row r="96" spans="1:19" ht="26.4" x14ac:dyDescent="0.7">
      <c r="A96" s="98" t="s">
        <v>246</v>
      </c>
      <c r="B96" s="71" t="s">
        <v>167</v>
      </c>
      <c r="C96">
        <v>92</v>
      </c>
      <c r="D96">
        <v>92</v>
      </c>
      <c r="E96">
        <v>89</v>
      </c>
      <c r="F96" s="93" t="s">
        <v>121</v>
      </c>
      <c r="G96" s="145">
        <v>10403</v>
      </c>
      <c r="H96" s="145">
        <v>7265</v>
      </c>
      <c r="I96" s="145">
        <v>5574</v>
      </c>
      <c r="J96" s="145">
        <v>6379</v>
      </c>
      <c r="K96" s="145">
        <v>6840</v>
      </c>
      <c r="L96" s="145">
        <v>7648</v>
      </c>
      <c r="M96" s="145">
        <v>6753</v>
      </c>
      <c r="N96" s="145">
        <v>8953</v>
      </c>
      <c r="O96" s="145">
        <v>9058</v>
      </c>
      <c r="P96" s="146">
        <v>11566</v>
      </c>
      <c r="Q96" s="146">
        <v>14236</v>
      </c>
      <c r="R96" s="146">
        <v>15949</v>
      </c>
      <c r="S96" s="146">
        <v>110624</v>
      </c>
    </row>
    <row r="97" spans="1:19" ht="26.4" x14ac:dyDescent="0.7">
      <c r="A97" s="98" t="s">
        <v>246</v>
      </c>
      <c r="B97" s="71" t="s">
        <v>167</v>
      </c>
      <c r="C97">
        <v>93</v>
      </c>
      <c r="D97">
        <v>93</v>
      </c>
      <c r="F97" s="144">
        <v>2023</v>
      </c>
      <c r="G97" s="145">
        <v>19941</v>
      </c>
      <c r="H97" s="145">
        <v>15389</v>
      </c>
      <c r="I97" s="145">
        <v>14857</v>
      </c>
      <c r="J97" s="145">
        <v>9891</v>
      </c>
      <c r="K97" s="145">
        <v>9996</v>
      </c>
      <c r="L97" s="145">
        <v>9888</v>
      </c>
      <c r="M97" s="145">
        <v>7763</v>
      </c>
      <c r="N97" s="145">
        <v>13085</v>
      </c>
      <c r="O97" s="145">
        <v>8768</v>
      </c>
      <c r="P97" s="145">
        <v>12063</v>
      </c>
      <c r="Q97" s="145">
        <v>12195</v>
      </c>
      <c r="R97" s="145">
        <v>15525</v>
      </c>
      <c r="S97" s="145">
        <v>149361</v>
      </c>
    </row>
    <row r="98" spans="1:19" ht="26.4" x14ac:dyDescent="0.7">
      <c r="A98" s="98" t="s">
        <v>246</v>
      </c>
      <c r="B98" s="71" t="s">
        <v>167</v>
      </c>
      <c r="C98">
        <v>94</v>
      </c>
      <c r="D98">
        <v>94</v>
      </c>
      <c r="E98">
        <v>93</v>
      </c>
      <c r="F98" s="91" t="s">
        <v>96</v>
      </c>
      <c r="G98" s="145">
        <v>1281</v>
      </c>
      <c r="H98" s="145">
        <v>749</v>
      </c>
      <c r="I98" s="145">
        <v>399</v>
      </c>
      <c r="J98" s="145">
        <v>381</v>
      </c>
      <c r="K98" s="145">
        <v>639</v>
      </c>
      <c r="L98" s="145">
        <v>390</v>
      </c>
      <c r="M98" s="145">
        <v>24</v>
      </c>
      <c r="N98" s="145">
        <v>2002</v>
      </c>
      <c r="O98" s="145">
        <v>1241</v>
      </c>
      <c r="P98" s="146">
        <v>1144</v>
      </c>
      <c r="Q98" s="146">
        <v>263</v>
      </c>
      <c r="R98" s="146">
        <v>73</v>
      </c>
      <c r="S98" s="146">
        <v>8586</v>
      </c>
    </row>
    <row r="99" spans="1:19" ht="26.4" x14ac:dyDescent="0.7">
      <c r="A99" s="98" t="s">
        <v>246</v>
      </c>
      <c r="B99" s="71" t="s">
        <v>167</v>
      </c>
      <c r="C99">
        <v>95</v>
      </c>
      <c r="D99">
        <v>95</v>
      </c>
      <c r="E99">
        <v>93</v>
      </c>
      <c r="F99" s="93" t="s">
        <v>141</v>
      </c>
      <c r="G99" s="145">
        <v>5294</v>
      </c>
      <c r="H99" s="145">
        <v>3624</v>
      </c>
      <c r="I99" s="145">
        <v>2785</v>
      </c>
      <c r="J99" s="145">
        <v>2011</v>
      </c>
      <c r="K99" s="145">
        <v>2507</v>
      </c>
      <c r="L99" s="145">
        <v>1681</v>
      </c>
      <c r="M99" s="145">
        <v>1663</v>
      </c>
      <c r="N99" s="145">
        <v>2649</v>
      </c>
      <c r="O99" s="145">
        <v>2226</v>
      </c>
      <c r="P99" s="146">
        <v>1997</v>
      </c>
      <c r="Q99" s="146">
        <v>1284</v>
      </c>
      <c r="R99" s="146">
        <v>2092</v>
      </c>
      <c r="S99" s="146">
        <v>29813</v>
      </c>
    </row>
    <row r="100" spans="1:19" ht="26.4" x14ac:dyDescent="0.7">
      <c r="A100" s="98" t="s">
        <v>246</v>
      </c>
      <c r="B100" s="71" t="s">
        <v>167</v>
      </c>
      <c r="C100">
        <v>96</v>
      </c>
      <c r="D100">
        <v>96</v>
      </c>
      <c r="E100">
        <v>93</v>
      </c>
      <c r="F100" s="93" t="s">
        <v>121</v>
      </c>
      <c r="G100" s="145">
        <v>13366</v>
      </c>
      <c r="H100" s="145">
        <v>11016</v>
      </c>
      <c r="I100" s="145">
        <v>11673</v>
      </c>
      <c r="J100" s="145">
        <v>7499</v>
      </c>
      <c r="K100" s="145">
        <v>6850</v>
      </c>
      <c r="L100" s="145">
        <v>7817</v>
      </c>
      <c r="M100" s="145">
        <v>6076</v>
      </c>
      <c r="N100" s="145">
        <v>8434</v>
      </c>
      <c r="O100" s="145">
        <v>5301</v>
      </c>
      <c r="P100" s="146">
        <v>8922</v>
      </c>
      <c r="Q100" s="146">
        <v>10648</v>
      </c>
      <c r="R100" s="146">
        <v>13360</v>
      </c>
      <c r="S100" s="147">
        <v>110962</v>
      </c>
    </row>
    <row r="101" spans="1:19" ht="26.4" x14ac:dyDescent="0.7">
      <c r="A101" s="98" t="s">
        <v>246</v>
      </c>
      <c r="B101" s="71" t="s">
        <v>167</v>
      </c>
      <c r="C101">
        <v>97</v>
      </c>
      <c r="D101">
        <v>97</v>
      </c>
      <c r="F101" s="144">
        <v>2024</v>
      </c>
      <c r="G101" s="148">
        <f t="shared" ref="G101:S101" si="23">SUM(G102:G104)</f>
        <v>18730</v>
      </c>
      <c r="H101" s="148">
        <f t="shared" si="23"/>
        <v>18697</v>
      </c>
      <c r="I101" s="148">
        <f t="shared" si="23"/>
        <v>13282</v>
      </c>
      <c r="J101" s="148">
        <f t="shared" si="23"/>
        <v>9851</v>
      </c>
      <c r="K101" s="148">
        <f t="shared" si="23"/>
        <v>12643</v>
      </c>
      <c r="L101" s="148">
        <f t="shared" si="23"/>
        <v>7484</v>
      </c>
      <c r="M101" s="148">
        <f t="shared" si="23"/>
        <v>11986</v>
      </c>
      <c r="N101" s="148">
        <f t="shared" si="23"/>
        <v>12016</v>
      </c>
      <c r="O101" s="148">
        <f t="shared" si="23"/>
        <v>11322</v>
      </c>
      <c r="P101" s="148">
        <f t="shared" si="23"/>
        <v>18855</v>
      </c>
      <c r="Q101" s="148">
        <f t="shared" si="23"/>
        <v>14517</v>
      </c>
      <c r="R101" s="148">
        <f t="shared" si="23"/>
        <v>14012</v>
      </c>
      <c r="S101" s="148">
        <f t="shared" si="23"/>
        <v>163395</v>
      </c>
    </row>
    <row r="102" spans="1:19" ht="26.4" x14ac:dyDescent="0.7">
      <c r="A102" s="98" t="s">
        <v>246</v>
      </c>
      <c r="B102" s="71" t="s">
        <v>167</v>
      </c>
      <c r="C102">
        <v>98</v>
      </c>
      <c r="D102">
        <v>98</v>
      </c>
      <c r="E102">
        <v>97</v>
      </c>
      <c r="F102" s="91" t="s">
        <v>96</v>
      </c>
      <c r="G102" s="145">
        <v>73</v>
      </c>
      <c r="H102" s="145">
        <v>1218</v>
      </c>
      <c r="I102" s="145">
        <v>519</v>
      </c>
      <c r="J102" s="145">
        <v>323</v>
      </c>
      <c r="K102" s="145">
        <v>486</v>
      </c>
      <c r="L102" s="145">
        <v>0</v>
      </c>
      <c r="M102" s="145">
        <v>547</v>
      </c>
      <c r="N102" s="145">
        <v>1813</v>
      </c>
      <c r="O102" s="145">
        <v>1959</v>
      </c>
      <c r="P102" s="145">
        <v>944</v>
      </c>
      <c r="Q102" s="145">
        <v>45</v>
      </c>
      <c r="R102" s="145">
        <v>149</v>
      </c>
      <c r="S102" s="145">
        <v>8076</v>
      </c>
    </row>
    <row r="103" spans="1:19" ht="26.4" x14ac:dyDescent="0.7">
      <c r="A103" s="98" t="s">
        <v>246</v>
      </c>
      <c r="B103" s="71" t="s">
        <v>167</v>
      </c>
      <c r="C103">
        <v>99</v>
      </c>
      <c r="D103">
        <v>99</v>
      </c>
      <c r="E103">
        <v>97</v>
      </c>
      <c r="F103" s="93" t="s">
        <v>141</v>
      </c>
      <c r="G103" s="145">
        <v>4854</v>
      </c>
      <c r="H103" s="145">
        <v>5672</v>
      </c>
      <c r="I103" s="145">
        <v>3729</v>
      </c>
      <c r="J103" s="145">
        <v>2573</v>
      </c>
      <c r="K103" s="145">
        <v>2848</v>
      </c>
      <c r="L103" s="145">
        <v>1260</v>
      </c>
      <c r="M103" s="145">
        <v>2179</v>
      </c>
      <c r="N103" s="145">
        <v>3637</v>
      </c>
      <c r="O103" s="145">
        <v>3413</v>
      </c>
      <c r="P103" s="145">
        <v>4312</v>
      </c>
      <c r="Q103" s="145">
        <v>844</v>
      </c>
      <c r="R103" s="145">
        <v>3007</v>
      </c>
      <c r="S103" s="145">
        <v>38328</v>
      </c>
    </row>
    <row r="104" spans="1:19" ht="26.4" x14ac:dyDescent="0.7">
      <c r="A104" s="98" t="s">
        <v>246</v>
      </c>
      <c r="B104" s="71" t="s">
        <v>167</v>
      </c>
      <c r="C104">
        <v>100</v>
      </c>
      <c r="D104">
        <v>100</v>
      </c>
      <c r="E104">
        <v>97</v>
      </c>
      <c r="F104" s="93" t="s">
        <v>121</v>
      </c>
      <c r="G104" s="145">
        <v>13803</v>
      </c>
      <c r="H104" s="145">
        <v>11807</v>
      </c>
      <c r="I104" s="145">
        <v>9034</v>
      </c>
      <c r="J104" s="145">
        <v>6955</v>
      </c>
      <c r="K104" s="145">
        <v>9309</v>
      </c>
      <c r="L104" s="145">
        <v>6224</v>
      </c>
      <c r="M104" s="145">
        <v>9260</v>
      </c>
      <c r="N104" s="145">
        <v>6566</v>
      </c>
      <c r="O104" s="145">
        <v>5950</v>
      </c>
      <c r="P104" s="145">
        <v>13599</v>
      </c>
      <c r="Q104" s="145">
        <v>13628</v>
      </c>
      <c r="R104" s="145">
        <v>10856</v>
      </c>
      <c r="S104" s="145">
        <v>116991</v>
      </c>
    </row>
    <row r="197" spans="6:19" ht="26.4" x14ac:dyDescent="0.7">
      <c r="F197" s="149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2"/>
    </row>
    <row r="198" spans="6:19" ht="26.4" x14ac:dyDescent="0.7">
      <c r="F198" s="149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2"/>
    </row>
    <row r="199" spans="6:19" ht="27" x14ac:dyDescent="0.75">
      <c r="F199" s="149"/>
      <c r="G199" s="138"/>
      <c r="H199" s="138"/>
      <c r="I199" s="138"/>
      <c r="J199" s="138"/>
      <c r="K199" s="138"/>
      <c r="L199" s="138"/>
      <c r="M199" s="138"/>
      <c r="N199" s="138"/>
      <c r="O199" s="138"/>
      <c r="P199" s="139"/>
      <c r="Q199" s="139"/>
      <c r="R199" s="140"/>
      <c r="S199" s="141"/>
    </row>
    <row r="200" spans="6:19" ht="27" x14ac:dyDescent="0.75">
      <c r="F200" s="71" t="s">
        <v>167</v>
      </c>
      <c r="G200" s="138"/>
      <c r="H200" s="138"/>
      <c r="I200" s="138"/>
      <c r="J200" s="138"/>
      <c r="K200" s="138"/>
      <c r="L200" s="138"/>
      <c r="M200" s="138"/>
      <c r="N200" s="138"/>
      <c r="O200" s="138"/>
      <c r="P200" s="139"/>
      <c r="Q200" s="139"/>
      <c r="R200" s="140"/>
      <c r="S200" s="141"/>
    </row>
    <row r="201" spans="6:19" ht="27" x14ac:dyDescent="0.75">
      <c r="F201" s="149"/>
      <c r="G201" s="138"/>
      <c r="H201" s="138"/>
      <c r="I201" s="138"/>
      <c r="J201" s="138"/>
      <c r="K201" s="138"/>
      <c r="L201" s="138"/>
      <c r="M201" s="138"/>
      <c r="N201" s="138"/>
      <c r="O201" s="138"/>
      <c r="P201" s="139"/>
      <c r="Q201" s="139"/>
      <c r="R201" s="140"/>
      <c r="S201" s="1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72F0-C18C-40A9-B06C-1FDF70480C37}">
  <sheetPr>
    <tabColor rgb="FFFFFF00"/>
  </sheetPr>
  <dimension ref="A1:S102"/>
  <sheetViews>
    <sheetView zoomScale="68" workbookViewId="0">
      <selection activeCell="A3" sqref="A3"/>
    </sheetView>
  </sheetViews>
  <sheetFormatPr baseColWidth="10" defaultRowHeight="14.4" x14ac:dyDescent="0.3"/>
  <cols>
    <col min="6" max="6" width="25.33203125" bestFit="1" customWidth="1"/>
  </cols>
  <sheetData>
    <row r="1" spans="1:19" ht="15" thickBot="1" x14ac:dyDescent="0.35"/>
    <row r="2" spans="1:19" ht="30" x14ac:dyDescent="0.3">
      <c r="A2" s="13" t="s">
        <v>3</v>
      </c>
      <c r="B2" s="13" t="s">
        <v>4</v>
      </c>
      <c r="C2" s="13" t="s">
        <v>6</v>
      </c>
      <c r="D2" s="13" t="s">
        <v>7</v>
      </c>
      <c r="E2" s="13" t="s">
        <v>8</v>
      </c>
      <c r="F2" s="207" t="s">
        <v>244</v>
      </c>
      <c r="G2" s="2" t="s">
        <v>14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203</v>
      </c>
      <c r="P2" s="2" t="s">
        <v>24</v>
      </c>
      <c r="Q2" s="2" t="s">
        <v>204</v>
      </c>
      <c r="R2" s="2" t="s">
        <v>205</v>
      </c>
      <c r="S2" s="2" t="s">
        <v>177</v>
      </c>
    </row>
    <row r="3" spans="1:19" ht="26.4" x14ac:dyDescent="0.3">
      <c r="A3" t="s">
        <v>248</v>
      </c>
      <c r="B3" s="71" t="s">
        <v>167</v>
      </c>
      <c r="C3">
        <v>1</v>
      </c>
      <c r="D3">
        <v>1</v>
      </c>
      <c r="F3" s="89">
        <v>1999</v>
      </c>
      <c r="G3" s="95">
        <v>2529</v>
      </c>
      <c r="H3" s="95">
        <v>18522</v>
      </c>
      <c r="I3" s="95">
        <v>5105</v>
      </c>
      <c r="J3" s="95">
        <v>16582</v>
      </c>
      <c r="K3" s="95">
        <v>6204</v>
      </c>
      <c r="L3" s="95">
        <v>7623</v>
      </c>
      <c r="M3" s="95">
        <v>2502</v>
      </c>
      <c r="N3" s="95">
        <v>7260</v>
      </c>
      <c r="O3" s="95">
        <v>2592</v>
      </c>
      <c r="P3" s="95">
        <v>13855</v>
      </c>
      <c r="Q3" s="95">
        <v>3141</v>
      </c>
      <c r="R3" s="95">
        <v>1728</v>
      </c>
      <c r="S3" s="95">
        <v>87643</v>
      </c>
    </row>
    <row r="4" spans="1:19" ht="26.4" x14ac:dyDescent="0.3">
      <c r="A4" t="s">
        <v>247</v>
      </c>
      <c r="B4" s="71" t="s">
        <v>167</v>
      </c>
      <c r="C4">
        <v>2</v>
      </c>
      <c r="D4">
        <v>2</v>
      </c>
      <c r="E4">
        <v>1</v>
      </c>
      <c r="F4" s="91" t="s">
        <v>206</v>
      </c>
      <c r="G4" s="95">
        <v>1962</v>
      </c>
      <c r="H4" s="95">
        <v>8309</v>
      </c>
      <c r="I4" s="95">
        <v>740</v>
      </c>
      <c r="J4" s="95">
        <v>12815</v>
      </c>
      <c r="K4" s="95">
        <v>4180</v>
      </c>
      <c r="L4" s="95">
        <v>3738</v>
      </c>
      <c r="M4" s="95">
        <v>405</v>
      </c>
      <c r="N4" s="95">
        <v>5374</v>
      </c>
      <c r="O4" s="95">
        <v>0</v>
      </c>
      <c r="P4" s="95">
        <v>12347</v>
      </c>
      <c r="Q4" s="95">
        <v>590</v>
      </c>
      <c r="R4" s="95">
        <v>46</v>
      </c>
      <c r="S4" s="95">
        <v>50506</v>
      </c>
    </row>
    <row r="5" spans="1:19" ht="26.4" x14ac:dyDescent="0.3">
      <c r="A5" t="s">
        <v>247</v>
      </c>
      <c r="B5" s="71" t="s">
        <v>167</v>
      </c>
      <c r="C5">
        <v>3</v>
      </c>
      <c r="D5">
        <v>3</v>
      </c>
      <c r="E5">
        <v>1</v>
      </c>
      <c r="F5" s="93" t="s">
        <v>207</v>
      </c>
      <c r="G5" s="95">
        <v>562</v>
      </c>
      <c r="H5" s="95">
        <v>10170</v>
      </c>
      <c r="I5" s="95">
        <v>4343</v>
      </c>
      <c r="J5" s="95">
        <v>3706</v>
      </c>
      <c r="K5" s="95">
        <v>1978</v>
      </c>
      <c r="L5" s="95">
        <v>3816</v>
      </c>
      <c r="M5" s="95">
        <v>2052</v>
      </c>
      <c r="N5" s="95">
        <v>1862</v>
      </c>
      <c r="O5" s="95">
        <v>2502</v>
      </c>
      <c r="P5" s="95">
        <v>1499</v>
      </c>
      <c r="Q5" s="95">
        <v>2547</v>
      </c>
      <c r="R5" s="95">
        <v>1675</v>
      </c>
      <c r="S5" s="95">
        <v>36712</v>
      </c>
    </row>
    <row r="6" spans="1:19" ht="26.4" x14ac:dyDescent="0.3">
      <c r="A6" t="s">
        <v>247</v>
      </c>
      <c r="B6" s="71" t="s">
        <v>167</v>
      </c>
      <c r="C6">
        <v>4</v>
      </c>
      <c r="D6">
        <v>4</v>
      </c>
      <c r="E6">
        <v>1</v>
      </c>
      <c r="F6" s="93" t="s">
        <v>208</v>
      </c>
      <c r="G6" s="95">
        <v>5</v>
      </c>
      <c r="H6" s="95">
        <v>43</v>
      </c>
      <c r="I6" s="95">
        <v>22</v>
      </c>
      <c r="J6" s="95">
        <v>61</v>
      </c>
      <c r="K6" s="95">
        <v>46</v>
      </c>
      <c r="L6" s="95">
        <v>69</v>
      </c>
      <c r="M6" s="95">
        <v>45</v>
      </c>
      <c r="N6" s="95">
        <v>24</v>
      </c>
      <c r="O6" s="95">
        <v>90</v>
      </c>
      <c r="P6" s="95">
        <v>9</v>
      </c>
      <c r="Q6" s="95">
        <v>4</v>
      </c>
      <c r="R6" s="95">
        <v>7</v>
      </c>
      <c r="S6" s="95">
        <v>425</v>
      </c>
    </row>
    <row r="7" spans="1:19" ht="26.4" x14ac:dyDescent="0.3">
      <c r="A7" t="s">
        <v>247</v>
      </c>
      <c r="B7" s="71" t="s">
        <v>167</v>
      </c>
      <c r="C7">
        <v>5</v>
      </c>
      <c r="D7">
        <v>5</v>
      </c>
      <c r="F7" s="89">
        <v>2000</v>
      </c>
      <c r="G7" s="95">
        <v>3183</v>
      </c>
      <c r="H7" s="95">
        <v>8894</v>
      </c>
      <c r="I7" s="95">
        <v>14251</v>
      </c>
      <c r="J7" s="95">
        <v>5299</v>
      </c>
      <c r="K7" s="95">
        <v>9968</v>
      </c>
      <c r="L7" s="95">
        <v>4086</v>
      </c>
      <c r="M7" s="95">
        <v>12437</v>
      </c>
      <c r="N7" s="95">
        <v>11119</v>
      </c>
      <c r="O7" s="95">
        <v>15345</v>
      </c>
      <c r="P7" s="95">
        <v>1925</v>
      </c>
      <c r="Q7" s="95">
        <v>349</v>
      </c>
      <c r="R7" s="95">
        <v>3255</v>
      </c>
      <c r="S7" s="95">
        <v>90111</v>
      </c>
    </row>
    <row r="8" spans="1:19" ht="26.4" x14ac:dyDescent="0.3">
      <c r="A8" t="s">
        <v>247</v>
      </c>
      <c r="B8" s="71" t="s">
        <v>167</v>
      </c>
      <c r="C8">
        <v>6</v>
      </c>
      <c r="D8">
        <v>6</v>
      </c>
      <c r="E8">
        <v>5</v>
      </c>
      <c r="F8" s="91" t="s">
        <v>206</v>
      </c>
      <c r="G8" s="95">
        <v>0</v>
      </c>
      <c r="H8" s="95">
        <v>269</v>
      </c>
      <c r="I8" s="95">
        <v>8152</v>
      </c>
      <c r="J8" s="95">
        <v>1006</v>
      </c>
      <c r="K8" s="95">
        <v>6291</v>
      </c>
      <c r="L8" s="95">
        <v>978</v>
      </c>
      <c r="M8" s="95">
        <v>6112</v>
      </c>
      <c r="N8" s="95">
        <v>7177</v>
      </c>
      <c r="O8" s="95">
        <v>11338</v>
      </c>
      <c r="P8" s="95">
        <v>0</v>
      </c>
      <c r="Q8" s="95">
        <v>0</v>
      </c>
      <c r="R8" s="95">
        <v>615</v>
      </c>
      <c r="S8" s="95">
        <v>41938</v>
      </c>
    </row>
    <row r="9" spans="1:19" ht="26.4" x14ac:dyDescent="0.3">
      <c r="A9" t="s">
        <v>247</v>
      </c>
      <c r="B9" s="71" t="s">
        <v>167</v>
      </c>
      <c r="C9">
        <v>7</v>
      </c>
      <c r="D9">
        <v>7</v>
      </c>
      <c r="E9">
        <v>5</v>
      </c>
      <c r="F9" s="93" t="s">
        <v>207</v>
      </c>
      <c r="G9" s="95">
        <v>3130</v>
      </c>
      <c r="H9" s="95">
        <v>8377</v>
      </c>
      <c r="I9" s="95">
        <v>5963</v>
      </c>
      <c r="J9" s="95">
        <v>4058</v>
      </c>
      <c r="K9" s="95">
        <v>3555</v>
      </c>
      <c r="L9" s="95">
        <v>3042</v>
      </c>
      <c r="M9" s="95">
        <v>6258</v>
      </c>
      <c r="N9" s="95">
        <v>3885</v>
      </c>
      <c r="O9" s="95">
        <v>3769</v>
      </c>
      <c r="P9" s="95">
        <v>1810</v>
      </c>
      <c r="Q9" s="95">
        <v>349</v>
      </c>
      <c r="R9" s="95">
        <v>2623</v>
      </c>
      <c r="S9" s="95">
        <v>46819</v>
      </c>
    </row>
    <row r="10" spans="1:19" ht="26.4" x14ac:dyDescent="0.3">
      <c r="A10" t="s">
        <v>247</v>
      </c>
      <c r="B10" s="71" t="s">
        <v>167</v>
      </c>
      <c r="C10">
        <v>8</v>
      </c>
      <c r="D10">
        <v>8</v>
      </c>
      <c r="E10">
        <v>5</v>
      </c>
      <c r="F10" s="93" t="s">
        <v>208</v>
      </c>
      <c r="G10" s="95">
        <v>53</v>
      </c>
      <c r="H10" s="95">
        <v>248</v>
      </c>
      <c r="I10" s="95">
        <v>136</v>
      </c>
      <c r="J10" s="95">
        <v>235</v>
      </c>
      <c r="K10" s="95">
        <v>122</v>
      </c>
      <c r="L10" s="95">
        <v>66</v>
      </c>
      <c r="M10" s="95">
        <v>67</v>
      </c>
      <c r="N10" s="95">
        <v>57</v>
      </c>
      <c r="O10" s="95">
        <v>238</v>
      </c>
      <c r="P10" s="95">
        <v>115</v>
      </c>
      <c r="Q10" s="95">
        <v>0</v>
      </c>
      <c r="R10" s="95">
        <v>17</v>
      </c>
      <c r="S10" s="95">
        <v>1354</v>
      </c>
    </row>
    <row r="11" spans="1:19" ht="26.4" x14ac:dyDescent="0.3">
      <c r="A11" t="s">
        <v>247</v>
      </c>
      <c r="B11" s="71" t="s">
        <v>167</v>
      </c>
      <c r="C11">
        <v>9</v>
      </c>
      <c r="D11">
        <v>9</v>
      </c>
      <c r="F11" s="89">
        <v>2001</v>
      </c>
      <c r="G11" s="95">
        <v>9317</v>
      </c>
      <c r="H11" s="95">
        <v>9830</v>
      </c>
      <c r="I11" s="95">
        <v>18614</v>
      </c>
      <c r="J11" s="95">
        <v>7360</v>
      </c>
      <c r="K11" s="95">
        <v>6440</v>
      </c>
      <c r="L11" s="95">
        <v>6426</v>
      </c>
      <c r="M11" s="95">
        <v>5588</v>
      </c>
      <c r="N11" s="95">
        <v>12319</v>
      </c>
      <c r="O11" s="95">
        <v>19854</v>
      </c>
      <c r="P11" s="95">
        <v>7599</v>
      </c>
      <c r="Q11" s="95">
        <v>4113</v>
      </c>
      <c r="R11" s="95">
        <v>8387</v>
      </c>
      <c r="S11" s="95">
        <v>115847</v>
      </c>
    </row>
    <row r="12" spans="1:19" ht="26.4" x14ac:dyDescent="0.3">
      <c r="A12" t="s">
        <v>247</v>
      </c>
      <c r="B12" s="71" t="s">
        <v>167</v>
      </c>
      <c r="C12">
        <v>10</v>
      </c>
      <c r="D12">
        <v>10</v>
      </c>
      <c r="E12">
        <v>9</v>
      </c>
      <c r="F12" s="91" t="s">
        <v>206</v>
      </c>
      <c r="G12" s="95">
        <v>1626</v>
      </c>
      <c r="H12" s="95">
        <v>1108</v>
      </c>
      <c r="I12" s="95">
        <v>8734</v>
      </c>
      <c r="J12" s="95">
        <v>1996</v>
      </c>
      <c r="K12" s="95">
        <v>1224</v>
      </c>
      <c r="L12" s="95">
        <v>612</v>
      </c>
      <c r="M12" s="95">
        <v>422</v>
      </c>
      <c r="N12" s="95">
        <v>7541</v>
      </c>
      <c r="O12" s="95">
        <v>12147</v>
      </c>
      <c r="P12" s="95">
        <v>0</v>
      </c>
      <c r="Q12" s="95">
        <v>242</v>
      </c>
      <c r="R12" s="95">
        <v>1790</v>
      </c>
      <c r="S12" s="95">
        <v>37442</v>
      </c>
    </row>
    <row r="13" spans="1:19" ht="26.4" x14ac:dyDescent="0.3">
      <c r="A13" t="s">
        <v>247</v>
      </c>
      <c r="B13" s="71" t="s">
        <v>167</v>
      </c>
      <c r="C13">
        <v>11</v>
      </c>
      <c r="D13">
        <v>11</v>
      </c>
      <c r="E13">
        <v>9</v>
      </c>
      <c r="F13" s="93" t="s">
        <v>207</v>
      </c>
      <c r="G13" s="95">
        <v>7526</v>
      </c>
      <c r="H13" s="95">
        <v>8411</v>
      </c>
      <c r="I13" s="95">
        <v>9743</v>
      </c>
      <c r="J13" s="95">
        <v>5112</v>
      </c>
      <c r="K13" s="95">
        <v>5107</v>
      </c>
      <c r="L13" s="95">
        <v>5715</v>
      </c>
      <c r="M13" s="95">
        <v>4845</v>
      </c>
      <c r="N13" s="95">
        <v>4749</v>
      </c>
      <c r="O13" s="95">
        <v>7484</v>
      </c>
      <c r="P13" s="95">
        <v>7583</v>
      </c>
      <c r="Q13" s="95">
        <v>3856</v>
      </c>
      <c r="R13" s="95">
        <v>6549</v>
      </c>
      <c r="S13" s="95">
        <v>76680</v>
      </c>
    </row>
    <row r="14" spans="1:19" ht="26.4" x14ac:dyDescent="0.3">
      <c r="A14" t="s">
        <v>247</v>
      </c>
      <c r="B14" s="71" t="s">
        <v>167</v>
      </c>
      <c r="C14">
        <v>12</v>
      </c>
      <c r="D14">
        <v>12</v>
      </c>
      <c r="E14">
        <v>9</v>
      </c>
      <c r="F14" s="93" t="s">
        <v>208</v>
      </c>
      <c r="G14" s="95">
        <v>165</v>
      </c>
      <c r="H14" s="95">
        <v>311</v>
      </c>
      <c r="I14" s="95">
        <v>137</v>
      </c>
      <c r="J14" s="95">
        <v>252</v>
      </c>
      <c r="K14" s="95">
        <v>109</v>
      </c>
      <c r="L14" s="95">
        <v>99</v>
      </c>
      <c r="M14" s="95">
        <v>321</v>
      </c>
      <c r="N14" s="95">
        <v>29</v>
      </c>
      <c r="O14" s="95">
        <v>223</v>
      </c>
      <c r="P14" s="95">
        <v>16</v>
      </c>
      <c r="Q14" s="95">
        <v>15</v>
      </c>
      <c r="R14" s="95">
        <v>48</v>
      </c>
      <c r="S14" s="95">
        <v>1725</v>
      </c>
    </row>
    <row r="15" spans="1:19" ht="26.4" x14ac:dyDescent="0.3">
      <c r="A15" t="s">
        <v>247</v>
      </c>
      <c r="B15" s="71" t="s">
        <v>167</v>
      </c>
      <c r="C15">
        <v>13</v>
      </c>
      <c r="D15">
        <v>13</v>
      </c>
      <c r="F15" s="89">
        <v>2002</v>
      </c>
      <c r="G15" s="95">
        <v>13070</v>
      </c>
      <c r="H15" s="95">
        <v>7262</v>
      </c>
      <c r="I15" s="95">
        <v>7514</v>
      </c>
      <c r="J15" s="95">
        <v>7162</v>
      </c>
      <c r="K15" s="95">
        <v>9226</v>
      </c>
      <c r="L15" s="95">
        <v>4628</v>
      </c>
      <c r="M15" s="95">
        <v>10899</v>
      </c>
      <c r="N15" s="95">
        <v>8678</v>
      </c>
      <c r="O15" s="95">
        <v>14444</v>
      </c>
      <c r="P15" s="95">
        <v>3935</v>
      </c>
      <c r="Q15" s="95">
        <v>2387</v>
      </c>
      <c r="R15" s="95">
        <v>28983</v>
      </c>
      <c r="S15" s="95">
        <v>118188</v>
      </c>
    </row>
    <row r="16" spans="1:19" ht="26.4" x14ac:dyDescent="0.3">
      <c r="A16" t="s">
        <v>247</v>
      </c>
      <c r="B16" s="71" t="s">
        <v>167</v>
      </c>
      <c r="C16">
        <v>14</v>
      </c>
      <c r="D16">
        <v>14</v>
      </c>
      <c r="E16">
        <v>13</v>
      </c>
      <c r="F16" s="91" t="s">
        <v>206</v>
      </c>
      <c r="G16" s="95">
        <v>4637</v>
      </c>
      <c r="H16" s="95">
        <v>2336</v>
      </c>
      <c r="I16" s="95">
        <v>1835</v>
      </c>
      <c r="J16" s="95">
        <v>2664</v>
      </c>
      <c r="K16" s="95">
        <v>964</v>
      </c>
      <c r="L16" s="95">
        <v>810</v>
      </c>
      <c r="M16" s="95">
        <v>990</v>
      </c>
      <c r="N16" s="95">
        <v>4751</v>
      </c>
      <c r="O16" s="95">
        <v>4622</v>
      </c>
      <c r="P16" s="95">
        <v>3324</v>
      </c>
      <c r="Q16" s="95">
        <v>858</v>
      </c>
      <c r="R16" s="95">
        <v>16953</v>
      </c>
      <c r="S16" s="95">
        <v>44744</v>
      </c>
    </row>
    <row r="17" spans="1:19" ht="26.4" x14ac:dyDescent="0.3">
      <c r="A17" t="s">
        <v>247</v>
      </c>
      <c r="B17" s="71" t="s">
        <v>167</v>
      </c>
      <c r="C17">
        <v>15</v>
      </c>
      <c r="D17">
        <v>15</v>
      </c>
      <c r="E17">
        <v>13</v>
      </c>
      <c r="F17" s="93" t="s">
        <v>207</v>
      </c>
      <c r="G17" s="95">
        <v>8319</v>
      </c>
      <c r="H17" s="95">
        <v>4711</v>
      </c>
      <c r="I17" s="95">
        <v>5268</v>
      </c>
      <c r="J17" s="95">
        <v>4277</v>
      </c>
      <c r="K17" s="95">
        <v>8122</v>
      </c>
      <c r="L17" s="95">
        <v>3691</v>
      </c>
      <c r="M17" s="95">
        <v>9646</v>
      </c>
      <c r="N17" s="95">
        <v>3835</v>
      </c>
      <c r="O17" s="95">
        <v>9694</v>
      </c>
      <c r="P17" s="95">
        <v>544</v>
      </c>
      <c r="Q17" s="95">
        <v>1509</v>
      </c>
      <c r="R17" s="95">
        <v>11988</v>
      </c>
      <c r="S17" s="95">
        <v>71604</v>
      </c>
    </row>
    <row r="18" spans="1:19" ht="26.4" x14ac:dyDescent="0.3">
      <c r="A18" t="s">
        <v>247</v>
      </c>
      <c r="B18" s="71" t="s">
        <v>167</v>
      </c>
      <c r="C18">
        <v>16</v>
      </c>
      <c r="D18">
        <v>16</v>
      </c>
      <c r="E18">
        <v>13</v>
      </c>
      <c r="F18" s="93" t="s">
        <v>208</v>
      </c>
      <c r="G18" s="95">
        <v>114</v>
      </c>
      <c r="H18" s="95">
        <v>215</v>
      </c>
      <c r="I18" s="95">
        <v>411</v>
      </c>
      <c r="J18" s="95">
        <v>221</v>
      </c>
      <c r="K18" s="95">
        <v>140</v>
      </c>
      <c r="L18" s="95">
        <v>127</v>
      </c>
      <c r="M18" s="95">
        <v>263</v>
      </c>
      <c r="N18" s="95">
        <v>92</v>
      </c>
      <c r="O18" s="95">
        <v>128</v>
      </c>
      <c r="P18" s="95">
        <v>67</v>
      </c>
      <c r="Q18" s="95">
        <v>20</v>
      </c>
      <c r="R18" s="95">
        <v>42</v>
      </c>
      <c r="S18" s="95">
        <v>1840</v>
      </c>
    </row>
    <row r="19" spans="1:19" ht="26.4" x14ac:dyDescent="0.3">
      <c r="A19" t="s">
        <v>247</v>
      </c>
      <c r="B19" s="71" t="s">
        <v>167</v>
      </c>
      <c r="C19">
        <v>17</v>
      </c>
      <c r="D19">
        <v>17</v>
      </c>
      <c r="F19" s="89">
        <v>2003</v>
      </c>
      <c r="G19" s="95">
        <v>8994</v>
      </c>
      <c r="H19" s="95">
        <v>12304</v>
      </c>
      <c r="I19" s="95">
        <v>15369</v>
      </c>
      <c r="J19" s="95">
        <v>10110</v>
      </c>
      <c r="K19" s="95">
        <v>7936</v>
      </c>
      <c r="L19" s="95">
        <v>8956</v>
      </c>
      <c r="M19" s="95">
        <v>8040</v>
      </c>
      <c r="N19" s="95">
        <v>4202</v>
      </c>
      <c r="O19" s="95">
        <v>18537</v>
      </c>
      <c r="P19" s="95">
        <v>2380</v>
      </c>
      <c r="Q19" s="95">
        <v>564</v>
      </c>
      <c r="R19" s="95">
        <v>16836</v>
      </c>
      <c r="S19" s="95">
        <v>114228</v>
      </c>
    </row>
    <row r="20" spans="1:19" ht="26.4" x14ac:dyDescent="0.3">
      <c r="A20" t="s">
        <v>247</v>
      </c>
      <c r="B20" s="71" t="s">
        <v>167</v>
      </c>
      <c r="C20">
        <v>18</v>
      </c>
      <c r="D20">
        <v>18</v>
      </c>
      <c r="E20">
        <v>17</v>
      </c>
      <c r="F20" s="91" t="s">
        <v>206</v>
      </c>
      <c r="G20" s="95">
        <v>2301</v>
      </c>
      <c r="H20" s="95">
        <v>3383</v>
      </c>
      <c r="I20" s="95">
        <v>6384</v>
      </c>
      <c r="J20" s="95">
        <v>2995</v>
      </c>
      <c r="K20" s="95">
        <v>1572</v>
      </c>
      <c r="L20" s="95">
        <v>1878</v>
      </c>
      <c r="M20" s="95">
        <v>2475</v>
      </c>
      <c r="N20" s="97">
        <v>1001</v>
      </c>
      <c r="O20" s="97">
        <v>11077</v>
      </c>
      <c r="P20" s="151">
        <v>1268</v>
      </c>
      <c r="Q20" s="151">
        <v>252</v>
      </c>
      <c r="R20" s="95">
        <v>3974</v>
      </c>
      <c r="S20" s="95">
        <v>38560</v>
      </c>
    </row>
    <row r="21" spans="1:19" ht="26.4" x14ac:dyDescent="0.3">
      <c r="A21" t="s">
        <v>247</v>
      </c>
      <c r="B21" s="71" t="s">
        <v>167</v>
      </c>
      <c r="C21">
        <v>19</v>
      </c>
      <c r="D21">
        <v>19</v>
      </c>
      <c r="E21">
        <v>17</v>
      </c>
      <c r="F21" s="93" t="s">
        <v>207</v>
      </c>
      <c r="G21" s="95">
        <v>6629</v>
      </c>
      <c r="H21" s="95">
        <v>8836</v>
      </c>
      <c r="I21" s="95">
        <v>8929</v>
      </c>
      <c r="J21" s="95">
        <v>7034</v>
      </c>
      <c r="K21" s="95">
        <v>6219</v>
      </c>
      <c r="L21" s="95">
        <v>6777</v>
      </c>
      <c r="M21" s="95">
        <v>5532</v>
      </c>
      <c r="N21" s="95">
        <v>3075</v>
      </c>
      <c r="O21" s="95">
        <v>7291</v>
      </c>
      <c r="P21" s="95">
        <v>1100</v>
      </c>
      <c r="Q21" s="95">
        <v>277</v>
      </c>
      <c r="R21" s="95">
        <v>12687</v>
      </c>
      <c r="S21" s="95">
        <v>74386</v>
      </c>
    </row>
    <row r="22" spans="1:19" ht="26.4" x14ac:dyDescent="0.3">
      <c r="A22" t="s">
        <v>247</v>
      </c>
      <c r="B22" s="71" t="s">
        <v>167</v>
      </c>
      <c r="C22">
        <v>20</v>
      </c>
      <c r="D22">
        <v>20</v>
      </c>
      <c r="E22">
        <v>17</v>
      </c>
      <c r="F22" s="93" t="s">
        <v>208</v>
      </c>
      <c r="G22" s="95">
        <v>64</v>
      </c>
      <c r="H22" s="95">
        <v>85</v>
      </c>
      <c r="I22" s="95">
        <v>56</v>
      </c>
      <c r="J22" s="95">
        <v>81</v>
      </c>
      <c r="K22" s="95">
        <v>145</v>
      </c>
      <c r="L22" s="95">
        <v>301</v>
      </c>
      <c r="M22" s="95">
        <v>33</v>
      </c>
      <c r="N22" s="95">
        <v>126</v>
      </c>
      <c r="O22" s="95">
        <v>169</v>
      </c>
      <c r="P22" s="95">
        <v>12</v>
      </c>
      <c r="Q22" s="95">
        <v>35</v>
      </c>
      <c r="R22" s="95">
        <v>175</v>
      </c>
      <c r="S22" s="95">
        <v>1282</v>
      </c>
    </row>
    <row r="23" spans="1:19" ht="26.4" x14ac:dyDescent="0.3">
      <c r="A23" t="s">
        <v>247</v>
      </c>
      <c r="B23" s="71" t="s">
        <v>167</v>
      </c>
      <c r="C23">
        <v>21</v>
      </c>
      <c r="D23">
        <v>21</v>
      </c>
      <c r="F23" s="89">
        <v>2004</v>
      </c>
      <c r="G23" s="95">
        <v>16772</v>
      </c>
      <c r="H23" s="95">
        <v>15695</v>
      </c>
      <c r="I23" s="95">
        <v>7565</v>
      </c>
      <c r="J23" s="95">
        <v>7777</v>
      </c>
      <c r="K23" s="95">
        <v>10485</v>
      </c>
      <c r="L23" s="95">
        <v>10228</v>
      </c>
      <c r="M23" s="95">
        <v>12186</v>
      </c>
      <c r="N23" s="95">
        <v>14091</v>
      </c>
      <c r="O23" s="95">
        <v>23648</v>
      </c>
      <c r="P23" s="95">
        <v>7180</v>
      </c>
      <c r="Q23" s="95">
        <v>6364</v>
      </c>
      <c r="R23" s="95">
        <v>20003</v>
      </c>
      <c r="S23" s="95">
        <v>151994</v>
      </c>
    </row>
    <row r="24" spans="1:19" ht="26.4" x14ac:dyDescent="0.3">
      <c r="A24" t="s">
        <v>247</v>
      </c>
      <c r="B24" s="71" t="s">
        <v>167</v>
      </c>
      <c r="C24">
        <v>22</v>
      </c>
      <c r="D24">
        <v>22</v>
      </c>
      <c r="E24">
        <v>21</v>
      </c>
      <c r="F24" s="91" t="s">
        <v>206</v>
      </c>
      <c r="G24" s="95">
        <v>14726</v>
      </c>
      <c r="H24" s="95">
        <v>7833</v>
      </c>
      <c r="I24" s="95">
        <v>3330</v>
      </c>
      <c r="J24" s="95">
        <v>4042</v>
      </c>
      <c r="K24" s="95">
        <v>7337</v>
      </c>
      <c r="L24" s="95">
        <v>4986</v>
      </c>
      <c r="M24" s="95">
        <v>6520</v>
      </c>
      <c r="N24" s="95">
        <v>9318</v>
      </c>
      <c r="O24" s="95">
        <v>10343</v>
      </c>
      <c r="P24" s="95">
        <v>6000</v>
      </c>
      <c r="Q24" s="95">
        <v>4161</v>
      </c>
      <c r="R24" s="95">
        <v>11886</v>
      </c>
      <c r="S24" s="95">
        <v>90482</v>
      </c>
    </row>
    <row r="25" spans="1:19" ht="26.4" x14ac:dyDescent="0.3">
      <c r="A25" t="s">
        <v>247</v>
      </c>
      <c r="B25" s="71" t="s">
        <v>167</v>
      </c>
      <c r="C25">
        <v>23</v>
      </c>
      <c r="D25">
        <v>23</v>
      </c>
      <c r="E25">
        <v>21</v>
      </c>
      <c r="F25" s="93" t="s">
        <v>207</v>
      </c>
      <c r="G25" s="95">
        <v>2046</v>
      </c>
      <c r="H25" s="95">
        <v>7802</v>
      </c>
      <c r="I25" s="95">
        <v>4211</v>
      </c>
      <c r="J25" s="95">
        <v>3596</v>
      </c>
      <c r="K25" s="95">
        <v>2958</v>
      </c>
      <c r="L25" s="95">
        <v>5110</v>
      </c>
      <c r="M25" s="95">
        <v>5344</v>
      </c>
      <c r="N25" s="95">
        <v>4664</v>
      </c>
      <c r="O25" s="95">
        <v>12952</v>
      </c>
      <c r="P25" s="95">
        <v>991</v>
      </c>
      <c r="Q25" s="95">
        <v>2171</v>
      </c>
      <c r="R25" s="95">
        <v>7848</v>
      </c>
      <c r="S25" s="95">
        <v>59693</v>
      </c>
    </row>
    <row r="26" spans="1:19" ht="26.4" x14ac:dyDescent="0.3">
      <c r="A26" t="s">
        <v>247</v>
      </c>
      <c r="B26" s="71" t="s">
        <v>167</v>
      </c>
      <c r="C26">
        <v>24</v>
      </c>
      <c r="D26">
        <v>24</v>
      </c>
      <c r="E26">
        <v>21</v>
      </c>
      <c r="F26" s="93" t="s">
        <v>208</v>
      </c>
      <c r="G26" s="95">
        <v>0</v>
      </c>
      <c r="H26" s="95">
        <v>60</v>
      </c>
      <c r="I26" s="95">
        <v>24</v>
      </c>
      <c r="J26" s="95">
        <v>139</v>
      </c>
      <c r="K26" s="95">
        <v>190</v>
      </c>
      <c r="L26" s="95">
        <v>132</v>
      </c>
      <c r="M26" s="95">
        <v>322</v>
      </c>
      <c r="N26" s="95">
        <v>109</v>
      </c>
      <c r="O26" s="95">
        <v>353</v>
      </c>
      <c r="P26" s="95">
        <v>189</v>
      </c>
      <c r="Q26" s="95">
        <v>32</v>
      </c>
      <c r="R26" s="95">
        <v>269</v>
      </c>
      <c r="S26" s="95">
        <v>1819</v>
      </c>
    </row>
    <row r="27" spans="1:19" ht="26.4" x14ac:dyDescent="0.3">
      <c r="A27" t="s">
        <v>247</v>
      </c>
      <c r="B27" s="71" t="s">
        <v>167</v>
      </c>
      <c r="C27">
        <v>25</v>
      </c>
      <c r="D27">
        <v>25</v>
      </c>
      <c r="F27" s="89">
        <v>2005</v>
      </c>
      <c r="G27" s="95">
        <v>10508</v>
      </c>
      <c r="H27" s="95">
        <v>13280</v>
      </c>
      <c r="I27" s="95">
        <v>11330</v>
      </c>
      <c r="J27" s="95">
        <v>17176</v>
      </c>
      <c r="K27" s="95">
        <v>7319</v>
      </c>
      <c r="L27" s="95">
        <v>17020</v>
      </c>
      <c r="M27" s="95">
        <v>18700</v>
      </c>
      <c r="N27" s="95">
        <v>9926</v>
      </c>
      <c r="O27" s="95">
        <v>9513</v>
      </c>
      <c r="P27" s="95">
        <v>15509</v>
      </c>
      <c r="Q27" s="95">
        <v>10626</v>
      </c>
      <c r="R27" s="95">
        <v>2124</v>
      </c>
      <c r="S27" s="95">
        <v>143031</v>
      </c>
    </row>
    <row r="28" spans="1:19" ht="26.4" x14ac:dyDescent="0.3">
      <c r="A28" t="s">
        <v>247</v>
      </c>
      <c r="B28" s="71" t="s">
        <v>167</v>
      </c>
      <c r="C28">
        <v>26</v>
      </c>
      <c r="D28">
        <v>26</v>
      </c>
      <c r="E28">
        <v>25</v>
      </c>
      <c r="F28" s="91" t="s">
        <v>206</v>
      </c>
      <c r="G28" s="95">
        <v>3830</v>
      </c>
      <c r="H28" s="95">
        <v>7178</v>
      </c>
      <c r="I28" s="95">
        <v>6260</v>
      </c>
      <c r="J28" s="95">
        <v>10928</v>
      </c>
      <c r="K28" s="95">
        <v>3041</v>
      </c>
      <c r="L28" s="95">
        <v>13670</v>
      </c>
      <c r="M28" s="95">
        <v>12818</v>
      </c>
      <c r="N28" s="95">
        <v>3683</v>
      </c>
      <c r="O28" s="95">
        <v>2335</v>
      </c>
      <c r="P28" s="95">
        <v>13105</v>
      </c>
      <c r="Q28" s="95">
        <v>9275</v>
      </c>
      <c r="R28" s="95">
        <v>618</v>
      </c>
      <c r="S28" s="95">
        <v>86741</v>
      </c>
    </row>
    <row r="29" spans="1:19" ht="26.4" x14ac:dyDescent="0.3">
      <c r="A29" t="s">
        <v>247</v>
      </c>
      <c r="B29" s="71" t="s">
        <v>167</v>
      </c>
      <c r="C29">
        <v>27</v>
      </c>
      <c r="D29">
        <v>27</v>
      </c>
      <c r="E29">
        <v>25</v>
      </c>
      <c r="F29" s="93" t="s">
        <v>207</v>
      </c>
      <c r="G29" s="95">
        <v>6587</v>
      </c>
      <c r="H29" s="95">
        <v>5739</v>
      </c>
      <c r="I29" s="95">
        <v>4756</v>
      </c>
      <c r="J29" s="95">
        <v>6069</v>
      </c>
      <c r="K29" s="95">
        <v>3832</v>
      </c>
      <c r="L29" s="95">
        <v>3213</v>
      </c>
      <c r="M29" s="95">
        <v>5610</v>
      </c>
      <c r="N29" s="95">
        <v>5829</v>
      </c>
      <c r="O29" s="95">
        <v>6912</v>
      </c>
      <c r="P29" s="95">
        <v>2228</v>
      </c>
      <c r="Q29" s="95">
        <v>1333</v>
      </c>
      <c r="R29" s="95">
        <v>1496</v>
      </c>
      <c r="S29" s="95">
        <v>53604</v>
      </c>
    </row>
    <row r="30" spans="1:19" ht="26.4" x14ac:dyDescent="0.3">
      <c r="A30" t="s">
        <v>247</v>
      </c>
      <c r="B30" s="71" t="s">
        <v>167</v>
      </c>
      <c r="C30">
        <v>28</v>
      </c>
      <c r="D30">
        <v>28</v>
      </c>
      <c r="E30">
        <v>25</v>
      </c>
      <c r="F30" s="93" t="s">
        <v>208</v>
      </c>
      <c r="G30" s="95">
        <v>91</v>
      </c>
      <c r="H30" s="95">
        <v>363</v>
      </c>
      <c r="I30" s="95">
        <v>314</v>
      </c>
      <c r="J30" s="95">
        <v>179</v>
      </c>
      <c r="K30" s="95">
        <v>446</v>
      </c>
      <c r="L30" s="95">
        <v>137</v>
      </c>
      <c r="M30" s="95">
        <v>272</v>
      </c>
      <c r="N30" s="95">
        <v>414</v>
      </c>
      <c r="O30" s="95">
        <v>266</v>
      </c>
      <c r="P30" s="95">
        <v>176</v>
      </c>
      <c r="Q30" s="95">
        <v>18</v>
      </c>
      <c r="R30" s="95">
        <v>10</v>
      </c>
      <c r="S30" s="95">
        <v>2686</v>
      </c>
    </row>
    <row r="31" spans="1:19" ht="26.4" x14ac:dyDescent="0.3">
      <c r="A31" t="s">
        <v>247</v>
      </c>
      <c r="B31" s="71" t="s">
        <v>167</v>
      </c>
      <c r="C31">
        <v>29</v>
      </c>
      <c r="D31">
        <v>29</v>
      </c>
      <c r="F31" s="89">
        <v>2006</v>
      </c>
      <c r="G31" s="95">
        <v>6703</v>
      </c>
      <c r="H31" s="95">
        <v>10589</v>
      </c>
      <c r="I31" s="95">
        <v>27360</v>
      </c>
      <c r="J31" s="95">
        <v>10181</v>
      </c>
      <c r="K31" s="95">
        <v>10684</v>
      </c>
      <c r="L31" s="95">
        <v>18235</v>
      </c>
      <c r="M31" s="95">
        <v>11781</v>
      </c>
      <c r="N31" s="95">
        <v>11796</v>
      </c>
      <c r="O31" s="95">
        <v>24043</v>
      </c>
      <c r="P31" s="95">
        <v>3798</v>
      </c>
      <c r="Q31" s="95">
        <v>10645</v>
      </c>
      <c r="R31" s="95">
        <v>14474</v>
      </c>
      <c r="S31" s="95">
        <v>160289</v>
      </c>
    </row>
    <row r="32" spans="1:19" ht="26.4" x14ac:dyDescent="0.3">
      <c r="A32" t="s">
        <v>247</v>
      </c>
      <c r="B32" s="71" t="s">
        <v>167</v>
      </c>
      <c r="C32">
        <v>30</v>
      </c>
      <c r="D32">
        <v>30</v>
      </c>
      <c r="E32">
        <v>29</v>
      </c>
      <c r="F32" s="91" t="s">
        <v>96</v>
      </c>
      <c r="G32" s="143">
        <v>1653</v>
      </c>
      <c r="H32" s="143">
        <v>7891</v>
      </c>
      <c r="I32" s="143">
        <v>16197</v>
      </c>
      <c r="J32" s="143">
        <v>5548</v>
      </c>
      <c r="K32" s="143">
        <v>4599</v>
      </c>
      <c r="L32" s="143">
        <v>13010</v>
      </c>
      <c r="M32" s="143">
        <v>5767</v>
      </c>
      <c r="N32" s="143">
        <v>6185</v>
      </c>
      <c r="O32" s="143">
        <v>14529</v>
      </c>
      <c r="P32" s="143">
        <v>1674</v>
      </c>
      <c r="Q32" s="143">
        <v>4488</v>
      </c>
      <c r="R32" s="143">
        <v>8086</v>
      </c>
      <c r="S32" s="95">
        <v>89627</v>
      </c>
    </row>
    <row r="33" spans="1:19" ht="26.4" x14ac:dyDescent="0.3">
      <c r="A33" t="s">
        <v>247</v>
      </c>
      <c r="B33" s="71" t="s">
        <v>167</v>
      </c>
      <c r="C33">
        <v>31</v>
      </c>
      <c r="D33">
        <v>31</v>
      </c>
      <c r="E33">
        <v>29</v>
      </c>
      <c r="F33" s="93" t="s">
        <v>141</v>
      </c>
      <c r="G33" s="143">
        <v>4901</v>
      </c>
      <c r="H33" s="143">
        <v>2252</v>
      </c>
      <c r="I33" s="143">
        <v>10883</v>
      </c>
      <c r="J33" s="143">
        <v>4539</v>
      </c>
      <c r="K33" s="143">
        <v>5865</v>
      </c>
      <c r="L33" s="143">
        <v>5108</v>
      </c>
      <c r="M33" s="143">
        <v>5731</v>
      </c>
      <c r="N33" s="143">
        <v>5444</v>
      </c>
      <c r="O33" s="143">
        <v>9233</v>
      </c>
      <c r="P33" s="143">
        <v>2108</v>
      </c>
      <c r="Q33" s="143">
        <v>6112</v>
      </c>
      <c r="R33" s="143">
        <v>6224</v>
      </c>
      <c r="S33" s="95">
        <v>68400</v>
      </c>
    </row>
    <row r="34" spans="1:19" ht="26.4" x14ac:dyDescent="0.7">
      <c r="A34" t="s">
        <v>247</v>
      </c>
      <c r="B34" s="71" t="s">
        <v>167</v>
      </c>
      <c r="C34">
        <v>32</v>
      </c>
      <c r="D34">
        <v>32</v>
      </c>
      <c r="E34">
        <v>29</v>
      </c>
      <c r="F34" s="93" t="s">
        <v>121</v>
      </c>
      <c r="G34" s="147">
        <v>149</v>
      </c>
      <c r="H34" s="147">
        <v>446</v>
      </c>
      <c r="I34" s="147">
        <v>280</v>
      </c>
      <c r="J34" s="147">
        <v>94</v>
      </c>
      <c r="K34" s="147">
        <v>220</v>
      </c>
      <c r="L34" s="147">
        <v>117</v>
      </c>
      <c r="M34" s="147">
        <v>283</v>
      </c>
      <c r="N34" s="147">
        <v>167</v>
      </c>
      <c r="O34" s="147">
        <v>281</v>
      </c>
      <c r="P34" s="147">
        <v>16</v>
      </c>
      <c r="Q34" s="147">
        <v>45</v>
      </c>
      <c r="R34" s="147">
        <v>164</v>
      </c>
      <c r="S34" s="95">
        <v>2262</v>
      </c>
    </row>
    <row r="35" spans="1:19" ht="26.4" x14ac:dyDescent="0.3">
      <c r="A35" t="s">
        <v>247</v>
      </c>
      <c r="B35" s="71" t="s">
        <v>167</v>
      </c>
      <c r="C35">
        <v>33</v>
      </c>
      <c r="D35">
        <v>33</v>
      </c>
      <c r="F35" s="89">
        <v>2007</v>
      </c>
      <c r="G35" s="95">
        <v>16549</v>
      </c>
      <c r="H35" s="95">
        <v>10638</v>
      </c>
      <c r="I35" s="95">
        <v>23408</v>
      </c>
      <c r="J35" s="95">
        <v>12599</v>
      </c>
      <c r="K35" s="95">
        <v>15124</v>
      </c>
      <c r="L35" s="95">
        <v>13754</v>
      </c>
      <c r="M35" s="95">
        <v>12300</v>
      </c>
      <c r="N35" s="95">
        <v>27780</v>
      </c>
      <c r="O35" s="95">
        <v>25225</v>
      </c>
      <c r="P35" s="95">
        <v>7592</v>
      </c>
      <c r="Q35" s="95">
        <v>15825</v>
      </c>
      <c r="R35" s="95">
        <v>17193</v>
      </c>
      <c r="S35" s="95">
        <v>197987</v>
      </c>
    </row>
    <row r="36" spans="1:19" ht="26.4" x14ac:dyDescent="0.3">
      <c r="A36" t="s">
        <v>247</v>
      </c>
      <c r="B36" s="71" t="s">
        <v>167</v>
      </c>
      <c r="C36">
        <v>34</v>
      </c>
      <c r="D36">
        <v>34</v>
      </c>
      <c r="E36">
        <v>33</v>
      </c>
      <c r="F36" s="91" t="s">
        <v>96</v>
      </c>
      <c r="G36" s="143">
        <v>11225</v>
      </c>
      <c r="H36" s="143">
        <v>5317</v>
      </c>
      <c r="I36" s="143">
        <v>15369</v>
      </c>
      <c r="J36" s="143">
        <v>7836</v>
      </c>
      <c r="K36" s="143">
        <v>7349</v>
      </c>
      <c r="L36" s="143">
        <v>6951</v>
      </c>
      <c r="M36" s="143">
        <v>4511</v>
      </c>
      <c r="N36" s="143">
        <v>14774</v>
      </c>
      <c r="O36" s="143">
        <v>15351</v>
      </c>
      <c r="P36" s="143">
        <v>3589</v>
      </c>
      <c r="Q36" s="143">
        <v>6898</v>
      </c>
      <c r="R36" s="143">
        <v>8996</v>
      </c>
      <c r="S36" s="95">
        <v>108166</v>
      </c>
    </row>
    <row r="37" spans="1:19" ht="26.4" x14ac:dyDescent="0.3">
      <c r="A37" t="s">
        <v>247</v>
      </c>
      <c r="B37" s="71" t="s">
        <v>167</v>
      </c>
      <c r="C37">
        <v>35</v>
      </c>
      <c r="D37">
        <v>35</v>
      </c>
      <c r="E37">
        <v>33</v>
      </c>
      <c r="F37" s="93" t="s">
        <v>141</v>
      </c>
      <c r="G37" s="143">
        <v>5012</v>
      </c>
      <c r="H37" s="143">
        <v>5067</v>
      </c>
      <c r="I37" s="143">
        <v>7488</v>
      </c>
      <c r="J37" s="143">
        <v>4212</v>
      </c>
      <c r="K37" s="143">
        <v>7312</v>
      </c>
      <c r="L37" s="143">
        <v>6217</v>
      </c>
      <c r="M37" s="143">
        <v>7419</v>
      </c>
      <c r="N37" s="143">
        <v>12635</v>
      </c>
      <c r="O37" s="143">
        <v>9531</v>
      </c>
      <c r="P37" s="143">
        <v>3761</v>
      </c>
      <c r="Q37" s="143">
        <v>8901</v>
      </c>
      <c r="R37" s="143">
        <v>8004</v>
      </c>
      <c r="S37" s="95">
        <v>85559</v>
      </c>
    </row>
    <row r="38" spans="1:19" ht="26.4" x14ac:dyDescent="0.7">
      <c r="A38" t="s">
        <v>247</v>
      </c>
      <c r="B38" s="71" t="s">
        <v>167</v>
      </c>
      <c r="C38">
        <v>36</v>
      </c>
      <c r="D38">
        <v>36</v>
      </c>
      <c r="E38">
        <v>33</v>
      </c>
      <c r="F38" s="93" t="s">
        <v>121</v>
      </c>
      <c r="G38" s="147">
        <v>312</v>
      </c>
      <c r="H38" s="147">
        <v>254</v>
      </c>
      <c r="I38" s="147">
        <v>551</v>
      </c>
      <c r="J38" s="147">
        <v>551</v>
      </c>
      <c r="K38" s="147">
        <v>463</v>
      </c>
      <c r="L38" s="147">
        <v>586</v>
      </c>
      <c r="M38" s="147">
        <v>370</v>
      </c>
      <c r="N38" s="147">
        <v>371</v>
      </c>
      <c r="O38" s="147">
        <v>343</v>
      </c>
      <c r="P38" s="147">
        <v>242</v>
      </c>
      <c r="Q38" s="147">
        <v>26</v>
      </c>
      <c r="R38" s="147">
        <v>193</v>
      </c>
      <c r="S38" s="95">
        <v>4262</v>
      </c>
    </row>
    <row r="39" spans="1:19" ht="26.4" x14ac:dyDescent="0.3">
      <c r="A39" t="s">
        <v>247</v>
      </c>
      <c r="B39" s="71" t="s">
        <v>167</v>
      </c>
      <c r="C39">
        <v>37</v>
      </c>
      <c r="D39">
        <v>37</v>
      </c>
      <c r="F39" s="89">
        <v>2008</v>
      </c>
      <c r="G39" s="95">
        <v>30419</v>
      </c>
      <c r="H39" s="95">
        <v>22632</v>
      </c>
      <c r="I39" s="95">
        <v>20487</v>
      </c>
      <c r="J39" s="95">
        <v>31345</v>
      </c>
      <c r="K39" s="95">
        <v>11779</v>
      </c>
      <c r="L39" s="95">
        <v>5075</v>
      </c>
      <c r="M39" s="95">
        <v>15716</v>
      </c>
      <c r="N39" s="95">
        <v>5827</v>
      </c>
      <c r="O39" s="95">
        <v>5798</v>
      </c>
      <c r="P39" s="95">
        <v>34749</v>
      </c>
      <c r="Q39" s="95">
        <v>6548</v>
      </c>
      <c r="R39" s="95">
        <v>28655</v>
      </c>
      <c r="S39" s="95">
        <v>219030</v>
      </c>
    </row>
    <row r="40" spans="1:19" ht="26.4" x14ac:dyDescent="0.3">
      <c r="A40" t="s">
        <v>247</v>
      </c>
      <c r="B40" s="71" t="s">
        <v>167</v>
      </c>
      <c r="C40">
        <v>38</v>
      </c>
      <c r="D40">
        <v>38</v>
      </c>
      <c r="E40">
        <v>37</v>
      </c>
      <c r="F40" s="91" t="s">
        <v>96</v>
      </c>
      <c r="G40" s="143">
        <v>22000</v>
      </c>
      <c r="H40" s="143">
        <v>13333</v>
      </c>
      <c r="I40" s="143">
        <v>11989</v>
      </c>
      <c r="J40" s="143">
        <v>21755</v>
      </c>
      <c r="K40" s="143">
        <v>7768</v>
      </c>
      <c r="L40" s="143">
        <v>2902</v>
      </c>
      <c r="M40" s="143">
        <v>8540</v>
      </c>
      <c r="N40" s="143">
        <v>3043</v>
      </c>
      <c r="O40" s="143">
        <v>1421</v>
      </c>
      <c r="P40" s="143">
        <v>23525</v>
      </c>
      <c r="Q40" s="143">
        <v>2770</v>
      </c>
      <c r="R40" s="143">
        <v>22777</v>
      </c>
      <c r="S40" s="95">
        <v>141823</v>
      </c>
    </row>
    <row r="41" spans="1:19" ht="26.4" x14ac:dyDescent="0.3">
      <c r="A41" t="s">
        <v>247</v>
      </c>
      <c r="B41" s="71" t="s">
        <v>167</v>
      </c>
      <c r="C41">
        <v>39</v>
      </c>
      <c r="D41">
        <v>39</v>
      </c>
      <c r="E41">
        <v>37</v>
      </c>
      <c r="F41" s="93" t="s">
        <v>141</v>
      </c>
      <c r="G41" s="143">
        <v>8191</v>
      </c>
      <c r="H41" s="143">
        <v>8956</v>
      </c>
      <c r="I41" s="143">
        <v>8289</v>
      </c>
      <c r="J41" s="143">
        <v>8831</v>
      </c>
      <c r="K41" s="143">
        <v>3952</v>
      </c>
      <c r="L41" s="143">
        <v>1957</v>
      </c>
      <c r="M41" s="143">
        <v>6758</v>
      </c>
      <c r="N41" s="143">
        <v>2683</v>
      </c>
      <c r="O41" s="143">
        <v>4276</v>
      </c>
      <c r="P41" s="143">
        <v>11093</v>
      </c>
      <c r="Q41" s="143">
        <v>3727</v>
      </c>
      <c r="R41" s="143">
        <v>5830</v>
      </c>
      <c r="S41" s="95">
        <v>74543</v>
      </c>
    </row>
    <row r="42" spans="1:19" ht="26.4" x14ac:dyDescent="0.7">
      <c r="A42" t="s">
        <v>247</v>
      </c>
      <c r="B42" s="71" t="s">
        <v>167</v>
      </c>
      <c r="C42">
        <v>40</v>
      </c>
      <c r="D42">
        <v>40</v>
      </c>
      <c r="E42">
        <v>37</v>
      </c>
      <c r="F42" s="93" t="s">
        <v>121</v>
      </c>
      <c r="G42" s="147">
        <v>228</v>
      </c>
      <c r="H42" s="147">
        <v>343</v>
      </c>
      <c r="I42" s="147">
        <v>209</v>
      </c>
      <c r="J42" s="147">
        <v>759</v>
      </c>
      <c r="K42" s="147">
        <v>59</v>
      </c>
      <c r="L42" s="147">
        <v>216</v>
      </c>
      <c r="M42" s="147">
        <v>418</v>
      </c>
      <c r="N42" s="147">
        <v>101</v>
      </c>
      <c r="O42" s="147">
        <v>101</v>
      </c>
      <c r="P42" s="147">
        <v>131</v>
      </c>
      <c r="Q42" s="147">
        <v>51</v>
      </c>
      <c r="R42" s="147">
        <v>48</v>
      </c>
      <c r="S42" s="95">
        <v>2664</v>
      </c>
    </row>
    <row r="43" spans="1:19" ht="26.4" x14ac:dyDescent="0.3">
      <c r="A43" t="s">
        <v>247</v>
      </c>
      <c r="B43" s="71" t="s">
        <v>167</v>
      </c>
      <c r="C43">
        <v>41</v>
      </c>
      <c r="D43">
        <v>41</v>
      </c>
      <c r="F43" s="89">
        <v>2009</v>
      </c>
      <c r="G43" s="143">
        <v>8689</v>
      </c>
      <c r="H43" s="143">
        <v>6779</v>
      </c>
      <c r="I43" s="143">
        <v>32789</v>
      </c>
      <c r="J43" s="143">
        <v>22698</v>
      </c>
      <c r="K43" s="143">
        <v>28068</v>
      </c>
      <c r="L43" s="143">
        <v>13957</v>
      </c>
      <c r="M43" s="143">
        <v>25742</v>
      </c>
      <c r="N43" s="143">
        <v>32456</v>
      </c>
      <c r="O43" s="143">
        <v>23875</v>
      </c>
      <c r="P43" s="143">
        <v>10671</v>
      </c>
      <c r="Q43" s="143">
        <v>8984</v>
      </c>
      <c r="R43" s="143">
        <v>7834</v>
      </c>
      <c r="S43" s="143">
        <v>222542</v>
      </c>
    </row>
    <row r="44" spans="1:19" ht="26.4" x14ac:dyDescent="0.3">
      <c r="A44" t="s">
        <v>247</v>
      </c>
      <c r="B44" s="71" t="s">
        <v>167</v>
      </c>
      <c r="C44">
        <v>42</v>
      </c>
      <c r="D44">
        <v>42</v>
      </c>
      <c r="E44">
        <v>41</v>
      </c>
      <c r="F44" s="91" t="s">
        <v>96</v>
      </c>
      <c r="G44" s="95">
        <v>5067</v>
      </c>
      <c r="H44" s="95">
        <v>4164</v>
      </c>
      <c r="I44" s="95">
        <v>20944</v>
      </c>
      <c r="J44" s="95">
        <v>12779</v>
      </c>
      <c r="K44" s="95">
        <v>17011</v>
      </c>
      <c r="L44" s="95">
        <v>7753</v>
      </c>
      <c r="M44" s="95">
        <v>14696</v>
      </c>
      <c r="N44" s="95">
        <v>21023</v>
      </c>
      <c r="O44" s="95">
        <v>14096</v>
      </c>
      <c r="P44" s="95">
        <v>7326</v>
      </c>
      <c r="Q44" s="95">
        <v>4448</v>
      </c>
      <c r="R44" s="95">
        <v>3095</v>
      </c>
      <c r="S44" s="143">
        <v>132402</v>
      </c>
    </row>
    <row r="45" spans="1:19" ht="26.4" x14ac:dyDescent="0.3">
      <c r="A45" t="s">
        <v>247</v>
      </c>
      <c r="B45" s="71" t="s">
        <v>167</v>
      </c>
      <c r="C45">
        <v>43</v>
      </c>
      <c r="D45">
        <v>43</v>
      </c>
      <c r="E45">
        <v>41</v>
      </c>
      <c r="F45" s="93" t="s">
        <v>141</v>
      </c>
      <c r="G45" s="95">
        <v>3393</v>
      </c>
      <c r="H45" s="95">
        <v>2494</v>
      </c>
      <c r="I45" s="95">
        <v>11545</v>
      </c>
      <c r="J45" s="95">
        <v>9701</v>
      </c>
      <c r="K45" s="95">
        <v>10410</v>
      </c>
      <c r="L45" s="95">
        <v>6065</v>
      </c>
      <c r="M45" s="95">
        <v>10979</v>
      </c>
      <c r="N45" s="95">
        <v>11348</v>
      </c>
      <c r="O45" s="95">
        <v>9573</v>
      </c>
      <c r="P45" s="95">
        <v>3257</v>
      </c>
      <c r="Q45" s="95">
        <v>4455</v>
      </c>
      <c r="R45" s="95">
        <v>4502</v>
      </c>
      <c r="S45" s="143">
        <v>87722</v>
      </c>
    </row>
    <row r="46" spans="1:19" ht="26.4" x14ac:dyDescent="0.7">
      <c r="A46" t="s">
        <v>247</v>
      </c>
      <c r="B46" s="71" t="s">
        <v>167</v>
      </c>
      <c r="C46">
        <v>44</v>
      </c>
      <c r="D46">
        <v>44</v>
      </c>
      <c r="E46">
        <v>41</v>
      </c>
      <c r="F46" s="93" t="s">
        <v>121</v>
      </c>
      <c r="G46" s="96">
        <v>229</v>
      </c>
      <c r="H46" s="96">
        <v>121</v>
      </c>
      <c r="I46" s="96">
        <v>300</v>
      </c>
      <c r="J46" s="96">
        <v>218</v>
      </c>
      <c r="K46" s="96">
        <v>647</v>
      </c>
      <c r="L46" s="96">
        <v>139</v>
      </c>
      <c r="M46" s="96">
        <v>67</v>
      </c>
      <c r="N46" s="96">
        <v>85</v>
      </c>
      <c r="O46" s="96">
        <v>206</v>
      </c>
      <c r="P46" s="96">
        <v>88</v>
      </c>
      <c r="Q46" s="96">
        <v>81</v>
      </c>
      <c r="R46" s="96">
        <v>237</v>
      </c>
      <c r="S46" s="143">
        <v>2418</v>
      </c>
    </row>
    <row r="47" spans="1:19" ht="26.4" x14ac:dyDescent="0.3">
      <c r="A47" t="s">
        <v>247</v>
      </c>
      <c r="B47" s="71" t="s">
        <v>167</v>
      </c>
      <c r="C47">
        <v>45</v>
      </c>
      <c r="D47">
        <v>45</v>
      </c>
      <c r="F47" s="89">
        <v>2010</v>
      </c>
      <c r="G47" s="143">
        <v>13029</v>
      </c>
      <c r="H47" s="143">
        <v>13631</v>
      </c>
      <c r="I47" s="143">
        <v>13440</v>
      </c>
      <c r="J47" s="143">
        <v>12198</v>
      </c>
      <c r="K47" s="143">
        <v>16883</v>
      </c>
      <c r="L47" s="143">
        <v>3627</v>
      </c>
      <c r="M47" s="143">
        <v>23436</v>
      </c>
      <c r="N47" s="143">
        <v>23882</v>
      </c>
      <c r="O47" s="143">
        <v>18364</v>
      </c>
      <c r="P47" s="143">
        <v>28289</v>
      </c>
      <c r="Q47" s="143">
        <v>3232</v>
      </c>
      <c r="R47" s="143">
        <v>16634</v>
      </c>
      <c r="S47" s="143">
        <v>186645</v>
      </c>
    </row>
    <row r="48" spans="1:19" ht="26.4" x14ac:dyDescent="0.7">
      <c r="A48" t="s">
        <v>247</v>
      </c>
      <c r="B48" s="71" t="s">
        <v>167</v>
      </c>
      <c r="C48">
        <v>46</v>
      </c>
      <c r="D48">
        <v>46</v>
      </c>
      <c r="E48">
        <v>45</v>
      </c>
      <c r="F48" s="91" t="s">
        <v>96</v>
      </c>
      <c r="G48" s="96">
        <v>6325</v>
      </c>
      <c r="H48" s="96">
        <v>8011</v>
      </c>
      <c r="I48" s="96">
        <v>5844</v>
      </c>
      <c r="J48" s="96">
        <v>5925</v>
      </c>
      <c r="K48" s="96">
        <v>8014</v>
      </c>
      <c r="L48" s="96">
        <v>94</v>
      </c>
      <c r="M48" s="96">
        <v>19894</v>
      </c>
      <c r="N48" s="96">
        <v>18367</v>
      </c>
      <c r="O48" s="96">
        <v>12550</v>
      </c>
      <c r="P48" s="96">
        <v>18804</v>
      </c>
      <c r="Q48" s="96">
        <v>412</v>
      </c>
      <c r="R48" s="96">
        <v>12412</v>
      </c>
      <c r="S48" s="143">
        <v>116652</v>
      </c>
    </row>
    <row r="49" spans="1:19" ht="26.4" x14ac:dyDescent="0.7">
      <c r="A49" t="s">
        <v>247</v>
      </c>
      <c r="B49" s="71" t="s">
        <v>167</v>
      </c>
      <c r="C49">
        <v>47</v>
      </c>
      <c r="D49">
        <v>47</v>
      </c>
      <c r="E49">
        <v>45</v>
      </c>
      <c r="F49" s="93" t="s">
        <v>141</v>
      </c>
      <c r="G49" s="96">
        <v>6453</v>
      </c>
      <c r="H49" s="96">
        <v>5071</v>
      </c>
      <c r="I49" s="96">
        <v>6758</v>
      </c>
      <c r="J49" s="96">
        <v>5719</v>
      </c>
      <c r="K49" s="96">
        <v>8206</v>
      </c>
      <c r="L49" s="96">
        <v>3062</v>
      </c>
      <c r="M49" s="96">
        <v>3229</v>
      </c>
      <c r="N49" s="96">
        <v>4551</v>
      </c>
      <c r="O49" s="96">
        <v>5176</v>
      </c>
      <c r="P49" s="96">
        <v>8378</v>
      </c>
      <c r="Q49" s="96">
        <v>2564</v>
      </c>
      <c r="R49" s="96">
        <v>3714</v>
      </c>
      <c r="S49" s="143">
        <v>62881</v>
      </c>
    </row>
    <row r="50" spans="1:19" ht="26.4" x14ac:dyDescent="0.7">
      <c r="A50" t="s">
        <v>247</v>
      </c>
      <c r="B50" s="71" t="s">
        <v>167</v>
      </c>
      <c r="C50">
        <v>48</v>
      </c>
      <c r="D50">
        <v>48</v>
      </c>
      <c r="E50">
        <v>45</v>
      </c>
      <c r="F50" s="93" t="s">
        <v>121</v>
      </c>
      <c r="G50" s="96">
        <v>251</v>
      </c>
      <c r="H50" s="96">
        <v>549</v>
      </c>
      <c r="I50" s="96">
        <v>838</v>
      </c>
      <c r="J50" s="96">
        <v>554</v>
      </c>
      <c r="K50" s="96">
        <v>663</v>
      </c>
      <c r="L50" s="96">
        <v>471</v>
      </c>
      <c r="M50" s="96">
        <v>313</v>
      </c>
      <c r="N50" s="96">
        <v>964</v>
      </c>
      <c r="O50" s="96">
        <v>638</v>
      </c>
      <c r="P50" s="96">
        <v>1107</v>
      </c>
      <c r="Q50" s="96">
        <v>256</v>
      </c>
      <c r="R50" s="96">
        <v>508</v>
      </c>
      <c r="S50" s="143">
        <v>7112</v>
      </c>
    </row>
    <row r="51" spans="1:19" ht="26.4" x14ac:dyDescent="0.3">
      <c r="A51" t="s">
        <v>247</v>
      </c>
      <c r="B51" s="71" t="s">
        <v>167</v>
      </c>
      <c r="C51">
        <v>49</v>
      </c>
      <c r="D51">
        <v>49</v>
      </c>
      <c r="F51" s="89">
        <v>2011</v>
      </c>
      <c r="G51" s="143">
        <v>17726</v>
      </c>
      <c r="H51" s="143">
        <v>24647</v>
      </c>
      <c r="I51" s="143">
        <v>25354</v>
      </c>
      <c r="J51" s="143">
        <v>18211</v>
      </c>
      <c r="K51" s="143">
        <v>29604</v>
      </c>
      <c r="L51" s="143">
        <v>7053</v>
      </c>
      <c r="M51" s="143">
        <v>24855</v>
      </c>
      <c r="N51" s="143">
        <v>31747</v>
      </c>
      <c r="O51" s="143">
        <v>32907</v>
      </c>
      <c r="P51" s="143">
        <v>38127</v>
      </c>
      <c r="Q51" s="143">
        <v>3666</v>
      </c>
      <c r="R51" s="143">
        <v>32466</v>
      </c>
      <c r="S51" s="143">
        <v>286363</v>
      </c>
    </row>
    <row r="52" spans="1:19" ht="26.4" x14ac:dyDescent="0.7">
      <c r="A52" t="s">
        <v>247</v>
      </c>
      <c r="B52" s="71" t="s">
        <v>167</v>
      </c>
      <c r="C52">
        <v>50</v>
      </c>
      <c r="D52">
        <v>50</v>
      </c>
      <c r="E52">
        <v>49</v>
      </c>
      <c r="F52" s="91" t="s">
        <v>96</v>
      </c>
      <c r="G52" s="96">
        <v>13166</v>
      </c>
      <c r="H52" s="96">
        <v>12298</v>
      </c>
      <c r="I52" s="96">
        <v>10056</v>
      </c>
      <c r="J52" s="96">
        <v>4279</v>
      </c>
      <c r="K52" s="96">
        <v>7133</v>
      </c>
      <c r="L52" s="96">
        <v>1429</v>
      </c>
      <c r="M52" s="96">
        <v>19108</v>
      </c>
      <c r="N52" s="96">
        <v>21257</v>
      </c>
      <c r="O52" s="96">
        <v>24694</v>
      </c>
      <c r="P52" s="96">
        <v>19104</v>
      </c>
      <c r="Q52" s="96">
        <v>447</v>
      </c>
      <c r="R52" s="96">
        <v>29059</v>
      </c>
      <c r="S52" s="143">
        <v>162030</v>
      </c>
    </row>
    <row r="53" spans="1:19" ht="26.4" x14ac:dyDescent="0.7">
      <c r="A53" t="s">
        <v>247</v>
      </c>
      <c r="B53" s="71" t="s">
        <v>167</v>
      </c>
      <c r="C53">
        <v>51</v>
      </c>
      <c r="D53">
        <v>51</v>
      </c>
      <c r="E53">
        <v>49</v>
      </c>
      <c r="F53" s="93" t="s">
        <v>141</v>
      </c>
      <c r="G53" s="96">
        <v>4062</v>
      </c>
      <c r="H53" s="96">
        <v>11859</v>
      </c>
      <c r="I53" s="96">
        <v>14805</v>
      </c>
      <c r="J53" s="96">
        <v>13620</v>
      </c>
      <c r="K53" s="96">
        <v>22085</v>
      </c>
      <c r="L53" s="96">
        <v>5226</v>
      </c>
      <c r="M53" s="96">
        <v>5326</v>
      </c>
      <c r="N53" s="96">
        <v>9731</v>
      </c>
      <c r="O53" s="96">
        <v>7681</v>
      </c>
      <c r="P53" s="96">
        <v>18588</v>
      </c>
      <c r="Q53" s="96">
        <v>2338</v>
      </c>
      <c r="R53" s="96">
        <v>3110</v>
      </c>
      <c r="S53" s="143">
        <v>118431</v>
      </c>
    </row>
    <row r="54" spans="1:19" ht="26.4" x14ac:dyDescent="0.7">
      <c r="A54" t="s">
        <v>247</v>
      </c>
      <c r="B54" s="71" t="s">
        <v>167</v>
      </c>
      <c r="C54">
        <v>52</v>
      </c>
      <c r="D54">
        <v>52</v>
      </c>
      <c r="E54">
        <v>49</v>
      </c>
      <c r="F54" s="93" t="s">
        <v>121</v>
      </c>
      <c r="G54" s="96">
        <v>498</v>
      </c>
      <c r="H54" s="96">
        <v>490</v>
      </c>
      <c r="I54" s="96">
        <v>493</v>
      </c>
      <c r="J54" s="96">
        <v>312</v>
      </c>
      <c r="K54" s="96">
        <v>386</v>
      </c>
      <c r="L54" s="96">
        <v>398</v>
      </c>
      <c r="M54" s="96">
        <v>421</v>
      </c>
      <c r="N54" s="96">
        <v>759</v>
      </c>
      <c r="O54" s="96">
        <v>532</v>
      </c>
      <c r="P54" s="96">
        <v>435</v>
      </c>
      <c r="Q54" s="96">
        <v>881</v>
      </c>
      <c r="R54" s="96">
        <v>297</v>
      </c>
      <c r="S54" s="143">
        <v>5902</v>
      </c>
    </row>
    <row r="55" spans="1:19" ht="26.4" x14ac:dyDescent="0.3">
      <c r="A55" t="s">
        <v>247</v>
      </c>
      <c r="B55" s="71" t="s">
        <v>167</v>
      </c>
      <c r="C55">
        <v>53</v>
      </c>
      <c r="D55">
        <v>53</v>
      </c>
      <c r="F55" s="89">
        <v>2012</v>
      </c>
      <c r="G55" s="143">
        <v>25221</v>
      </c>
      <c r="H55" s="143">
        <v>41432</v>
      </c>
      <c r="I55" s="143">
        <v>20363</v>
      </c>
      <c r="J55" s="143">
        <v>17887</v>
      </c>
      <c r="K55" s="143">
        <v>35630</v>
      </c>
      <c r="L55" s="143">
        <v>11583</v>
      </c>
      <c r="M55" s="143">
        <v>12678</v>
      </c>
      <c r="N55" s="143">
        <v>56567</v>
      </c>
      <c r="O55" s="143">
        <v>30495</v>
      </c>
      <c r="P55" s="143">
        <v>32870</v>
      </c>
      <c r="Q55" s="143">
        <v>16803</v>
      </c>
      <c r="R55" s="143">
        <v>12349</v>
      </c>
      <c r="S55" s="143">
        <v>313878</v>
      </c>
    </row>
    <row r="56" spans="1:19" ht="26.4" x14ac:dyDescent="0.7">
      <c r="A56" t="s">
        <v>247</v>
      </c>
      <c r="B56" s="71" t="s">
        <v>167</v>
      </c>
      <c r="C56">
        <v>54</v>
      </c>
      <c r="D56">
        <v>54</v>
      </c>
      <c r="E56">
        <v>53</v>
      </c>
      <c r="F56" s="91" t="s">
        <v>96</v>
      </c>
      <c r="G56" s="96">
        <v>13679</v>
      </c>
      <c r="H56" s="96">
        <v>29570</v>
      </c>
      <c r="I56" s="96">
        <v>9849</v>
      </c>
      <c r="J56" s="96">
        <v>3466</v>
      </c>
      <c r="K56" s="96">
        <v>20230</v>
      </c>
      <c r="L56" s="96">
        <v>6395</v>
      </c>
      <c r="M56" s="96">
        <v>8966</v>
      </c>
      <c r="N56" s="96">
        <v>45976</v>
      </c>
      <c r="O56" s="96">
        <v>17105</v>
      </c>
      <c r="P56" s="96">
        <v>15061</v>
      </c>
      <c r="Q56" s="96">
        <v>11261</v>
      </c>
      <c r="R56" s="96">
        <v>11673</v>
      </c>
      <c r="S56" s="143">
        <v>193231</v>
      </c>
    </row>
    <row r="57" spans="1:19" ht="26.4" x14ac:dyDescent="0.7">
      <c r="A57" t="s">
        <v>247</v>
      </c>
      <c r="B57" s="71" t="s">
        <v>167</v>
      </c>
      <c r="C57">
        <v>55</v>
      </c>
      <c r="D57">
        <v>55</v>
      </c>
      <c r="E57">
        <v>53</v>
      </c>
      <c r="F57" s="93" t="s">
        <v>141</v>
      </c>
      <c r="G57" s="96">
        <v>11012</v>
      </c>
      <c r="H57" s="96">
        <v>11625</v>
      </c>
      <c r="I57" s="96">
        <v>9750</v>
      </c>
      <c r="J57" s="96">
        <v>13528</v>
      </c>
      <c r="K57" s="96">
        <v>14666</v>
      </c>
      <c r="L57" s="96">
        <v>4360</v>
      </c>
      <c r="M57" s="96">
        <v>3478</v>
      </c>
      <c r="N57" s="96">
        <v>10334</v>
      </c>
      <c r="O57" s="96">
        <v>12822</v>
      </c>
      <c r="P57" s="96">
        <v>17463</v>
      </c>
      <c r="Q57" s="96">
        <v>5304</v>
      </c>
      <c r="R57" s="96">
        <v>511</v>
      </c>
      <c r="S57" s="143">
        <v>114853</v>
      </c>
    </row>
    <row r="58" spans="1:19" ht="26.4" x14ac:dyDescent="0.7">
      <c r="A58" t="s">
        <v>247</v>
      </c>
      <c r="B58" s="71" t="s">
        <v>167</v>
      </c>
      <c r="C58">
        <v>56</v>
      </c>
      <c r="D58">
        <v>56</v>
      </c>
      <c r="E58">
        <v>53</v>
      </c>
      <c r="F58" s="93" t="s">
        <v>121</v>
      </c>
      <c r="G58" s="96">
        <v>530</v>
      </c>
      <c r="H58" s="96">
        <v>237</v>
      </c>
      <c r="I58" s="96">
        <v>764</v>
      </c>
      <c r="J58" s="96">
        <v>893</v>
      </c>
      <c r="K58" s="96">
        <v>734</v>
      </c>
      <c r="L58" s="96">
        <v>828</v>
      </c>
      <c r="M58" s="96">
        <v>234</v>
      </c>
      <c r="N58" s="96">
        <v>257</v>
      </c>
      <c r="O58" s="96">
        <v>568</v>
      </c>
      <c r="P58" s="96">
        <v>346</v>
      </c>
      <c r="Q58" s="96">
        <v>238</v>
      </c>
      <c r="R58" s="96">
        <v>165</v>
      </c>
      <c r="S58" s="143">
        <v>5794</v>
      </c>
    </row>
    <row r="59" spans="1:19" ht="26.4" x14ac:dyDescent="0.3">
      <c r="A59" t="s">
        <v>247</v>
      </c>
      <c r="B59" s="71" t="s">
        <v>167</v>
      </c>
      <c r="C59">
        <v>57</v>
      </c>
      <c r="D59">
        <v>57</v>
      </c>
      <c r="F59" s="89">
        <v>2013</v>
      </c>
      <c r="G59" s="143">
        <v>10818</v>
      </c>
      <c r="H59" s="143">
        <v>20378</v>
      </c>
      <c r="I59" s="143">
        <v>16748</v>
      </c>
      <c r="J59" s="143">
        <v>11112</v>
      </c>
      <c r="K59" s="143">
        <v>19229</v>
      </c>
      <c r="L59" s="143">
        <v>7244</v>
      </c>
      <c r="M59" s="143">
        <v>19846</v>
      </c>
      <c r="N59" s="143">
        <v>18249</v>
      </c>
      <c r="O59" s="143">
        <v>25825</v>
      </c>
      <c r="P59" s="143">
        <v>18775</v>
      </c>
      <c r="Q59" s="143">
        <v>4656</v>
      </c>
      <c r="R59" s="143">
        <v>14093</v>
      </c>
      <c r="S59" s="143">
        <v>186973</v>
      </c>
    </row>
    <row r="60" spans="1:19" ht="26.4" x14ac:dyDescent="0.7">
      <c r="A60" t="s">
        <v>247</v>
      </c>
      <c r="B60" s="71" t="s">
        <v>167</v>
      </c>
      <c r="C60">
        <v>58</v>
      </c>
      <c r="D60">
        <v>58</v>
      </c>
      <c r="E60">
        <v>57</v>
      </c>
      <c r="F60" s="91" t="s">
        <v>96</v>
      </c>
      <c r="G60" s="96">
        <v>4806</v>
      </c>
      <c r="H60" s="96">
        <v>15743</v>
      </c>
      <c r="I60" s="96">
        <v>4647</v>
      </c>
      <c r="J60" s="96">
        <v>415</v>
      </c>
      <c r="K60" s="96">
        <v>9757</v>
      </c>
      <c r="L60" s="96">
        <v>1270</v>
      </c>
      <c r="M60" s="96">
        <v>16445</v>
      </c>
      <c r="N60" s="96">
        <v>13858</v>
      </c>
      <c r="O60" s="96">
        <v>16989</v>
      </c>
      <c r="P60" s="96">
        <v>10514</v>
      </c>
      <c r="Q60" s="96">
        <v>957</v>
      </c>
      <c r="R60" s="96">
        <v>10170</v>
      </c>
      <c r="S60" s="143">
        <v>105571</v>
      </c>
    </row>
    <row r="61" spans="1:19" ht="26.4" x14ac:dyDescent="0.7">
      <c r="A61" t="s">
        <v>247</v>
      </c>
      <c r="B61" s="71" t="s">
        <v>167</v>
      </c>
      <c r="C61">
        <v>59</v>
      </c>
      <c r="D61">
        <v>59</v>
      </c>
      <c r="E61">
        <v>57</v>
      </c>
      <c r="F61" s="93" t="s">
        <v>141</v>
      </c>
      <c r="G61" s="96">
        <v>5440</v>
      </c>
      <c r="H61" s="96">
        <v>4022</v>
      </c>
      <c r="I61" s="96">
        <v>11508</v>
      </c>
      <c r="J61" s="96">
        <v>9925</v>
      </c>
      <c r="K61" s="96">
        <v>8463</v>
      </c>
      <c r="L61" s="96">
        <v>5656</v>
      </c>
      <c r="M61" s="96">
        <v>3328</v>
      </c>
      <c r="N61" s="96">
        <v>4135</v>
      </c>
      <c r="O61" s="96">
        <v>8224</v>
      </c>
      <c r="P61" s="96">
        <v>7543</v>
      </c>
      <c r="Q61" s="96">
        <v>3486</v>
      </c>
      <c r="R61" s="96">
        <v>3772</v>
      </c>
      <c r="S61" s="143">
        <v>75502</v>
      </c>
    </row>
    <row r="62" spans="1:19" ht="26.4" x14ac:dyDescent="0.7">
      <c r="A62" t="s">
        <v>247</v>
      </c>
      <c r="B62" s="71" t="s">
        <v>167</v>
      </c>
      <c r="C62">
        <v>60</v>
      </c>
      <c r="D62">
        <v>60</v>
      </c>
      <c r="E62">
        <v>57</v>
      </c>
      <c r="F62" s="93" t="s">
        <v>121</v>
      </c>
      <c r="G62" s="96">
        <v>572</v>
      </c>
      <c r="H62" s="96">
        <v>613</v>
      </c>
      <c r="I62" s="96">
        <v>593</v>
      </c>
      <c r="J62" s="96">
        <v>772</v>
      </c>
      <c r="K62" s="96">
        <v>1009</v>
      </c>
      <c r="L62" s="96">
        <v>318</v>
      </c>
      <c r="M62" s="96">
        <v>73</v>
      </c>
      <c r="N62" s="96">
        <v>256</v>
      </c>
      <c r="O62" s="96">
        <v>612</v>
      </c>
      <c r="P62" s="96">
        <v>718</v>
      </c>
      <c r="Q62" s="96">
        <v>213</v>
      </c>
      <c r="R62" s="96">
        <v>151</v>
      </c>
      <c r="S62" s="143">
        <v>5900</v>
      </c>
    </row>
    <row r="63" spans="1:19" ht="26.4" x14ac:dyDescent="0.3">
      <c r="A63" t="s">
        <v>247</v>
      </c>
      <c r="B63" s="71" t="s">
        <v>167</v>
      </c>
      <c r="C63">
        <v>61</v>
      </c>
      <c r="D63">
        <v>61</v>
      </c>
      <c r="F63" s="89">
        <v>2015</v>
      </c>
      <c r="G63" s="143">
        <v>17099</v>
      </c>
      <c r="H63" s="143">
        <v>20717</v>
      </c>
      <c r="I63" s="143">
        <v>18482</v>
      </c>
      <c r="J63" s="143">
        <v>22384</v>
      </c>
      <c r="K63" s="143">
        <v>22544</v>
      </c>
      <c r="L63" s="143">
        <v>6629</v>
      </c>
      <c r="M63" s="143">
        <v>29644</v>
      </c>
      <c r="N63" s="143">
        <v>27995</v>
      </c>
      <c r="O63" s="143">
        <v>21265</v>
      </c>
      <c r="P63" s="143">
        <v>23131</v>
      </c>
      <c r="Q63" s="143">
        <v>8291</v>
      </c>
      <c r="R63" s="143">
        <v>13231</v>
      </c>
      <c r="S63" s="143">
        <v>231412</v>
      </c>
    </row>
    <row r="64" spans="1:19" ht="26.4" x14ac:dyDescent="0.7">
      <c r="A64" t="s">
        <v>247</v>
      </c>
      <c r="B64" s="71" t="s">
        <v>167</v>
      </c>
      <c r="C64">
        <v>62</v>
      </c>
      <c r="D64">
        <v>62</v>
      </c>
      <c r="E64">
        <v>61</v>
      </c>
      <c r="F64" s="91" t="s">
        <v>96</v>
      </c>
      <c r="G64" s="96">
        <v>6701</v>
      </c>
      <c r="H64" s="96">
        <v>4979</v>
      </c>
      <c r="I64" s="96">
        <v>3640</v>
      </c>
      <c r="J64" s="96">
        <v>8068</v>
      </c>
      <c r="K64" s="96">
        <v>7805</v>
      </c>
      <c r="L64" s="96">
        <v>0</v>
      </c>
      <c r="M64" s="96">
        <v>21552</v>
      </c>
      <c r="N64" s="96">
        <v>16062</v>
      </c>
      <c r="O64" s="96">
        <v>6769</v>
      </c>
      <c r="P64" s="96">
        <v>6185</v>
      </c>
      <c r="Q64" s="96">
        <v>137</v>
      </c>
      <c r="R64" s="96">
        <v>0</v>
      </c>
      <c r="S64" s="143">
        <v>81898</v>
      </c>
    </row>
    <row r="65" spans="1:19" ht="26.4" x14ac:dyDescent="0.7">
      <c r="A65" t="s">
        <v>247</v>
      </c>
      <c r="B65" s="71" t="s">
        <v>167</v>
      </c>
      <c r="C65">
        <v>63</v>
      </c>
      <c r="D65">
        <v>63</v>
      </c>
      <c r="E65">
        <v>61</v>
      </c>
      <c r="F65" s="93" t="s">
        <v>141</v>
      </c>
      <c r="G65" s="96">
        <v>10064</v>
      </c>
      <c r="H65" s="96">
        <v>14000</v>
      </c>
      <c r="I65" s="96">
        <v>13138</v>
      </c>
      <c r="J65" s="96">
        <v>13010</v>
      </c>
      <c r="K65" s="96">
        <v>13163</v>
      </c>
      <c r="L65" s="96">
        <v>5020</v>
      </c>
      <c r="M65" s="96">
        <v>7050</v>
      </c>
      <c r="N65" s="96">
        <v>10651</v>
      </c>
      <c r="O65" s="96">
        <v>13588</v>
      </c>
      <c r="P65" s="96">
        <v>16006</v>
      </c>
      <c r="Q65" s="96">
        <v>6571</v>
      </c>
      <c r="R65" s="96">
        <v>11308</v>
      </c>
      <c r="S65" s="143">
        <v>133569</v>
      </c>
    </row>
    <row r="66" spans="1:19" ht="26.4" x14ac:dyDescent="0.7">
      <c r="A66" t="s">
        <v>247</v>
      </c>
      <c r="B66" s="71" t="s">
        <v>167</v>
      </c>
      <c r="C66">
        <v>64</v>
      </c>
      <c r="D66">
        <v>64</v>
      </c>
      <c r="E66">
        <v>61</v>
      </c>
      <c r="F66" s="93" t="s">
        <v>121</v>
      </c>
      <c r="G66" s="96">
        <v>334</v>
      </c>
      <c r="H66" s="96">
        <v>1738</v>
      </c>
      <c r="I66" s="96">
        <v>1704</v>
      </c>
      <c r="J66" s="96">
        <v>1306</v>
      </c>
      <c r="K66" s="96">
        <v>1576</v>
      </c>
      <c r="L66" s="96">
        <v>1609</v>
      </c>
      <c r="M66" s="96">
        <v>1042</v>
      </c>
      <c r="N66" s="96">
        <v>1282</v>
      </c>
      <c r="O66" s="96">
        <v>908</v>
      </c>
      <c r="P66" s="96">
        <v>940</v>
      </c>
      <c r="Q66" s="96">
        <v>1583</v>
      </c>
      <c r="R66" s="96">
        <v>1923</v>
      </c>
      <c r="S66" s="143">
        <v>15945</v>
      </c>
    </row>
    <row r="67" spans="1:19" ht="26.4" x14ac:dyDescent="0.3">
      <c r="A67" t="s">
        <v>247</v>
      </c>
      <c r="B67" s="71" t="s">
        <v>167</v>
      </c>
      <c r="C67">
        <v>65</v>
      </c>
      <c r="D67">
        <v>65</v>
      </c>
      <c r="F67" s="89">
        <v>2016</v>
      </c>
      <c r="G67" s="143">
        <v>27355</v>
      </c>
      <c r="H67" s="143">
        <v>14800</v>
      </c>
      <c r="I67" s="143">
        <v>24133</v>
      </c>
      <c r="J67" s="143">
        <v>18496</v>
      </c>
      <c r="K67" s="143">
        <v>17533</v>
      </c>
      <c r="L67" s="143">
        <v>5710</v>
      </c>
      <c r="M67" s="143">
        <v>31895</v>
      </c>
      <c r="N67" s="143">
        <v>32567</v>
      </c>
      <c r="O67" s="143">
        <v>24627</v>
      </c>
      <c r="P67" s="143">
        <v>26968</v>
      </c>
      <c r="Q67" s="143">
        <v>15876</v>
      </c>
      <c r="R67" s="143">
        <v>20193</v>
      </c>
      <c r="S67" s="143">
        <v>260153</v>
      </c>
    </row>
    <row r="68" spans="1:19" ht="26.4" x14ac:dyDescent="0.7">
      <c r="A68" t="s">
        <v>247</v>
      </c>
      <c r="B68" s="71" t="s">
        <v>167</v>
      </c>
      <c r="C68">
        <v>66</v>
      </c>
      <c r="D68">
        <v>66</v>
      </c>
      <c r="E68">
        <v>65</v>
      </c>
      <c r="F68" s="91" t="s">
        <v>96</v>
      </c>
      <c r="G68" s="96">
        <v>12957</v>
      </c>
      <c r="H68" s="96">
        <v>2715</v>
      </c>
      <c r="I68" s="96">
        <v>8720</v>
      </c>
      <c r="J68" s="96">
        <v>4614</v>
      </c>
      <c r="K68" s="96">
        <v>5812</v>
      </c>
      <c r="L68" s="96">
        <v>0</v>
      </c>
      <c r="M68" s="96">
        <v>23716</v>
      </c>
      <c r="N68" s="96">
        <v>15064</v>
      </c>
      <c r="O68" s="96">
        <v>12731</v>
      </c>
      <c r="P68" s="96">
        <v>11863</v>
      </c>
      <c r="Q68" s="96">
        <v>0</v>
      </c>
      <c r="R68" s="96">
        <v>0</v>
      </c>
      <c r="S68" s="143">
        <v>98192</v>
      </c>
    </row>
    <row r="69" spans="1:19" ht="26.4" x14ac:dyDescent="0.7">
      <c r="A69" t="s">
        <v>247</v>
      </c>
      <c r="B69" s="71" t="s">
        <v>167</v>
      </c>
      <c r="C69">
        <v>67</v>
      </c>
      <c r="D69">
        <v>67</v>
      </c>
      <c r="E69">
        <v>65</v>
      </c>
      <c r="F69" s="93" t="s">
        <v>141</v>
      </c>
      <c r="G69" s="96">
        <v>13129</v>
      </c>
      <c r="H69" s="96">
        <v>10397</v>
      </c>
      <c r="I69" s="96">
        <v>13218</v>
      </c>
      <c r="J69" s="96">
        <v>12183</v>
      </c>
      <c r="K69" s="96">
        <v>9844</v>
      </c>
      <c r="L69" s="96">
        <v>4091</v>
      </c>
      <c r="M69" s="96">
        <v>7138</v>
      </c>
      <c r="N69" s="96">
        <v>16440</v>
      </c>
      <c r="O69" s="96">
        <v>10835</v>
      </c>
      <c r="P69" s="96">
        <v>13329</v>
      </c>
      <c r="Q69" s="96">
        <v>13926</v>
      </c>
      <c r="R69" s="96">
        <v>18714</v>
      </c>
      <c r="S69" s="143">
        <v>143244</v>
      </c>
    </row>
    <row r="70" spans="1:19" ht="26.4" x14ac:dyDescent="0.7">
      <c r="A70" t="s">
        <v>247</v>
      </c>
      <c r="B70" s="71" t="s">
        <v>167</v>
      </c>
      <c r="C70">
        <v>68</v>
      </c>
      <c r="D70">
        <v>68</v>
      </c>
      <c r="E70">
        <v>65</v>
      </c>
      <c r="F70" s="93" t="s">
        <v>121</v>
      </c>
      <c r="G70" s="96">
        <v>1269</v>
      </c>
      <c r="H70" s="96">
        <v>1688</v>
      </c>
      <c r="I70" s="96">
        <v>2195</v>
      </c>
      <c r="J70" s="96">
        <v>1699</v>
      </c>
      <c r="K70" s="96">
        <v>1877</v>
      </c>
      <c r="L70" s="96">
        <v>1619</v>
      </c>
      <c r="M70" s="96">
        <v>1041</v>
      </c>
      <c r="N70" s="96">
        <v>1063</v>
      </c>
      <c r="O70" s="96">
        <v>1061</v>
      </c>
      <c r="P70" s="96">
        <v>1776</v>
      </c>
      <c r="Q70" s="96">
        <v>1950</v>
      </c>
      <c r="R70" s="96">
        <v>1479</v>
      </c>
      <c r="S70" s="143">
        <v>18717</v>
      </c>
    </row>
    <row r="71" spans="1:19" ht="26.4" x14ac:dyDescent="0.3">
      <c r="A71" t="s">
        <v>247</v>
      </c>
      <c r="B71" s="71" t="s">
        <v>167</v>
      </c>
      <c r="C71">
        <v>69</v>
      </c>
      <c r="D71">
        <v>69</v>
      </c>
      <c r="F71" s="89">
        <v>2017</v>
      </c>
      <c r="G71" s="143">
        <v>40886</v>
      </c>
      <c r="H71" s="143">
        <v>47224</v>
      </c>
      <c r="I71" s="143">
        <v>30403</v>
      </c>
      <c r="J71" s="143">
        <v>18928</v>
      </c>
      <c r="K71" s="143">
        <v>29394</v>
      </c>
      <c r="L71" s="143">
        <v>9829</v>
      </c>
      <c r="M71" s="143">
        <v>31855</v>
      </c>
      <c r="N71" s="143">
        <v>50706</v>
      </c>
      <c r="O71" s="143">
        <v>34034</v>
      </c>
      <c r="P71" s="143">
        <v>39043</v>
      </c>
      <c r="Q71" s="143">
        <v>10519</v>
      </c>
      <c r="R71" s="143">
        <v>31728</v>
      </c>
      <c r="S71" s="143">
        <v>374549</v>
      </c>
    </row>
    <row r="72" spans="1:19" ht="26.4" x14ac:dyDescent="0.7">
      <c r="A72" t="s">
        <v>247</v>
      </c>
      <c r="B72" s="71" t="s">
        <v>167</v>
      </c>
      <c r="C72">
        <v>70</v>
      </c>
      <c r="D72">
        <v>70</v>
      </c>
      <c r="E72">
        <v>69</v>
      </c>
      <c r="F72" s="91" t="s">
        <v>96</v>
      </c>
      <c r="G72" s="96">
        <v>16596</v>
      </c>
      <c r="H72" s="96">
        <v>20189</v>
      </c>
      <c r="I72" s="96">
        <v>8069</v>
      </c>
      <c r="J72" s="96">
        <v>3388</v>
      </c>
      <c r="K72" s="96">
        <v>6101</v>
      </c>
      <c r="L72" s="96">
        <v>402</v>
      </c>
      <c r="M72" s="96">
        <v>10634</v>
      </c>
      <c r="N72" s="96">
        <v>19453</v>
      </c>
      <c r="O72" s="96">
        <v>8654</v>
      </c>
      <c r="P72" s="96">
        <v>12712</v>
      </c>
      <c r="Q72" s="96">
        <v>127</v>
      </c>
      <c r="R72" s="96">
        <v>9899</v>
      </c>
      <c r="S72" s="143">
        <v>116224</v>
      </c>
    </row>
    <row r="73" spans="1:19" ht="26.4" x14ac:dyDescent="0.7">
      <c r="A73" t="s">
        <v>247</v>
      </c>
      <c r="B73" s="71" t="s">
        <v>167</v>
      </c>
      <c r="C73">
        <v>71</v>
      </c>
      <c r="D73">
        <v>71</v>
      </c>
      <c r="E73">
        <v>69</v>
      </c>
      <c r="F73" s="93" t="s">
        <v>141</v>
      </c>
      <c r="G73" s="96">
        <v>22610</v>
      </c>
      <c r="H73" s="96">
        <v>26226</v>
      </c>
      <c r="I73" s="96">
        <v>20988</v>
      </c>
      <c r="J73" s="96">
        <v>13881</v>
      </c>
      <c r="K73" s="96">
        <v>21482</v>
      </c>
      <c r="L73" s="96">
        <v>8131</v>
      </c>
      <c r="M73" s="96">
        <v>20190</v>
      </c>
      <c r="N73" s="96">
        <v>29980</v>
      </c>
      <c r="O73" s="96">
        <v>23648</v>
      </c>
      <c r="P73" s="96">
        <v>24305</v>
      </c>
      <c r="Q73" s="96">
        <v>8600</v>
      </c>
      <c r="R73" s="96">
        <v>19849</v>
      </c>
      <c r="S73" s="143">
        <v>239890</v>
      </c>
    </row>
    <row r="74" spans="1:19" ht="26.4" x14ac:dyDescent="0.7">
      <c r="A74" t="s">
        <v>247</v>
      </c>
      <c r="B74" s="71" t="s">
        <v>167</v>
      </c>
      <c r="C74">
        <v>72</v>
      </c>
      <c r="D74">
        <v>72</v>
      </c>
      <c r="E74">
        <v>69</v>
      </c>
      <c r="F74" s="93" t="s">
        <v>121</v>
      </c>
      <c r="G74" s="96">
        <v>1680</v>
      </c>
      <c r="H74" s="96">
        <v>809</v>
      </c>
      <c r="I74" s="96">
        <v>1346</v>
      </c>
      <c r="J74" s="96">
        <v>1659</v>
      </c>
      <c r="K74" s="96">
        <v>1811</v>
      </c>
      <c r="L74" s="96">
        <v>1296</v>
      </c>
      <c r="M74" s="96">
        <v>1031</v>
      </c>
      <c r="N74" s="96">
        <v>1273</v>
      </c>
      <c r="O74" s="96">
        <v>1732</v>
      </c>
      <c r="P74" s="96">
        <v>2026</v>
      </c>
      <c r="Q74" s="96">
        <v>1792</v>
      </c>
      <c r="R74" s="96">
        <v>1980</v>
      </c>
      <c r="S74" s="143">
        <v>18435</v>
      </c>
    </row>
    <row r="75" spans="1:19" ht="26.4" x14ac:dyDescent="0.3">
      <c r="A75" t="s">
        <v>247</v>
      </c>
      <c r="B75" s="71" t="s">
        <v>167</v>
      </c>
      <c r="C75">
        <v>73</v>
      </c>
      <c r="D75">
        <v>73</v>
      </c>
      <c r="F75" s="89">
        <v>2018</v>
      </c>
      <c r="G75" s="143">
        <v>31653</v>
      </c>
      <c r="H75" s="143">
        <v>46082</v>
      </c>
      <c r="I75" s="143">
        <v>39431</v>
      </c>
      <c r="J75" s="143">
        <v>41484</v>
      </c>
      <c r="K75" s="143">
        <v>39529</v>
      </c>
      <c r="L75" s="143">
        <v>15029</v>
      </c>
      <c r="M75" s="143">
        <v>59135</v>
      </c>
      <c r="N75" s="143">
        <v>53605</v>
      </c>
      <c r="O75" s="143">
        <v>55965</v>
      </c>
      <c r="P75" s="143">
        <v>41386</v>
      </c>
      <c r="Q75" s="143">
        <v>13580</v>
      </c>
      <c r="R75" s="143">
        <v>16092</v>
      </c>
      <c r="S75" s="143">
        <v>452971</v>
      </c>
    </row>
    <row r="76" spans="1:19" ht="26.4" x14ac:dyDescent="0.7">
      <c r="A76" t="s">
        <v>247</v>
      </c>
      <c r="B76" s="71" t="s">
        <v>167</v>
      </c>
      <c r="C76">
        <v>74</v>
      </c>
      <c r="D76">
        <v>74</v>
      </c>
      <c r="E76">
        <v>73</v>
      </c>
      <c r="F76" s="91" t="s">
        <v>96</v>
      </c>
      <c r="G76" s="96">
        <v>9900</v>
      </c>
      <c r="H76" s="96">
        <v>14246</v>
      </c>
      <c r="I76" s="96">
        <v>8858</v>
      </c>
      <c r="J76" s="96">
        <v>7188</v>
      </c>
      <c r="K76" s="96">
        <v>8912</v>
      </c>
      <c r="L76" s="96">
        <v>0</v>
      </c>
      <c r="M76" s="96">
        <v>21578</v>
      </c>
      <c r="N76" s="96">
        <v>15217</v>
      </c>
      <c r="O76" s="96">
        <v>18603</v>
      </c>
      <c r="P76" s="96">
        <v>9527</v>
      </c>
      <c r="Q76" s="96">
        <v>3346</v>
      </c>
      <c r="R76" s="96">
        <v>353</v>
      </c>
      <c r="S76" s="143">
        <v>117728</v>
      </c>
    </row>
    <row r="77" spans="1:19" ht="26.4" x14ac:dyDescent="0.7">
      <c r="A77" t="s">
        <v>247</v>
      </c>
      <c r="B77" s="71" t="s">
        <v>167</v>
      </c>
      <c r="C77">
        <v>75</v>
      </c>
      <c r="D77">
        <v>75</v>
      </c>
      <c r="E77">
        <v>73</v>
      </c>
      <c r="F77" s="93" t="s">
        <v>141</v>
      </c>
      <c r="G77" s="96">
        <v>19774</v>
      </c>
      <c r="H77" s="96">
        <v>28732</v>
      </c>
      <c r="I77" s="96">
        <v>27276</v>
      </c>
      <c r="J77" s="96">
        <v>31265</v>
      </c>
      <c r="K77" s="96">
        <v>27169</v>
      </c>
      <c r="L77" s="96">
        <v>12441</v>
      </c>
      <c r="M77" s="96">
        <v>33867</v>
      </c>
      <c r="N77" s="96">
        <v>34477</v>
      </c>
      <c r="O77" s="96">
        <v>34334</v>
      </c>
      <c r="P77" s="96">
        <v>27253</v>
      </c>
      <c r="Q77" s="96">
        <v>5764</v>
      </c>
      <c r="R77" s="96">
        <v>11845</v>
      </c>
      <c r="S77" s="143">
        <v>294197</v>
      </c>
    </row>
    <row r="78" spans="1:19" ht="26.4" x14ac:dyDescent="0.7">
      <c r="A78" t="s">
        <v>247</v>
      </c>
      <c r="B78" s="71" t="s">
        <v>167</v>
      </c>
      <c r="C78">
        <v>76</v>
      </c>
      <c r="D78">
        <v>76</v>
      </c>
      <c r="E78">
        <v>73</v>
      </c>
      <c r="F78" s="93" t="s">
        <v>121</v>
      </c>
      <c r="G78" s="96">
        <v>1979</v>
      </c>
      <c r="H78" s="96">
        <v>3104</v>
      </c>
      <c r="I78" s="96">
        <v>3297</v>
      </c>
      <c r="J78" s="96">
        <v>3031</v>
      </c>
      <c r="K78" s="96">
        <v>3448</v>
      </c>
      <c r="L78" s="96">
        <v>2588</v>
      </c>
      <c r="M78" s="96">
        <v>3690</v>
      </c>
      <c r="N78" s="96">
        <v>3911</v>
      </c>
      <c r="O78" s="96">
        <v>3028</v>
      </c>
      <c r="P78" s="96">
        <v>4606</v>
      </c>
      <c r="Q78" s="96">
        <v>4470</v>
      </c>
      <c r="R78" s="96">
        <v>3894</v>
      </c>
      <c r="S78" s="143">
        <v>41046</v>
      </c>
    </row>
    <row r="79" spans="1:19" ht="26.4" x14ac:dyDescent="0.3">
      <c r="A79" t="s">
        <v>247</v>
      </c>
      <c r="B79" s="71" t="s">
        <v>167</v>
      </c>
      <c r="C79">
        <v>77</v>
      </c>
      <c r="D79">
        <v>77</v>
      </c>
      <c r="F79" s="89">
        <v>2019</v>
      </c>
      <c r="G79" s="143">
        <v>31711</v>
      </c>
      <c r="H79" s="143">
        <v>50623</v>
      </c>
      <c r="I79" s="143">
        <v>34337</v>
      </c>
      <c r="J79" s="143">
        <v>55943</v>
      </c>
      <c r="K79" s="143">
        <v>50460</v>
      </c>
      <c r="L79" s="143">
        <v>14981</v>
      </c>
      <c r="M79" s="143">
        <v>26799</v>
      </c>
      <c r="N79" s="143">
        <v>23834</v>
      </c>
      <c r="O79" s="143">
        <v>46182</v>
      </c>
      <c r="P79" s="143">
        <v>37115</v>
      </c>
      <c r="Q79" s="143">
        <v>30521</v>
      </c>
      <c r="R79" s="143">
        <v>49883</v>
      </c>
      <c r="S79" s="143">
        <v>452389</v>
      </c>
    </row>
    <row r="80" spans="1:19" ht="26.4" x14ac:dyDescent="0.7">
      <c r="A80" t="s">
        <v>247</v>
      </c>
      <c r="B80" s="71" t="s">
        <v>167</v>
      </c>
      <c r="C80">
        <v>78</v>
      </c>
      <c r="D80">
        <v>78</v>
      </c>
      <c r="E80">
        <v>77</v>
      </c>
      <c r="F80" s="91" t="s">
        <v>96</v>
      </c>
      <c r="G80" s="96">
        <v>340</v>
      </c>
      <c r="H80" s="96">
        <v>7521</v>
      </c>
      <c r="I80" s="96">
        <v>1820</v>
      </c>
      <c r="J80" s="96">
        <v>19691</v>
      </c>
      <c r="K80" s="96">
        <v>21549</v>
      </c>
      <c r="L80" s="96">
        <v>2941</v>
      </c>
      <c r="M80" s="96">
        <v>2619</v>
      </c>
      <c r="N80" s="96">
        <v>5530</v>
      </c>
      <c r="O80" s="96">
        <v>18593</v>
      </c>
      <c r="P80" s="96">
        <v>9180</v>
      </c>
      <c r="Q80" s="96">
        <v>4137</v>
      </c>
      <c r="R80" s="96">
        <v>17186</v>
      </c>
      <c r="S80" s="143">
        <v>111107</v>
      </c>
    </row>
    <row r="81" spans="1:19" ht="26.4" x14ac:dyDescent="0.7">
      <c r="A81" t="s">
        <v>247</v>
      </c>
      <c r="B81" s="71" t="s">
        <v>167</v>
      </c>
      <c r="C81">
        <v>79</v>
      </c>
      <c r="D81">
        <v>79</v>
      </c>
      <c r="E81">
        <v>77</v>
      </c>
      <c r="F81" s="93" t="s">
        <v>141</v>
      </c>
      <c r="G81" s="96">
        <v>28344</v>
      </c>
      <c r="H81" s="96">
        <v>40552</v>
      </c>
      <c r="I81" s="96">
        <v>29434</v>
      </c>
      <c r="J81" s="96">
        <v>33302</v>
      </c>
      <c r="K81" s="96">
        <v>26035</v>
      </c>
      <c r="L81" s="96">
        <v>9019</v>
      </c>
      <c r="M81" s="96">
        <v>21082</v>
      </c>
      <c r="N81" s="96">
        <v>16678</v>
      </c>
      <c r="O81" s="96">
        <v>25588</v>
      </c>
      <c r="P81" s="96">
        <v>24330</v>
      </c>
      <c r="Q81" s="96">
        <v>22875</v>
      </c>
      <c r="R81" s="96">
        <v>29742</v>
      </c>
      <c r="S81" s="143">
        <v>306981</v>
      </c>
    </row>
    <row r="82" spans="1:19" ht="26.4" x14ac:dyDescent="0.7">
      <c r="A82" t="s">
        <v>247</v>
      </c>
      <c r="B82" s="71" t="s">
        <v>167</v>
      </c>
      <c r="C82">
        <v>80</v>
      </c>
      <c r="D82">
        <v>80</v>
      </c>
      <c r="E82">
        <v>77</v>
      </c>
      <c r="F82" s="93" t="s">
        <v>121</v>
      </c>
      <c r="G82" s="96">
        <v>3027</v>
      </c>
      <c r="H82" s="96">
        <v>2550</v>
      </c>
      <c r="I82" s="96">
        <v>3083</v>
      </c>
      <c r="J82" s="96">
        <v>2950</v>
      </c>
      <c r="K82" s="96">
        <v>2876</v>
      </c>
      <c r="L82" s="96">
        <v>3021</v>
      </c>
      <c r="M82" s="96">
        <v>3098</v>
      </c>
      <c r="N82" s="96">
        <v>1626</v>
      </c>
      <c r="O82" s="96">
        <v>2001</v>
      </c>
      <c r="P82" s="96">
        <v>3605</v>
      </c>
      <c r="Q82" s="96">
        <v>3509</v>
      </c>
      <c r="R82" s="96">
        <v>2955</v>
      </c>
      <c r="S82" s="143">
        <v>34301</v>
      </c>
    </row>
    <row r="83" spans="1:19" ht="26.4" x14ac:dyDescent="0.3">
      <c r="A83" t="s">
        <v>247</v>
      </c>
      <c r="B83" s="71" t="s">
        <v>167</v>
      </c>
      <c r="C83">
        <v>81</v>
      </c>
      <c r="D83">
        <v>81</v>
      </c>
      <c r="F83" s="89">
        <v>2020</v>
      </c>
      <c r="G83" s="143">
        <v>40454</v>
      </c>
      <c r="H83" s="143">
        <v>32655</v>
      </c>
      <c r="I83" s="143">
        <v>28817</v>
      </c>
      <c r="J83" s="143">
        <v>9258</v>
      </c>
      <c r="K83" s="143">
        <v>9758</v>
      </c>
      <c r="L83" s="143">
        <v>26417</v>
      </c>
      <c r="M83" s="143">
        <v>21209</v>
      </c>
      <c r="N83" s="143">
        <v>35273</v>
      </c>
      <c r="O83" s="143">
        <v>31623</v>
      </c>
      <c r="P83" s="143">
        <v>36704</v>
      </c>
      <c r="Q83" s="143">
        <v>20112</v>
      </c>
      <c r="R83" s="143">
        <v>22350</v>
      </c>
      <c r="S83" s="143">
        <v>314630</v>
      </c>
    </row>
    <row r="84" spans="1:19" ht="26.4" x14ac:dyDescent="0.7">
      <c r="A84" t="s">
        <v>247</v>
      </c>
      <c r="B84" s="71" t="s">
        <v>167</v>
      </c>
      <c r="C84">
        <v>82</v>
      </c>
      <c r="D84">
        <v>82</v>
      </c>
      <c r="E84">
        <v>81</v>
      </c>
      <c r="F84" s="91" t="s">
        <v>96</v>
      </c>
      <c r="G84" s="96">
        <v>9451</v>
      </c>
      <c r="H84" s="96">
        <v>5851</v>
      </c>
      <c r="I84" s="96">
        <v>5892</v>
      </c>
      <c r="J84" s="96">
        <v>1034</v>
      </c>
      <c r="K84" s="96">
        <v>319</v>
      </c>
      <c r="L84" s="96">
        <v>11626</v>
      </c>
      <c r="M84" s="96">
        <v>4108</v>
      </c>
      <c r="N84" s="96">
        <v>14905</v>
      </c>
      <c r="O84" s="96">
        <v>7077</v>
      </c>
      <c r="P84" s="96">
        <v>9178</v>
      </c>
      <c r="Q84" s="96">
        <v>0</v>
      </c>
      <c r="R84" s="96">
        <v>2592</v>
      </c>
      <c r="S84" s="143">
        <v>72033</v>
      </c>
    </row>
    <row r="85" spans="1:19" ht="26.4" x14ac:dyDescent="0.7">
      <c r="A85" t="s">
        <v>247</v>
      </c>
      <c r="B85" s="71" t="s">
        <v>167</v>
      </c>
      <c r="C85">
        <v>83</v>
      </c>
      <c r="D85">
        <v>83</v>
      </c>
      <c r="E85">
        <v>81</v>
      </c>
      <c r="F85" s="93" t="s">
        <v>141</v>
      </c>
      <c r="G85" s="96">
        <v>27493</v>
      </c>
      <c r="H85" s="96">
        <v>23612</v>
      </c>
      <c r="I85" s="96">
        <v>18912</v>
      </c>
      <c r="J85" s="96">
        <v>5305</v>
      </c>
      <c r="K85" s="96">
        <v>5619</v>
      </c>
      <c r="L85" s="96">
        <v>10764</v>
      </c>
      <c r="M85" s="96">
        <v>11148</v>
      </c>
      <c r="N85" s="96">
        <v>17449</v>
      </c>
      <c r="O85" s="96">
        <v>21923</v>
      </c>
      <c r="P85" s="96">
        <v>24225</v>
      </c>
      <c r="Q85" s="96">
        <v>8241</v>
      </c>
      <c r="R85" s="96">
        <v>11587</v>
      </c>
      <c r="S85" s="143">
        <v>186278</v>
      </c>
    </row>
    <row r="86" spans="1:19" ht="26.4" x14ac:dyDescent="0.7">
      <c r="A86" t="s">
        <v>247</v>
      </c>
      <c r="B86" s="71" t="s">
        <v>167</v>
      </c>
      <c r="C86">
        <v>84</v>
      </c>
      <c r="D86">
        <v>84</v>
      </c>
      <c r="E86">
        <v>81</v>
      </c>
      <c r="F86" s="93" t="s">
        <v>121</v>
      </c>
      <c r="G86" s="96">
        <v>3510</v>
      </c>
      <c r="H86" s="96">
        <v>3192</v>
      </c>
      <c r="I86" s="96">
        <v>4013</v>
      </c>
      <c r="J86" s="96">
        <v>2919</v>
      </c>
      <c r="K86" s="96">
        <v>3820</v>
      </c>
      <c r="L86" s="96">
        <v>4027</v>
      </c>
      <c r="M86" s="96">
        <v>5953</v>
      </c>
      <c r="N86" s="96">
        <v>2919</v>
      </c>
      <c r="O86" s="96">
        <v>2623</v>
      </c>
      <c r="P86" s="96">
        <v>3301</v>
      </c>
      <c r="Q86" s="96">
        <v>11871</v>
      </c>
      <c r="R86" s="96">
        <v>8171</v>
      </c>
      <c r="S86" s="143">
        <v>56319</v>
      </c>
    </row>
    <row r="87" spans="1:19" ht="26.4" x14ac:dyDescent="0.7">
      <c r="A87" t="s">
        <v>247</v>
      </c>
      <c r="B87" s="71" t="s">
        <v>167</v>
      </c>
      <c r="C87">
        <v>85</v>
      </c>
      <c r="D87">
        <v>85</v>
      </c>
      <c r="F87" s="144">
        <v>2021</v>
      </c>
      <c r="G87" s="145">
        <v>28195</v>
      </c>
      <c r="H87" s="145">
        <v>29691</v>
      </c>
      <c r="I87" s="145">
        <v>28423</v>
      </c>
      <c r="J87" s="145">
        <v>34352</v>
      </c>
      <c r="K87" s="145">
        <v>22299</v>
      </c>
      <c r="L87" s="145">
        <v>10324</v>
      </c>
      <c r="M87" s="145">
        <v>15646</v>
      </c>
      <c r="N87" s="145">
        <v>58076</v>
      </c>
      <c r="O87" s="145">
        <v>53740</v>
      </c>
      <c r="P87" s="145">
        <v>46364</v>
      </c>
      <c r="Q87" s="145">
        <v>36434</v>
      </c>
      <c r="R87" s="145">
        <v>56039</v>
      </c>
      <c r="S87" s="145">
        <v>419583</v>
      </c>
    </row>
    <row r="88" spans="1:19" ht="26.4" x14ac:dyDescent="0.7">
      <c r="A88" t="s">
        <v>247</v>
      </c>
      <c r="B88" s="71" t="s">
        <v>167</v>
      </c>
      <c r="C88">
        <v>86</v>
      </c>
      <c r="D88">
        <v>86</v>
      </c>
      <c r="E88">
        <v>85</v>
      </c>
      <c r="F88" s="91" t="s">
        <v>96</v>
      </c>
      <c r="G88" s="145">
        <v>5463</v>
      </c>
      <c r="H88" s="145">
        <v>4794</v>
      </c>
      <c r="I88" s="145">
        <v>6280</v>
      </c>
      <c r="J88" s="145">
        <v>8460</v>
      </c>
      <c r="K88" s="145">
        <v>2934</v>
      </c>
      <c r="L88" s="145">
        <v>212</v>
      </c>
      <c r="M88" s="145">
        <v>0</v>
      </c>
      <c r="N88" s="145">
        <v>24244</v>
      </c>
      <c r="O88" s="145">
        <v>9215</v>
      </c>
      <c r="P88" s="146">
        <v>2692</v>
      </c>
      <c r="Q88" s="146">
        <v>1018</v>
      </c>
      <c r="R88" s="146">
        <v>2809</v>
      </c>
      <c r="S88" s="146">
        <v>68121</v>
      </c>
    </row>
    <row r="89" spans="1:19" ht="26.4" x14ac:dyDescent="0.7">
      <c r="A89" t="s">
        <v>247</v>
      </c>
      <c r="B89" s="71" t="s">
        <v>167</v>
      </c>
      <c r="C89">
        <v>87</v>
      </c>
      <c r="D89">
        <v>87</v>
      </c>
      <c r="E89">
        <v>85</v>
      </c>
      <c r="F89" s="93" t="s">
        <v>141</v>
      </c>
      <c r="G89" s="145">
        <v>15482</v>
      </c>
      <c r="H89" s="145">
        <v>19628</v>
      </c>
      <c r="I89" s="145">
        <v>16615</v>
      </c>
      <c r="J89" s="145">
        <v>19585</v>
      </c>
      <c r="K89" s="145">
        <v>14714</v>
      </c>
      <c r="L89" s="145">
        <v>4563</v>
      </c>
      <c r="M89" s="145">
        <v>11490</v>
      </c>
      <c r="N89" s="145">
        <v>29696</v>
      </c>
      <c r="O89" s="145">
        <v>39512</v>
      </c>
      <c r="P89" s="146">
        <v>35339</v>
      </c>
      <c r="Q89" s="146">
        <v>25965</v>
      </c>
      <c r="R89" s="146">
        <v>44990</v>
      </c>
      <c r="S89" s="146">
        <v>277579</v>
      </c>
    </row>
    <row r="90" spans="1:19" ht="26.4" x14ac:dyDescent="0.7">
      <c r="A90" t="s">
        <v>247</v>
      </c>
      <c r="B90" s="71" t="s">
        <v>167</v>
      </c>
      <c r="C90">
        <v>88</v>
      </c>
      <c r="D90">
        <v>88</v>
      </c>
      <c r="E90">
        <v>85</v>
      </c>
      <c r="F90" s="93" t="s">
        <v>121</v>
      </c>
      <c r="G90" s="145">
        <v>7250</v>
      </c>
      <c r="H90" s="145">
        <v>5269</v>
      </c>
      <c r="I90" s="145">
        <v>5528</v>
      </c>
      <c r="J90" s="145">
        <v>6307</v>
      </c>
      <c r="K90" s="145">
        <v>4651</v>
      </c>
      <c r="L90" s="145">
        <v>5549</v>
      </c>
      <c r="M90" s="145">
        <v>4156</v>
      </c>
      <c r="N90" s="145">
        <v>4136</v>
      </c>
      <c r="O90" s="145">
        <v>5013</v>
      </c>
      <c r="P90" s="146">
        <v>8333</v>
      </c>
      <c r="Q90" s="146">
        <v>9451</v>
      </c>
      <c r="R90" s="146">
        <v>8240</v>
      </c>
      <c r="S90" s="146">
        <v>73883</v>
      </c>
    </row>
    <row r="91" spans="1:19" ht="26.4" x14ac:dyDescent="0.7">
      <c r="A91" t="s">
        <v>247</v>
      </c>
      <c r="B91" s="71" t="s">
        <v>167</v>
      </c>
      <c r="C91">
        <v>89</v>
      </c>
      <c r="D91">
        <v>89</v>
      </c>
      <c r="F91" s="144">
        <v>2022</v>
      </c>
      <c r="G91" s="145">
        <v>50484</v>
      </c>
      <c r="H91" s="145">
        <v>49522</v>
      </c>
      <c r="I91" s="145">
        <v>45176</v>
      </c>
      <c r="J91" s="145">
        <v>39571</v>
      </c>
      <c r="K91" s="145">
        <v>43026</v>
      </c>
      <c r="L91" s="145">
        <v>35318</v>
      </c>
      <c r="M91" s="145">
        <v>40106</v>
      </c>
      <c r="N91" s="145">
        <v>77326</v>
      </c>
      <c r="O91" s="145">
        <v>77418</v>
      </c>
      <c r="P91" s="145">
        <v>47835</v>
      </c>
      <c r="Q91" s="145">
        <v>39566</v>
      </c>
      <c r="R91" s="145">
        <v>33862</v>
      </c>
      <c r="S91" s="145">
        <v>579210</v>
      </c>
    </row>
    <row r="92" spans="1:19" ht="26.4" x14ac:dyDescent="0.7">
      <c r="A92" t="s">
        <v>247</v>
      </c>
      <c r="B92" s="71" t="s">
        <v>167</v>
      </c>
      <c r="C92">
        <v>90</v>
      </c>
      <c r="D92">
        <v>90</v>
      </c>
      <c r="E92">
        <v>89</v>
      </c>
      <c r="F92" s="91" t="s">
        <v>96</v>
      </c>
      <c r="G92" s="145">
        <v>1194</v>
      </c>
      <c r="H92" s="145">
        <v>0</v>
      </c>
      <c r="I92" s="145">
        <v>5283</v>
      </c>
      <c r="J92" s="145">
        <v>7022</v>
      </c>
      <c r="K92" s="145">
        <v>12834</v>
      </c>
      <c r="L92" s="145">
        <v>21450</v>
      </c>
      <c r="M92" s="145">
        <v>5652</v>
      </c>
      <c r="N92" s="145">
        <v>16456</v>
      </c>
      <c r="O92" s="145">
        <v>23737</v>
      </c>
      <c r="P92" s="146">
        <v>2647</v>
      </c>
      <c r="Q92" s="146">
        <v>16344</v>
      </c>
      <c r="R92" s="146">
        <v>5522</v>
      </c>
      <c r="S92" s="146">
        <v>118141</v>
      </c>
    </row>
    <row r="93" spans="1:19" ht="26.4" x14ac:dyDescent="0.7">
      <c r="A93" t="s">
        <v>247</v>
      </c>
      <c r="B93" s="71" t="s">
        <v>167</v>
      </c>
      <c r="C93">
        <v>91</v>
      </c>
      <c r="D93">
        <v>91</v>
      </c>
      <c r="E93">
        <v>89</v>
      </c>
      <c r="F93" s="93" t="s">
        <v>141</v>
      </c>
      <c r="G93" s="145">
        <v>40429</v>
      </c>
      <c r="H93" s="145">
        <v>42084</v>
      </c>
      <c r="I93" s="145">
        <v>33677</v>
      </c>
      <c r="J93" s="145">
        <v>25188</v>
      </c>
      <c r="K93" s="145">
        <v>22020</v>
      </c>
      <c r="L93" s="145">
        <v>5654</v>
      </c>
      <c r="M93" s="145">
        <v>25903</v>
      </c>
      <c r="N93" s="145">
        <v>47965</v>
      </c>
      <c r="O93" s="145">
        <v>40249</v>
      </c>
      <c r="P93" s="146">
        <v>31590</v>
      </c>
      <c r="Q93" s="146">
        <v>12296</v>
      </c>
      <c r="R93" s="146">
        <v>15904</v>
      </c>
      <c r="S93" s="146">
        <v>342959</v>
      </c>
    </row>
    <row r="94" spans="1:19" ht="26.4" x14ac:dyDescent="0.7">
      <c r="A94" t="s">
        <v>247</v>
      </c>
      <c r="B94" s="71" t="s">
        <v>167</v>
      </c>
      <c r="C94">
        <v>92</v>
      </c>
      <c r="D94">
        <v>92</v>
      </c>
      <c r="E94">
        <v>89</v>
      </c>
      <c r="F94" s="93" t="s">
        <v>121</v>
      </c>
      <c r="G94" s="145">
        <v>6270</v>
      </c>
      <c r="H94" s="145">
        <v>4276</v>
      </c>
      <c r="I94" s="145">
        <v>3211</v>
      </c>
      <c r="J94" s="145">
        <v>3542</v>
      </c>
      <c r="K94" s="145">
        <v>3911</v>
      </c>
      <c r="L94" s="145">
        <v>4178</v>
      </c>
      <c r="M94" s="145">
        <v>3432</v>
      </c>
      <c r="N94" s="145">
        <v>4837</v>
      </c>
      <c r="O94" s="145">
        <v>4541</v>
      </c>
      <c r="P94" s="146">
        <v>6365</v>
      </c>
      <c r="Q94" s="146">
        <v>8640</v>
      </c>
      <c r="R94" s="146">
        <v>9012</v>
      </c>
      <c r="S94" s="146">
        <v>62215</v>
      </c>
    </row>
    <row r="95" spans="1:19" ht="26.4" x14ac:dyDescent="0.7">
      <c r="A95" t="s">
        <v>247</v>
      </c>
      <c r="B95" s="71" t="s">
        <v>167</v>
      </c>
      <c r="C95">
        <v>93</v>
      </c>
      <c r="D95">
        <v>93</v>
      </c>
      <c r="F95" s="144">
        <v>2023</v>
      </c>
      <c r="G95" s="106">
        <v>69891</v>
      </c>
      <c r="H95" s="106">
        <v>42096</v>
      </c>
      <c r="I95" s="106">
        <v>32106</v>
      </c>
      <c r="J95" s="106">
        <v>22109</v>
      </c>
      <c r="K95" s="106">
        <v>24638</v>
      </c>
      <c r="L95" s="106">
        <v>15609</v>
      </c>
      <c r="M95" s="106">
        <v>19084</v>
      </c>
      <c r="N95" s="106">
        <v>50066</v>
      </c>
      <c r="O95" s="106">
        <v>34293</v>
      </c>
      <c r="P95" s="106">
        <v>31007</v>
      </c>
      <c r="Q95" s="106">
        <v>16709</v>
      </c>
      <c r="R95" s="106">
        <v>30704</v>
      </c>
      <c r="S95" s="106">
        <v>388312</v>
      </c>
    </row>
    <row r="96" spans="1:19" ht="26.4" x14ac:dyDescent="0.7">
      <c r="A96" t="s">
        <v>247</v>
      </c>
      <c r="B96" s="71" t="s">
        <v>167</v>
      </c>
      <c r="C96">
        <v>94</v>
      </c>
      <c r="D96">
        <v>94</v>
      </c>
      <c r="E96">
        <v>93</v>
      </c>
      <c r="F96" s="91" t="s">
        <v>96</v>
      </c>
      <c r="G96" s="106">
        <v>10621</v>
      </c>
      <c r="H96" s="106">
        <v>6422</v>
      </c>
      <c r="I96" s="106">
        <v>3576</v>
      </c>
      <c r="J96" s="106">
        <v>3213</v>
      </c>
      <c r="K96" s="106">
        <v>5621</v>
      </c>
      <c r="L96" s="106">
        <v>3685</v>
      </c>
      <c r="M96" s="106">
        <v>222</v>
      </c>
      <c r="N96" s="106">
        <v>19642</v>
      </c>
      <c r="O96" s="106">
        <v>11088</v>
      </c>
      <c r="P96" s="106">
        <v>10120</v>
      </c>
      <c r="Q96" s="106">
        <v>2429</v>
      </c>
      <c r="R96" s="106">
        <v>707</v>
      </c>
      <c r="S96" s="106">
        <v>77346</v>
      </c>
    </row>
    <row r="97" spans="1:19" ht="26.4" x14ac:dyDescent="0.7">
      <c r="A97" t="s">
        <v>247</v>
      </c>
      <c r="B97" s="71" t="s">
        <v>167</v>
      </c>
      <c r="C97">
        <v>95</v>
      </c>
      <c r="D97">
        <v>95</v>
      </c>
      <c r="E97">
        <v>93</v>
      </c>
      <c r="F97" s="93" t="s">
        <v>141</v>
      </c>
      <c r="G97" s="106">
        <v>51606</v>
      </c>
      <c r="H97" s="106">
        <v>28926</v>
      </c>
      <c r="I97" s="106">
        <v>21622</v>
      </c>
      <c r="J97" s="106">
        <v>14532</v>
      </c>
      <c r="K97" s="106">
        <v>15032</v>
      </c>
      <c r="L97" s="106">
        <v>7133</v>
      </c>
      <c r="M97" s="106">
        <v>15272</v>
      </c>
      <c r="N97" s="106">
        <v>25506</v>
      </c>
      <c r="O97" s="106">
        <v>20183</v>
      </c>
      <c r="P97" s="106">
        <v>15782</v>
      </c>
      <c r="Q97" s="106">
        <v>7801</v>
      </c>
      <c r="R97" s="106">
        <v>22239</v>
      </c>
      <c r="S97" s="106">
        <v>245634</v>
      </c>
    </row>
    <row r="98" spans="1:19" ht="26.4" x14ac:dyDescent="0.7">
      <c r="A98" t="s">
        <v>247</v>
      </c>
      <c r="B98" s="71" t="s">
        <v>167</v>
      </c>
      <c r="C98">
        <v>96</v>
      </c>
      <c r="D98">
        <v>96</v>
      </c>
      <c r="E98">
        <v>93</v>
      </c>
      <c r="F98" s="93" t="s">
        <v>121</v>
      </c>
      <c r="G98" s="106">
        <v>7664</v>
      </c>
      <c r="H98" s="106">
        <v>6748</v>
      </c>
      <c r="I98" s="106">
        <v>6908</v>
      </c>
      <c r="J98" s="106">
        <v>4364</v>
      </c>
      <c r="K98" s="106">
        <v>3985</v>
      </c>
      <c r="L98" s="106">
        <v>4791</v>
      </c>
      <c r="M98" s="106">
        <v>3590</v>
      </c>
      <c r="N98" s="106">
        <v>4918</v>
      </c>
      <c r="O98" s="106">
        <v>3022</v>
      </c>
      <c r="P98" s="106">
        <v>5105</v>
      </c>
      <c r="Q98" s="106">
        <v>6479</v>
      </c>
      <c r="R98" s="106">
        <v>7758</v>
      </c>
      <c r="S98" s="96">
        <v>65332</v>
      </c>
    </row>
    <row r="99" spans="1:19" ht="26.4" x14ac:dyDescent="0.7">
      <c r="A99" t="s">
        <v>247</v>
      </c>
      <c r="B99" s="71" t="s">
        <v>167</v>
      </c>
      <c r="C99">
        <v>97</v>
      </c>
      <c r="D99">
        <v>97</v>
      </c>
      <c r="F99" s="144">
        <v>2024</v>
      </c>
      <c r="G99" s="106">
        <v>54234</v>
      </c>
      <c r="H99" s="106">
        <v>59302</v>
      </c>
      <c r="I99" s="106">
        <v>39609</v>
      </c>
      <c r="J99" s="106">
        <v>24995</v>
      </c>
      <c r="K99" s="106">
        <v>27070</v>
      </c>
      <c r="L99" s="106">
        <v>9756</v>
      </c>
      <c r="M99" s="106">
        <v>26778</v>
      </c>
      <c r="N99" s="106">
        <v>35066</v>
      </c>
      <c r="O99" s="106">
        <v>39267</v>
      </c>
      <c r="P99" s="106">
        <v>50986</v>
      </c>
      <c r="Q99" s="106">
        <v>13809</v>
      </c>
      <c r="R99" s="106">
        <v>38310</v>
      </c>
      <c r="S99" s="106">
        <v>419182</v>
      </c>
    </row>
    <row r="100" spans="1:19" ht="26.4" x14ac:dyDescent="0.7">
      <c r="A100" t="s">
        <v>247</v>
      </c>
      <c r="B100" s="71" t="s">
        <v>167</v>
      </c>
      <c r="C100">
        <v>98</v>
      </c>
      <c r="D100">
        <v>98</v>
      </c>
      <c r="E100">
        <v>97</v>
      </c>
      <c r="F100" s="91" t="s">
        <v>96</v>
      </c>
      <c r="G100" s="106">
        <v>708</v>
      </c>
      <c r="H100" s="106">
        <v>10878</v>
      </c>
      <c r="I100" s="106">
        <v>4389</v>
      </c>
      <c r="J100" s="106">
        <v>2783</v>
      </c>
      <c r="K100" s="106">
        <v>4179</v>
      </c>
      <c r="L100" s="106">
        <v>0</v>
      </c>
      <c r="M100" s="106">
        <v>5356</v>
      </c>
      <c r="N100" s="106">
        <v>18099</v>
      </c>
      <c r="O100" s="106">
        <v>19147</v>
      </c>
      <c r="P100" s="106">
        <v>9036</v>
      </c>
      <c r="Q100" s="106">
        <v>505</v>
      </c>
      <c r="R100" s="106">
        <v>1660</v>
      </c>
      <c r="S100" s="106">
        <v>76740</v>
      </c>
    </row>
    <row r="101" spans="1:19" ht="26.4" x14ac:dyDescent="0.7">
      <c r="A101" t="s">
        <v>247</v>
      </c>
      <c r="B101" s="71" t="s">
        <v>167</v>
      </c>
      <c r="C101">
        <v>99</v>
      </c>
      <c r="D101">
        <v>99</v>
      </c>
      <c r="E101">
        <v>97</v>
      </c>
      <c r="F101" s="93" t="s">
        <v>141</v>
      </c>
      <c r="G101" s="106">
        <v>45802</v>
      </c>
      <c r="H101" s="106">
        <v>51225</v>
      </c>
      <c r="I101" s="106">
        <v>32803</v>
      </c>
      <c r="J101" s="106">
        <v>19942</v>
      </c>
      <c r="K101" s="106">
        <v>20245</v>
      </c>
      <c r="L101" s="106">
        <v>5022</v>
      </c>
      <c r="M101" s="106">
        <v>19943</v>
      </c>
      <c r="N101" s="106">
        <v>30247</v>
      </c>
      <c r="O101" s="106">
        <v>34538</v>
      </c>
      <c r="P101" s="106">
        <v>40921</v>
      </c>
      <c r="Q101" s="106">
        <v>4384</v>
      </c>
      <c r="R101" s="106">
        <v>31048</v>
      </c>
      <c r="S101" s="106">
        <v>336120</v>
      </c>
    </row>
    <row r="102" spans="1:19" ht="26.4" x14ac:dyDescent="0.7">
      <c r="A102" t="s">
        <v>247</v>
      </c>
      <c r="B102" s="71" t="s">
        <v>167</v>
      </c>
      <c r="C102">
        <v>100</v>
      </c>
      <c r="D102">
        <v>100</v>
      </c>
      <c r="E102">
        <v>97</v>
      </c>
      <c r="F102" s="93" t="s">
        <v>121</v>
      </c>
      <c r="G102" s="106">
        <v>8432</v>
      </c>
      <c r="H102" s="106">
        <v>8077</v>
      </c>
      <c r="I102" s="106">
        <v>6806</v>
      </c>
      <c r="J102" s="106">
        <v>5053</v>
      </c>
      <c r="K102" s="106">
        <v>6825</v>
      </c>
      <c r="L102" s="106">
        <v>4734</v>
      </c>
      <c r="M102" s="106">
        <v>6835</v>
      </c>
      <c r="N102" s="106">
        <v>4819</v>
      </c>
      <c r="O102" s="106">
        <v>4729</v>
      </c>
      <c r="P102" s="106">
        <v>10065</v>
      </c>
      <c r="Q102" s="106">
        <v>9425</v>
      </c>
      <c r="R102" s="106">
        <v>7262</v>
      </c>
      <c r="S102" s="106">
        <v>83062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F875-D529-4704-AF6C-091FC8ACB36A}">
  <sheetPr>
    <tabColor rgb="FFFFFF00"/>
  </sheetPr>
  <dimension ref="A1:S196"/>
  <sheetViews>
    <sheetView zoomScale="86" workbookViewId="0">
      <selection activeCell="A4" sqref="A4"/>
    </sheetView>
  </sheetViews>
  <sheetFormatPr baseColWidth="10" defaultRowHeight="14.4" x14ac:dyDescent="0.3"/>
  <cols>
    <col min="6" max="6" width="21.6640625" customWidth="1"/>
    <col min="15" max="15" width="16.44140625" customWidth="1"/>
    <col min="16" max="16" width="15.33203125" bestFit="1" customWidth="1"/>
    <col min="17" max="17" width="14.6640625" customWidth="1"/>
    <col min="18" max="18" width="15.6640625" customWidth="1"/>
  </cols>
  <sheetData>
    <row r="1" spans="1:19" ht="27" x14ac:dyDescent="0.3">
      <c r="F1" s="98"/>
      <c r="G1" s="153"/>
      <c r="H1" s="153"/>
      <c r="I1" s="153"/>
      <c r="J1" s="153"/>
      <c r="K1" s="153"/>
      <c r="L1" s="153"/>
      <c r="M1" s="153"/>
      <c r="N1" s="154"/>
      <c r="O1" s="154"/>
      <c r="P1" s="155"/>
      <c r="Q1" s="155"/>
      <c r="R1" s="156"/>
      <c r="S1" s="155"/>
    </row>
    <row r="2" spans="1:19" ht="27.6" thickBot="1" x14ac:dyDescent="0.8">
      <c r="G2" s="138"/>
      <c r="H2" s="138"/>
      <c r="I2" s="142"/>
      <c r="J2" s="142"/>
      <c r="K2" s="142"/>
      <c r="L2" s="142"/>
      <c r="M2" s="142"/>
      <c r="N2" s="142"/>
      <c r="O2" s="142"/>
      <c r="P2" s="139"/>
      <c r="Q2" s="139"/>
      <c r="R2" s="140"/>
      <c r="S2" s="141"/>
    </row>
    <row r="3" spans="1:19" ht="15.6" customHeight="1" x14ac:dyDescent="0.3">
      <c r="A3" s="13" t="s">
        <v>3</v>
      </c>
      <c r="B3" s="13" t="s">
        <v>4</v>
      </c>
      <c r="C3" s="13" t="s">
        <v>6</v>
      </c>
      <c r="D3" s="13" t="s">
        <v>7</v>
      </c>
      <c r="E3" s="13" t="s">
        <v>8</v>
      </c>
      <c r="F3" s="206" t="s">
        <v>244</v>
      </c>
      <c r="G3" s="2" t="s">
        <v>14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2" t="s">
        <v>25</v>
      </c>
      <c r="R3" s="2" t="s">
        <v>26</v>
      </c>
      <c r="S3" s="2" t="s">
        <v>177</v>
      </c>
    </row>
    <row r="4" spans="1:19" ht="26.4" x14ac:dyDescent="0.7">
      <c r="A4" s="157" t="s">
        <v>243</v>
      </c>
      <c r="B4" s="71" t="s">
        <v>167</v>
      </c>
      <c r="C4">
        <v>1</v>
      </c>
      <c r="D4">
        <v>1</v>
      </c>
      <c r="F4" s="144">
        <v>2000</v>
      </c>
      <c r="G4" s="96">
        <f>SUM(G5:G8)</f>
        <v>1701</v>
      </c>
      <c r="H4" s="96">
        <f t="shared" ref="H4:S4" si="0">SUM(H5:H8)</f>
        <v>4397</v>
      </c>
      <c r="I4" s="96">
        <f t="shared" si="0"/>
        <v>5764</v>
      </c>
      <c r="J4" s="96">
        <f t="shared" si="0"/>
        <v>2415</v>
      </c>
      <c r="K4" s="96">
        <f t="shared" si="0"/>
        <v>4264</v>
      </c>
      <c r="L4" s="96">
        <f t="shared" si="0"/>
        <v>2311</v>
      </c>
      <c r="M4" s="96">
        <f t="shared" si="0"/>
        <v>5790</v>
      </c>
      <c r="N4" s="96">
        <f t="shared" si="0"/>
        <v>4317</v>
      </c>
      <c r="O4" s="96">
        <f t="shared" si="0"/>
        <v>5569</v>
      </c>
      <c r="P4" s="96">
        <f t="shared" si="0"/>
        <v>1083</v>
      </c>
      <c r="Q4" s="96">
        <f t="shared" si="0"/>
        <v>166</v>
      </c>
      <c r="R4" s="96">
        <f t="shared" si="0"/>
        <v>1496</v>
      </c>
      <c r="S4" s="96">
        <f t="shared" si="0"/>
        <v>39273</v>
      </c>
    </row>
    <row r="5" spans="1:19" ht="26.4" x14ac:dyDescent="0.7">
      <c r="A5" s="157" t="s">
        <v>242</v>
      </c>
      <c r="B5" s="71" t="s">
        <v>167</v>
      </c>
      <c r="C5">
        <v>2</v>
      </c>
      <c r="D5">
        <v>2</v>
      </c>
      <c r="E5">
        <v>1</v>
      </c>
      <c r="F5" s="158" t="s">
        <v>178</v>
      </c>
      <c r="G5" s="96">
        <v>457</v>
      </c>
      <c r="H5" s="96">
        <v>1225</v>
      </c>
      <c r="I5" s="96">
        <v>794</v>
      </c>
      <c r="J5" s="96">
        <v>934</v>
      </c>
      <c r="K5" s="96">
        <v>619</v>
      </c>
      <c r="L5" s="96">
        <v>701</v>
      </c>
      <c r="M5" s="96">
        <v>1503</v>
      </c>
      <c r="N5" s="96">
        <v>1079</v>
      </c>
      <c r="O5" s="96">
        <v>633</v>
      </c>
      <c r="P5" s="96">
        <v>262</v>
      </c>
      <c r="Q5" s="96">
        <v>60</v>
      </c>
      <c r="R5" s="96">
        <v>295</v>
      </c>
      <c r="S5" s="96">
        <f>SUM(G5:R5)</f>
        <v>8562</v>
      </c>
    </row>
    <row r="6" spans="1:19" ht="26.4" x14ac:dyDescent="0.7">
      <c r="A6" s="157" t="s">
        <v>242</v>
      </c>
      <c r="B6" s="71" t="s">
        <v>167</v>
      </c>
      <c r="C6">
        <v>3</v>
      </c>
      <c r="D6">
        <v>3</v>
      </c>
      <c r="E6">
        <v>1</v>
      </c>
      <c r="F6" s="159" t="s">
        <v>179</v>
      </c>
      <c r="G6" s="96">
        <v>84</v>
      </c>
      <c r="H6" s="96">
        <v>246</v>
      </c>
      <c r="I6" s="96">
        <v>227</v>
      </c>
      <c r="J6" s="96">
        <v>307</v>
      </c>
      <c r="K6" s="96">
        <v>149</v>
      </c>
      <c r="L6" s="96">
        <v>104</v>
      </c>
      <c r="M6" s="96">
        <v>102</v>
      </c>
      <c r="N6" s="96">
        <v>79</v>
      </c>
      <c r="O6" s="96">
        <v>644</v>
      </c>
      <c r="P6" s="96">
        <v>217</v>
      </c>
      <c r="Q6" s="96">
        <v>1</v>
      </c>
      <c r="R6" s="96">
        <v>28</v>
      </c>
      <c r="S6" s="96">
        <f t="shared" ref="S6:S11" si="1">SUM(G6:R6)</f>
        <v>2188</v>
      </c>
    </row>
    <row r="7" spans="1:19" ht="26.4" x14ac:dyDescent="0.7">
      <c r="A7" s="157" t="s">
        <v>242</v>
      </c>
      <c r="B7" s="71" t="s">
        <v>167</v>
      </c>
      <c r="C7">
        <v>4</v>
      </c>
      <c r="D7">
        <v>4</v>
      </c>
      <c r="E7">
        <v>1</v>
      </c>
      <c r="F7" s="159" t="s">
        <v>180</v>
      </c>
      <c r="G7" s="96">
        <v>45</v>
      </c>
      <c r="H7" s="96">
        <v>126</v>
      </c>
      <c r="I7" s="96">
        <v>73</v>
      </c>
      <c r="J7" s="96">
        <v>49</v>
      </c>
      <c r="K7" s="96">
        <v>81</v>
      </c>
      <c r="L7" s="96">
        <v>31</v>
      </c>
      <c r="M7" s="96">
        <v>105</v>
      </c>
      <c r="N7" s="96">
        <v>26</v>
      </c>
      <c r="O7" s="96">
        <v>147</v>
      </c>
      <c r="P7" s="96">
        <v>3</v>
      </c>
      <c r="Q7" s="96">
        <v>10</v>
      </c>
      <c r="R7" s="96">
        <v>119</v>
      </c>
      <c r="S7" s="96">
        <f t="shared" si="1"/>
        <v>815</v>
      </c>
    </row>
    <row r="8" spans="1:19" ht="26.4" x14ac:dyDescent="0.7">
      <c r="A8" s="157" t="s">
        <v>242</v>
      </c>
      <c r="B8" s="71" t="s">
        <v>167</v>
      </c>
      <c r="C8">
        <v>5</v>
      </c>
      <c r="D8">
        <v>5</v>
      </c>
      <c r="E8">
        <v>1</v>
      </c>
      <c r="F8" s="158" t="s">
        <v>183</v>
      </c>
      <c r="G8" s="96">
        <f>SUM(G9:G11)</f>
        <v>1115</v>
      </c>
      <c r="H8" s="96">
        <f>SUM(H9:H11)</f>
        <v>2800</v>
      </c>
      <c r="I8" s="96">
        <f t="shared" ref="I8:R8" si="2">SUM(I9:I11)</f>
        <v>4670</v>
      </c>
      <c r="J8" s="96">
        <f t="shared" si="2"/>
        <v>1125</v>
      </c>
      <c r="K8" s="96">
        <f t="shared" si="2"/>
        <v>3415</v>
      </c>
      <c r="L8" s="96">
        <f t="shared" si="2"/>
        <v>1475</v>
      </c>
      <c r="M8" s="96">
        <f t="shared" si="2"/>
        <v>4080</v>
      </c>
      <c r="N8" s="96">
        <f t="shared" si="2"/>
        <v>3133</v>
      </c>
      <c r="O8" s="96">
        <f t="shared" si="2"/>
        <v>4145</v>
      </c>
      <c r="P8" s="96">
        <f t="shared" si="2"/>
        <v>601</v>
      </c>
      <c r="Q8" s="96">
        <f t="shared" si="2"/>
        <v>95</v>
      </c>
      <c r="R8" s="96">
        <f t="shared" si="2"/>
        <v>1054</v>
      </c>
      <c r="S8" s="96">
        <f t="shared" si="1"/>
        <v>27708</v>
      </c>
    </row>
    <row r="9" spans="1:19" ht="26.4" x14ac:dyDescent="0.7">
      <c r="A9" s="157" t="s">
        <v>242</v>
      </c>
      <c r="B9" s="71" t="s">
        <v>167</v>
      </c>
      <c r="C9">
        <v>6</v>
      </c>
      <c r="D9">
        <v>6</v>
      </c>
      <c r="E9">
        <v>5</v>
      </c>
      <c r="F9" s="160" t="s">
        <v>184</v>
      </c>
      <c r="G9" s="96">
        <v>177</v>
      </c>
      <c r="H9" s="96">
        <v>1036</v>
      </c>
      <c r="I9" s="96">
        <v>2706</v>
      </c>
      <c r="J9" s="96">
        <v>497</v>
      </c>
      <c r="K9" s="96">
        <v>2567</v>
      </c>
      <c r="L9" s="96">
        <v>833</v>
      </c>
      <c r="M9" s="96">
        <v>2698</v>
      </c>
      <c r="N9" s="96">
        <v>2701</v>
      </c>
      <c r="O9" s="96">
        <v>3670</v>
      </c>
      <c r="P9" s="96">
        <v>304</v>
      </c>
      <c r="Q9" s="96">
        <v>31</v>
      </c>
      <c r="R9" s="96">
        <v>161</v>
      </c>
      <c r="S9" s="96">
        <f t="shared" si="1"/>
        <v>17381</v>
      </c>
    </row>
    <row r="10" spans="1:19" ht="26.4" x14ac:dyDescent="0.7">
      <c r="A10" s="157" t="s">
        <v>242</v>
      </c>
      <c r="B10" s="71" t="s">
        <v>167</v>
      </c>
      <c r="C10">
        <v>7</v>
      </c>
      <c r="D10">
        <v>7</v>
      </c>
      <c r="E10">
        <v>5</v>
      </c>
      <c r="F10" s="160" t="s">
        <v>185</v>
      </c>
      <c r="G10" s="96">
        <v>685</v>
      </c>
      <c r="H10" s="96">
        <v>845</v>
      </c>
      <c r="I10" s="96">
        <v>1251</v>
      </c>
      <c r="J10" s="96">
        <v>414</v>
      </c>
      <c r="K10" s="96">
        <v>624</v>
      </c>
      <c r="L10" s="96">
        <v>592</v>
      </c>
      <c r="M10" s="96">
        <v>1059</v>
      </c>
      <c r="N10" s="96">
        <v>317</v>
      </c>
      <c r="O10" s="96">
        <v>380</v>
      </c>
      <c r="P10" s="96">
        <v>167</v>
      </c>
      <c r="Q10" s="96">
        <v>61</v>
      </c>
      <c r="R10" s="96">
        <v>667</v>
      </c>
      <c r="S10" s="96">
        <f t="shared" si="1"/>
        <v>7062</v>
      </c>
    </row>
    <row r="11" spans="1:19" ht="26.4" x14ac:dyDescent="0.7">
      <c r="A11" s="157" t="s">
        <v>242</v>
      </c>
      <c r="B11" s="71" t="s">
        <v>167</v>
      </c>
      <c r="C11">
        <v>8</v>
      </c>
      <c r="D11">
        <v>8</v>
      </c>
      <c r="E11">
        <v>5</v>
      </c>
      <c r="F11" s="160" t="s">
        <v>186</v>
      </c>
      <c r="G11" s="96">
        <v>253</v>
      </c>
      <c r="H11" s="96">
        <v>919</v>
      </c>
      <c r="I11" s="96">
        <v>713</v>
      </c>
      <c r="J11" s="96">
        <v>214</v>
      </c>
      <c r="K11" s="96">
        <v>224</v>
      </c>
      <c r="L11" s="96">
        <v>50</v>
      </c>
      <c r="M11" s="96">
        <v>323</v>
      </c>
      <c r="N11" s="96">
        <v>115</v>
      </c>
      <c r="O11" s="96">
        <v>95</v>
      </c>
      <c r="P11" s="96">
        <v>130</v>
      </c>
      <c r="Q11" s="96">
        <v>3</v>
      </c>
      <c r="R11" s="96">
        <v>226</v>
      </c>
      <c r="S11" s="96">
        <f t="shared" si="1"/>
        <v>3265</v>
      </c>
    </row>
    <row r="12" spans="1:19" ht="26.4" x14ac:dyDescent="0.7">
      <c r="A12" s="157" t="s">
        <v>242</v>
      </c>
      <c r="B12" s="71" t="s">
        <v>167</v>
      </c>
      <c r="C12">
        <v>9</v>
      </c>
      <c r="D12">
        <v>9</v>
      </c>
      <c r="F12" s="144">
        <v>2001</v>
      </c>
      <c r="G12" s="96">
        <f t="shared" ref="G12:S12" si="3">SUM(G13:G16)</f>
        <v>4090</v>
      </c>
      <c r="H12" s="96">
        <f t="shared" si="3"/>
        <v>4570</v>
      </c>
      <c r="I12" s="96">
        <f t="shared" si="3"/>
        <v>6925</v>
      </c>
      <c r="J12" s="96">
        <f t="shared" si="3"/>
        <v>3505</v>
      </c>
      <c r="K12" s="96">
        <f t="shared" si="3"/>
        <v>3300</v>
      </c>
      <c r="L12" s="96">
        <f t="shared" si="3"/>
        <v>3448</v>
      </c>
      <c r="M12" s="96">
        <f t="shared" si="3"/>
        <v>3336</v>
      </c>
      <c r="N12" s="96">
        <f t="shared" si="3"/>
        <v>4244</v>
      </c>
      <c r="O12" s="96">
        <f t="shared" si="3"/>
        <v>7397</v>
      </c>
      <c r="P12" s="96">
        <f t="shared" si="3"/>
        <v>2651</v>
      </c>
      <c r="Q12" s="96">
        <f t="shared" si="3"/>
        <v>1399</v>
      </c>
      <c r="R12" s="96">
        <f t="shared" si="3"/>
        <v>3224</v>
      </c>
      <c r="S12" s="96">
        <f t="shared" si="3"/>
        <v>48089</v>
      </c>
    </row>
    <row r="13" spans="1:19" ht="26.4" x14ac:dyDescent="0.7">
      <c r="A13" s="157" t="s">
        <v>242</v>
      </c>
      <c r="B13" s="71" t="s">
        <v>167</v>
      </c>
      <c r="C13">
        <v>10</v>
      </c>
      <c r="D13">
        <v>10</v>
      </c>
      <c r="E13">
        <v>9</v>
      </c>
      <c r="F13" s="158" t="s">
        <v>178</v>
      </c>
      <c r="G13" s="96">
        <v>1039</v>
      </c>
      <c r="H13" s="96">
        <v>1217</v>
      </c>
      <c r="I13" s="96">
        <v>676</v>
      </c>
      <c r="J13" s="96">
        <v>1107</v>
      </c>
      <c r="K13" s="96">
        <v>1131</v>
      </c>
      <c r="L13" s="96">
        <v>1484</v>
      </c>
      <c r="M13" s="96">
        <v>1014</v>
      </c>
      <c r="N13" s="96">
        <v>679</v>
      </c>
      <c r="O13" s="96">
        <v>1138</v>
      </c>
      <c r="P13" s="96">
        <v>265</v>
      </c>
      <c r="Q13" s="96">
        <v>244</v>
      </c>
      <c r="R13" s="96">
        <v>616</v>
      </c>
      <c r="S13" s="96">
        <f>SUM(G13:R13)</f>
        <v>10610</v>
      </c>
    </row>
    <row r="14" spans="1:19" ht="26.4" x14ac:dyDescent="0.7">
      <c r="A14" s="157" t="s">
        <v>242</v>
      </c>
      <c r="B14" s="71" t="s">
        <v>167</v>
      </c>
      <c r="C14">
        <v>11</v>
      </c>
      <c r="D14">
        <v>11</v>
      </c>
      <c r="E14">
        <v>9</v>
      </c>
      <c r="F14" s="159" t="s">
        <v>179</v>
      </c>
      <c r="G14" s="96">
        <v>192</v>
      </c>
      <c r="H14" s="96">
        <v>517</v>
      </c>
      <c r="I14" s="96">
        <v>263</v>
      </c>
      <c r="J14" s="96">
        <v>522</v>
      </c>
      <c r="K14" s="96">
        <v>221</v>
      </c>
      <c r="L14" s="96">
        <v>202</v>
      </c>
      <c r="M14" s="96">
        <v>719</v>
      </c>
      <c r="N14" s="96">
        <v>56</v>
      </c>
      <c r="O14" s="96">
        <v>485</v>
      </c>
      <c r="P14" s="96">
        <v>36</v>
      </c>
      <c r="Q14" s="96">
        <v>26</v>
      </c>
      <c r="R14" s="96">
        <v>102</v>
      </c>
      <c r="S14" s="96">
        <f t="shared" ref="S14:S19" si="4">SUM(G14:R14)</f>
        <v>3341</v>
      </c>
    </row>
    <row r="15" spans="1:19" ht="26.4" x14ac:dyDescent="0.7">
      <c r="A15" s="157" t="s">
        <v>242</v>
      </c>
      <c r="B15" s="71" t="s">
        <v>167</v>
      </c>
      <c r="C15">
        <v>12</v>
      </c>
      <c r="D15">
        <v>12</v>
      </c>
      <c r="E15">
        <v>9</v>
      </c>
      <c r="F15" s="159" t="s">
        <v>180</v>
      </c>
      <c r="G15" s="96">
        <v>23</v>
      </c>
      <c r="H15" s="96">
        <v>163</v>
      </c>
      <c r="I15" s="96">
        <v>22</v>
      </c>
      <c r="J15" s="96">
        <v>195</v>
      </c>
      <c r="K15" s="96">
        <v>30</v>
      </c>
      <c r="L15" s="96">
        <v>186</v>
      </c>
      <c r="M15" s="96">
        <v>35</v>
      </c>
      <c r="N15" s="96">
        <v>48</v>
      </c>
      <c r="O15" s="96">
        <v>177</v>
      </c>
      <c r="P15" s="96">
        <v>12</v>
      </c>
      <c r="Q15" s="96">
        <v>397</v>
      </c>
      <c r="R15" s="96">
        <v>2</v>
      </c>
      <c r="S15" s="96">
        <f t="shared" si="4"/>
        <v>1290</v>
      </c>
    </row>
    <row r="16" spans="1:19" ht="26.4" x14ac:dyDescent="0.7">
      <c r="A16" s="157" t="s">
        <v>242</v>
      </c>
      <c r="B16" s="71" t="s">
        <v>167</v>
      </c>
      <c r="C16">
        <v>13</v>
      </c>
      <c r="D16">
        <v>13</v>
      </c>
      <c r="E16">
        <v>9</v>
      </c>
      <c r="F16" s="158" t="s">
        <v>183</v>
      </c>
      <c r="G16" s="96">
        <f t="shared" ref="G16:R16" si="5">SUM(G17:G19)</f>
        <v>2836</v>
      </c>
      <c r="H16" s="96">
        <f t="shared" si="5"/>
        <v>2673</v>
      </c>
      <c r="I16" s="96">
        <f t="shared" si="5"/>
        <v>5964</v>
      </c>
      <c r="J16" s="96">
        <f t="shared" si="5"/>
        <v>1681</v>
      </c>
      <c r="K16" s="96">
        <f t="shared" si="5"/>
        <v>1918</v>
      </c>
      <c r="L16" s="96">
        <f t="shared" si="5"/>
        <v>1576</v>
      </c>
      <c r="M16" s="96">
        <f t="shared" si="5"/>
        <v>1568</v>
      </c>
      <c r="N16" s="96">
        <f t="shared" si="5"/>
        <v>3461</v>
      </c>
      <c r="O16" s="96">
        <f t="shared" si="5"/>
        <v>5597</v>
      </c>
      <c r="P16" s="96">
        <f t="shared" si="5"/>
        <v>2338</v>
      </c>
      <c r="Q16" s="96">
        <f t="shared" si="5"/>
        <v>732</v>
      </c>
      <c r="R16" s="96">
        <f t="shared" si="5"/>
        <v>2504</v>
      </c>
      <c r="S16" s="96">
        <f t="shared" si="4"/>
        <v>32848</v>
      </c>
    </row>
    <row r="17" spans="1:19" ht="26.4" x14ac:dyDescent="0.7">
      <c r="A17" s="157" t="s">
        <v>242</v>
      </c>
      <c r="B17" s="71" t="s">
        <v>167</v>
      </c>
      <c r="C17">
        <v>14</v>
      </c>
      <c r="D17">
        <v>14</v>
      </c>
      <c r="E17">
        <v>13</v>
      </c>
      <c r="F17" s="160" t="s">
        <v>184</v>
      </c>
      <c r="G17" s="96">
        <v>1419</v>
      </c>
      <c r="H17" s="96">
        <v>911</v>
      </c>
      <c r="I17" s="96">
        <v>4327</v>
      </c>
      <c r="J17" s="96">
        <v>1011</v>
      </c>
      <c r="K17" s="96">
        <v>1014</v>
      </c>
      <c r="L17" s="96">
        <v>636</v>
      </c>
      <c r="M17" s="96">
        <v>1035</v>
      </c>
      <c r="N17" s="96">
        <v>3116</v>
      </c>
      <c r="O17" s="96">
        <v>5121</v>
      </c>
      <c r="P17" s="96">
        <v>1746</v>
      </c>
      <c r="Q17" s="96">
        <v>273</v>
      </c>
      <c r="R17" s="96">
        <v>1094</v>
      </c>
      <c r="S17" s="96">
        <f t="shared" si="4"/>
        <v>21703</v>
      </c>
    </row>
    <row r="18" spans="1:19" ht="26.4" x14ac:dyDescent="0.7">
      <c r="A18" s="157" t="s">
        <v>242</v>
      </c>
      <c r="B18" s="71" t="s">
        <v>167</v>
      </c>
      <c r="C18">
        <v>15</v>
      </c>
      <c r="D18">
        <v>15</v>
      </c>
      <c r="E18">
        <v>13</v>
      </c>
      <c r="F18" s="160" t="s">
        <v>185</v>
      </c>
      <c r="G18" s="96">
        <v>772</v>
      </c>
      <c r="H18" s="96">
        <v>783</v>
      </c>
      <c r="I18" s="96">
        <v>1339</v>
      </c>
      <c r="J18" s="96">
        <v>441</v>
      </c>
      <c r="K18" s="96">
        <v>761</v>
      </c>
      <c r="L18" s="96">
        <v>811</v>
      </c>
      <c r="M18" s="96">
        <v>403</v>
      </c>
      <c r="N18" s="96">
        <v>208</v>
      </c>
      <c r="O18" s="96">
        <v>238</v>
      </c>
      <c r="P18" s="96">
        <v>320</v>
      </c>
      <c r="Q18" s="96">
        <v>278</v>
      </c>
      <c r="R18" s="96">
        <v>978</v>
      </c>
      <c r="S18" s="96">
        <f t="shared" si="4"/>
        <v>7332</v>
      </c>
    </row>
    <row r="19" spans="1:19" ht="26.4" x14ac:dyDescent="0.7">
      <c r="A19" s="157" t="s">
        <v>242</v>
      </c>
      <c r="B19" s="71" t="s">
        <v>167</v>
      </c>
      <c r="C19">
        <v>16</v>
      </c>
      <c r="D19">
        <v>16</v>
      </c>
      <c r="E19">
        <v>13</v>
      </c>
      <c r="F19" s="160" t="s">
        <v>186</v>
      </c>
      <c r="G19" s="96">
        <v>645</v>
      </c>
      <c r="H19" s="96">
        <v>979</v>
      </c>
      <c r="I19" s="96">
        <v>298</v>
      </c>
      <c r="J19" s="96">
        <v>229</v>
      </c>
      <c r="K19" s="96">
        <v>143</v>
      </c>
      <c r="L19" s="96">
        <v>129</v>
      </c>
      <c r="M19" s="96">
        <v>130</v>
      </c>
      <c r="N19" s="96">
        <v>137</v>
      </c>
      <c r="O19" s="96">
        <v>238</v>
      </c>
      <c r="P19" s="96">
        <v>272</v>
      </c>
      <c r="Q19" s="96">
        <v>181</v>
      </c>
      <c r="R19" s="96">
        <v>432</v>
      </c>
      <c r="S19" s="96">
        <f t="shared" si="4"/>
        <v>3813</v>
      </c>
    </row>
    <row r="20" spans="1:19" ht="26.4" x14ac:dyDescent="0.7">
      <c r="A20" s="157" t="s">
        <v>242</v>
      </c>
      <c r="B20" s="71" t="s">
        <v>167</v>
      </c>
      <c r="C20">
        <v>17</v>
      </c>
      <c r="D20">
        <v>17</v>
      </c>
      <c r="F20" s="144">
        <v>2002</v>
      </c>
      <c r="G20" s="96">
        <f t="shared" ref="G20:S20" si="6">SUM(G21:G24)</f>
        <v>4692</v>
      </c>
      <c r="H20" s="96">
        <f t="shared" si="6"/>
        <v>3147</v>
      </c>
      <c r="I20" s="96">
        <f t="shared" si="6"/>
        <v>3286</v>
      </c>
      <c r="J20" s="96">
        <f t="shared" si="6"/>
        <v>3009</v>
      </c>
      <c r="K20" s="96">
        <f t="shared" si="6"/>
        <v>4824</v>
      </c>
      <c r="L20" s="96">
        <f t="shared" si="6"/>
        <v>2034</v>
      </c>
      <c r="M20" s="96">
        <f t="shared" si="6"/>
        <v>4461</v>
      </c>
      <c r="N20" s="96">
        <f t="shared" si="6"/>
        <v>2685</v>
      </c>
      <c r="O20" s="96">
        <f t="shared" si="6"/>
        <v>4776</v>
      </c>
      <c r="P20" s="96">
        <f t="shared" si="6"/>
        <v>974</v>
      </c>
      <c r="Q20" s="96">
        <f t="shared" si="6"/>
        <v>622</v>
      </c>
      <c r="R20" s="96">
        <f t="shared" si="6"/>
        <v>5745</v>
      </c>
      <c r="S20" s="96">
        <f t="shared" si="6"/>
        <v>40255</v>
      </c>
    </row>
    <row r="21" spans="1:19" ht="26.4" x14ac:dyDescent="0.7">
      <c r="A21" s="157" t="s">
        <v>242</v>
      </c>
      <c r="B21" s="71" t="s">
        <v>167</v>
      </c>
      <c r="C21">
        <v>18</v>
      </c>
      <c r="D21">
        <v>18</v>
      </c>
      <c r="E21">
        <v>17</v>
      </c>
      <c r="F21" s="158" t="s">
        <v>178</v>
      </c>
      <c r="G21" s="96">
        <v>702</v>
      </c>
      <c r="H21" s="96">
        <v>678</v>
      </c>
      <c r="I21" s="96">
        <v>584</v>
      </c>
      <c r="J21" s="96">
        <v>875</v>
      </c>
      <c r="K21" s="96">
        <v>2688</v>
      </c>
      <c r="L21" s="96">
        <v>791</v>
      </c>
      <c r="M21" s="96">
        <v>1716</v>
      </c>
      <c r="N21" s="96">
        <v>652</v>
      </c>
      <c r="O21" s="96">
        <v>1229</v>
      </c>
      <c r="P21" s="96">
        <v>112</v>
      </c>
      <c r="Q21" s="96">
        <v>74</v>
      </c>
      <c r="R21" s="96">
        <v>411</v>
      </c>
      <c r="S21" s="96">
        <f>SUM(G21:R21)</f>
        <v>10512</v>
      </c>
    </row>
    <row r="22" spans="1:19" ht="26.4" x14ac:dyDescent="0.7">
      <c r="A22" s="157" t="s">
        <v>242</v>
      </c>
      <c r="B22" s="71" t="s">
        <v>167</v>
      </c>
      <c r="C22">
        <v>19</v>
      </c>
      <c r="D22">
        <v>19</v>
      </c>
      <c r="E22">
        <v>17</v>
      </c>
      <c r="F22" s="159" t="s">
        <v>179</v>
      </c>
      <c r="G22" s="96">
        <v>245</v>
      </c>
      <c r="H22" s="96">
        <v>477</v>
      </c>
      <c r="I22" s="96">
        <v>867</v>
      </c>
      <c r="J22" s="96">
        <v>488</v>
      </c>
      <c r="K22" s="96">
        <v>311</v>
      </c>
      <c r="L22" s="96">
        <v>282</v>
      </c>
      <c r="M22" s="96">
        <v>581</v>
      </c>
      <c r="N22" s="96">
        <v>205</v>
      </c>
      <c r="O22" s="96">
        <v>318</v>
      </c>
      <c r="P22" s="96">
        <v>154</v>
      </c>
      <c r="Q22" s="96">
        <v>49</v>
      </c>
      <c r="R22" s="96">
        <v>99</v>
      </c>
      <c r="S22" s="96">
        <f t="shared" ref="S22:S27" si="7">SUM(G22:R22)</f>
        <v>4076</v>
      </c>
    </row>
    <row r="23" spans="1:19" ht="26.4" x14ac:dyDescent="0.7">
      <c r="A23" s="157" t="s">
        <v>242</v>
      </c>
      <c r="B23" s="71" t="s">
        <v>167</v>
      </c>
      <c r="C23">
        <v>20</v>
      </c>
      <c r="D23">
        <v>20</v>
      </c>
      <c r="E23">
        <v>17</v>
      </c>
      <c r="F23" s="159" t="s">
        <v>180</v>
      </c>
      <c r="G23" s="96">
        <v>248</v>
      </c>
      <c r="H23" s="96">
        <v>3</v>
      </c>
      <c r="I23" s="96">
        <v>109</v>
      </c>
      <c r="J23" s="96">
        <v>155</v>
      </c>
      <c r="K23" s="96">
        <v>202</v>
      </c>
      <c r="L23" s="96">
        <v>107</v>
      </c>
      <c r="M23" s="96">
        <v>164</v>
      </c>
      <c r="N23" s="96">
        <v>29</v>
      </c>
      <c r="O23" s="96">
        <v>261</v>
      </c>
      <c r="P23" s="96">
        <v>20</v>
      </c>
      <c r="Q23" s="96">
        <v>63</v>
      </c>
      <c r="R23" s="96">
        <v>130</v>
      </c>
      <c r="S23" s="96">
        <f t="shared" si="7"/>
        <v>1491</v>
      </c>
    </row>
    <row r="24" spans="1:19" ht="26.4" x14ac:dyDescent="0.7">
      <c r="A24" s="157" t="s">
        <v>242</v>
      </c>
      <c r="B24" s="71" t="s">
        <v>167</v>
      </c>
      <c r="C24">
        <v>21</v>
      </c>
      <c r="D24">
        <v>21</v>
      </c>
      <c r="E24">
        <v>17</v>
      </c>
      <c r="F24" s="158" t="s">
        <v>183</v>
      </c>
      <c r="G24" s="96">
        <f t="shared" ref="G24:R24" si="8">SUM(G25:G27)</f>
        <v>3497</v>
      </c>
      <c r="H24" s="96">
        <f t="shared" si="8"/>
        <v>1989</v>
      </c>
      <c r="I24" s="96">
        <f t="shared" si="8"/>
        <v>1726</v>
      </c>
      <c r="J24" s="96">
        <f t="shared" si="8"/>
        <v>1491</v>
      </c>
      <c r="K24" s="96">
        <f t="shared" si="8"/>
        <v>1623</v>
      </c>
      <c r="L24" s="96">
        <f t="shared" si="8"/>
        <v>854</v>
      </c>
      <c r="M24" s="96">
        <f t="shared" si="8"/>
        <v>2000</v>
      </c>
      <c r="N24" s="96">
        <f t="shared" si="8"/>
        <v>1799</v>
      </c>
      <c r="O24" s="96">
        <f t="shared" si="8"/>
        <v>2968</v>
      </c>
      <c r="P24" s="96">
        <f t="shared" si="8"/>
        <v>688</v>
      </c>
      <c r="Q24" s="96">
        <f t="shared" si="8"/>
        <v>436</v>
      </c>
      <c r="R24" s="96">
        <f t="shared" si="8"/>
        <v>5105</v>
      </c>
      <c r="S24" s="96">
        <f t="shared" si="7"/>
        <v>24176</v>
      </c>
    </row>
    <row r="25" spans="1:19" ht="26.4" x14ac:dyDescent="0.7">
      <c r="A25" s="157" t="s">
        <v>242</v>
      </c>
      <c r="B25" s="71" t="s">
        <v>167</v>
      </c>
      <c r="C25">
        <v>22</v>
      </c>
      <c r="D25">
        <v>22</v>
      </c>
      <c r="E25">
        <v>21</v>
      </c>
      <c r="F25" s="160" t="s">
        <v>184</v>
      </c>
      <c r="G25" s="96">
        <v>2173</v>
      </c>
      <c r="H25" s="96">
        <v>1213</v>
      </c>
      <c r="I25" s="96">
        <v>942</v>
      </c>
      <c r="J25" s="96">
        <v>1120</v>
      </c>
      <c r="K25" s="96">
        <v>978</v>
      </c>
      <c r="L25" s="96">
        <v>589</v>
      </c>
      <c r="M25" s="96">
        <v>1469</v>
      </c>
      <c r="N25" s="96">
        <v>1682</v>
      </c>
      <c r="O25" s="96">
        <v>2724</v>
      </c>
      <c r="P25" s="96">
        <v>681</v>
      </c>
      <c r="Q25" s="96">
        <v>367</v>
      </c>
      <c r="R25" s="96">
        <v>4550</v>
      </c>
      <c r="S25" s="96">
        <f t="shared" si="7"/>
        <v>18488</v>
      </c>
    </row>
    <row r="26" spans="1:19" ht="26.4" x14ac:dyDescent="0.7">
      <c r="A26" s="157" t="s">
        <v>242</v>
      </c>
      <c r="B26" s="71" t="s">
        <v>167</v>
      </c>
      <c r="C26">
        <v>23</v>
      </c>
      <c r="D26">
        <v>23</v>
      </c>
      <c r="E26">
        <v>21</v>
      </c>
      <c r="F26" s="160" t="s">
        <v>185</v>
      </c>
      <c r="G26" s="96">
        <v>921</v>
      </c>
      <c r="H26" s="96">
        <v>657</v>
      </c>
      <c r="I26" s="96">
        <v>635</v>
      </c>
      <c r="J26" s="96">
        <v>283</v>
      </c>
      <c r="K26" s="96">
        <v>509</v>
      </c>
      <c r="L26" s="96">
        <v>183</v>
      </c>
      <c r="M26" s="96">
        <v>320</v>
      </c>
      <c r="N26" s="96">
        <v>54</v>
      </c>
      <c r="O26" s="96">
        <v>94</v>
      </c>
      <c r="P26" s="96">
        <v>4</v>
      </c>
      <c r="Q26" s="96">
        <v>58</v>
      </c>
      <c r="R26" s="96">
        <v>395</v>
      </c>
      <c r="S26" s="96">
        <f t="shared" si="7"/>
        <v>4113</v>
      </c>
    </row>
    <row r="27" spans="1:19" ht="26.4" x14ac:dyDescent="0.7">
      <c r="A27" s="157" t="s">
        <v>242</v>
      </c>
      <c r="B27" s="71" t="s">
        <v>167</v>
      </c>
      <c r="C27">
        <v>24</v>
      </c>
      <c r="D27">
        <v>24</v>
      </c>
      <c r="E27">
        <v>21</v>
      </c>
      <c r="F27" s="160" t="s">
        <v>186</v>
      </c>
      <c r="G27" s="96">
        <v>403</v>
      </c>
      <c r="H27" s="96">
        <v>119</v>
      </c>
      <c r="I27" s="96">
        <v>149</v>
      </c>
      <c r="J27" s="96">
        <v>88</v>
      </c>
      <c r="K27" s="96">
        <v>136</v>
      </c>
      <c r="L27" s="96">
        <v>82</v>
      </c>
      <c r="M27" s="96">
        <v>211</v>
      </c>
      <c r="N27" s="96">
        <v>63</v>
      </c>
      <c r="O27" s="96">
        <v>150</v>
      </c>
      <c r="P27" s="96">
        <v>3</v>
      </c>
      <c r="Q27" s="96">
        <v>11</v>
      </c>
      <c r="R27" s="96">
        <v>160</v>
      </c>
      <c r="S27" s="96">
        <f t="shared" si="7"/>
        <v>1575</v>
      </c>
    </row>
    <row r="28" spans="1:19" ht="26.4" x14ac:dyDescent="0.7">
      <c r="A28" s="157" t="s">
        <v>242</v>
      </c>
      <c r="B28" s="71" t="s">
        <v>167</v>
      </c>
      <c r="C28">
        <v>25</v>
      </c>
      <c r="D28">
        <v>25</v>
      </c>
      <c r="F28" s="144">
        <v>2003</v>
      </c>
      <c r="G28" s="96">
        <f t="shared" ref="G28:S28" si="9">SUM(G29:G32)</f>
        <v>2296</v>
      </c>
      <c r="H28" s="96">
        <f t="shared" si="9"/>
        <v>3325</v>
      </c>
      <c r="I28" s="96">
        <f t="shared" si="9"/>
        <v>3669</v>
      </c>
      <c r="J28" s="96">
        <f t="shared" si="9"/>
        <v>2703</v>
      </c>
      <c r="K28" s="96">
        <f t="shared" si="9"/>
        <v>2459</v>
      </c>
      <c r="L28" s="96">
        <f t="shared" si="9"/>
        <v>3440</v>
      </c>
      <c r="M28" s="96">
        <f t="shared" si="9"/>
        <v>3022</v>
      </c>
      <c r="N28" s="96">
        <f t="shared" si="9"/>
        <v>1823</v>
      </c>
      <c r="O28" s="96">
        <f t="shared" si="9"/>
        <v>5348</v>
      </c>
      <c r="P28" s="96">
        <f t="shared" si="9"/>
        <v>737</v>
      </c>
      <c r="Q28" s="96">
        <f t="shared" si="9"/>
        <v>284</v>
      </c>
      <c r="R28" s="96">
        <f t="shared" si="9"/>
        <v>5504</v>
      </c>
      <c r="S28" s="96">
        <f t="shared" si="9"/>
        <v>34610</v>
      </c>
    </row>
    <row r="29" spans="1:19" ht="26.4" x14ac:dyDescent="0.7">
      <c r="A29" s="157" t="s">
        <v>242</v>
      </c>
      <c r="B29" s="71" t="s">
        <v>167</v>
      </c>
      <c r="C29">
        <v>26</v>
      </c>
      <c r="D29">
        <v>26</v>
      </c>
      <c r="E29">
        <v>25</v>
      </c>
      <c r="F29" s="158" t="s">
        <v>178</v>
      </c>
      <c r="G29" s="96">
        <v>208</v>
      </c>
      <c r="H29" s="96">
        <v>545</v>
      </c>
      <c r="I29" s="96">
        <v>476</v>
      </c>
      <c r="J29" s="96">
        <v>754</v>
      </c>
      <c r="K29" s="96">
        <v>483</v>
      </c>
      <c r="L29" s="96">
        <v>970</v>
      </c>
      <c r="M29" s="96">
        <v>1250</v>
      </c>
      <c r="N29" s="96">
        <v>583</v>
      </c>
      <c r="O29" s="96">
        <v>1232</v>
      </c>
      <c r="P29" s="96">
        <v>197</v>
      </c>
      <c r="Q29" s="96">
        <v>99</v>
      </c>
      <c r="R29" s="96">
        <v>903</v>
      </c>
      <c r="S29" s="96">
        <f>SUM(G29:R29)</f>
        <v>7700</v>
      </c>
    </row>
    <row r="30" spans="1:19" ht="26.4" x14ac:dyDescent="0.7">
      <c r="A30" s="157" t="s">
        <v>242</v>
      </c>
      <c r="B30" s="71" t="s">
        <v>167</v>
      </c>
      <c r="C30">
        <v>27</v>
      </c>
      <c r="D30">
        <v>27</v>
      </c>
      <c r="E30">
        <v>25</v>
      </c>
      <c r="F30" s="159" t="s">
        <v>179</v>
      </c>
      <c r="G30" s="96">
        <v>143</v>
      </c>
      <c r="H30" s="96">
        <v>495</v>
      </c>
      <c r="I30" s="96">
        <v>228</v>
      </c>
      <c r="J30" s="96">
        <v>306</v>
      </c>
      <c r="K30" s="96">
        <v>485</v>
      </c>
      <c r="L30" s="96">
        <v>958</v>
      </c>
      <c r="M30" s="96">
        <v>394</v>
      </c>
      <c r="N30" s="96">
        <v>495</v>
      </c>
      <c r="O30" s="96">
        <v>561</v>
      </c>
      <c r="P30" s="96">
        <v>42</v>
      </c>
      <c r="Q30" s="96">
        <v>86</v>
      </c>
      <c r="R30" s="96">
        <v>934</v>
      </c>
      <c r="S30" s="96">
        <f t="shared" ref="S30:S35" si="10">SUM(G30:R30)</f>
        <v>5127</v>
      </c>
    </row>
    <row r="31" spans="1:19" ht="26.4" x14ac:dyDescent="0.7">
      <c r="A31" s="157" t="s">
        <v>242</v>
      </c>
      <c r="B31" s="71" t="s">
        <v>167</v>
      </c>
      <c r="C31">
        <v>28</v>
      </c>
      <c r="D31">
        <v>28</v>
      </c>
      <c r="E31">
        <v>25</v>
      </c>
      <c r="F31" s="159" t="s">
        <v>180</v>
      </c>
      <c r="G31" s="96">
        <v>272</v>
      </c>
      <c r="H31" s="96">
        <v>100</v>
      </c>
      <c r="I31" s="96">
        <v>343</v>
      </c>
      <c r="J31" s="96">
        <v>20</v>
      </c>
      <c r="K31" s="96">
        <v>445</v>
      </c>
      <c r="L31" s="96">
        <v>22</v>
      </c>
      <c r="M31" s="96">
        <v>111</v>
      </c>
      <c r="N31" s="96">
        <v>66</v>
      </c>
      <c r="O31" s="96">
        <v>108</v>
      </c>
      <c r="P31" s="96">
        <v>24</v>
      </c>
      <c r="Q31" s="96">
        <v>4</v>
      </c>
      <c r="R31" s="96">
        <v>180</v>
      </c>
      <c r="S31" s="96">
        <f t="shared" si="10"/>
        <v>1695</v>
      </c>
    </row>
    <row r="32" spans="1:19" ht="26.4" x14ac:dyDescent="0.7">
      <c r="A32" s="157" t="s">
        <v>242</v>
      </c>
      <c r="B32" s="71" t="s">
        <v>167</v>
      </c>
      <c r="C32">
        <v>29</v>
      </c>
      <c r="D32">
        <v>29</v>
      </c>
      <c r="E32">
        <v>25</v>
      </c>
      <c r="F32" s="158" t="s">
        <v>183</v>
      </c>
      <c r="G32" s="96">
        <f t="shared" ref="G32:R32" si="11">SUM(G33:G35)</f>
        <v>1673</v>
      </c>
      <c r="H32" s="96">
        <f t="shared" si="11"/>
        <v>2185</v>
      </c>
      <c r="I32" s="96">
        <f t="shared" si="11"/>
        <v>2622</v>
      </c>
      <c r="J32" s="96">
        <f t="shared" si="11"/>
        <v>1623</v>
      </c>
      <c r="K32" s="96">
        <f t="shared" si="11"/>
        <v>1046</v>
      </c>
      <c r="L32" s="96">
        <f t="shared" si="11"/>
        <v>1490</v>
      </c>
      <c r="M32" s="96">
        <f t="shared" si="11"/>
        <v>1267</v>
      </c>
      <c r="N32" s="96">
        <f t="shared" si="11"/>
        <v>679</v>
      </c>
      <c r="O32" s="96">
        <f t="shared" si="11"/>
        <v>3447</v>
      </c>
      <c r="P32" s="96">
        <f t="shared" si="11"/>
        <v>474</v>
      </c>
      <c r="Q32" s="96">
        <f t="shared" si="11"/>
        <v>95</v>
      </c>
      <c r="R32" s="96">
        <f t="shared" si="11"/>
        <v>3487</v>
      </c>
      <c r="S32" s="96">
        <f t="shared" si="10"/>
        <v>20088</v>
      </c>
    </row>
    <row r="33" spans="1:19" ht="26.4" x14ac:dyDescent="0.7">
      <c r="A33" s="157" t="s">
        <v>242</v>
      </c>
      <c r="B33" s="71" t="s">
        <v>167</v>
      </c>
      <c r="C33">
        <v>30</v>
      </c>
      <c r="D33">
        <v>30</v>
      </c>
      <c r="E33">
        <v>29</v>
      </c>
      <c r="F33" s="160" t="s">
        <v>184</v>
      </c>
      <c r="G33" s="96">
        <v>1238</v>
      </c>
      <c r="H33" s="96">
        <v>1890</v>
      </c>
      <c r="I33" s="96">
        <v>2168</v>
      </c>
      <c r="J33" s="96">
        <v>1299</v>
      </c>
      <c r="K33" s="96">
        <v>796</v>
      </c>
      <c r="L33" s="96">
        <v>1224</v>
      </c>
      <c r="M33" s="96">
        <v>576</v>
      </c>
      <c r="N33" s="96">
        <v>529</v>
      </c>
      <c r="O33" s="96">
        <v>3085</v>
      </c>
      <c r="P33" s="96">
        <v>395</v>
      </c>
      <c r="Q33" s="96">
        <v>82</v>
      </c>
      <c r="R33" s="96">
        <v>2274</v>
      </c>
      <c r="S33" s="96">
        <f t="shared" si="10"/>
        <v>15556</v>
      </c>
    </row>
    <row r="34" spans="1:19" ht="26.4" x14ac:dyDescent="0.7">
      <c r="A34" s="157" t="s">
        <v>242</v>
      </c>
      <c r="B34" s="71" t="s">
        <v>167</v>
      </c>
      <c r="C34">
        <v>31</v>
      </c>
      <c r="D34">
        <v>31</v>
      </c>
      <c r="E34">
        <v>29</v>
      </c>
      <c r="F34" s="160" t="s">
        <v>185</v>
      </c>
      <c r="G34" s="96">
        <v>332</v>
      </c>
      <c r="H34" s="96">
        <v>248</v>
      </c>
      <c r="I34" s="96">
        <v>384</v>
      </c>
      <c r="J34" s="96">
        <v>282</v>
      </c>
      <c r="K34" s="96">
        <v>216</v>
      </c>
      <c r="L34" s="96">
        <v>230</v>
      </c>
      <c r="M34" s="96">
        <v>592</v>
      </c>
      <c r="N34" s="96">
        <v>123</v>
      </c>
      <c r="O34" s="96">
        <v>265</v>
      </c>
      <c r="P34" s="96">
        <v>67</v>
      </c>
      <c r="Q34" s="96">
        <v>10</v>
      </c>
      <c r="R34" s="96">
        <v>1105</v>
      </c>
      <c r="S34" s="96">
        <f t="shared" si="10"/>
        <v>3854</v>
      </c>
    </row>
    <row r="35" spans="1:19" ht="26.4" x14ac:dyDescent="0.7">
      <c r="A35" s="157" t="s">
        <v>242</v>
      </c>
      <c r="B35" s="71" t="s">
        <v>167</v>
      </c>
      <c r="C35">
        <v>32</v>
      </c>
      <c r="D35">
        <v>32</v>
      </c>
      <c r="E35">
        <v>29</v>
      </c>
      <c r="F35" s="160" t="s">
        <v>186</v>
      </c>
      <c r="G35" s="96">
        <v>103</v>
      </c>
      <c r="H35" s="96">
        <v>47</v>
      </c>
      <c r="I35" s="96">
        <v>70</v>
      </c>
      <c r="J35" s="96">
        <v>42</v>
      </c>
      <c r="K35" s="96">
        <v>34</v>
      </c>
      <c r="L35" s="96">
        <v>36</v>
      </c>
      <c r="M35" s="96">
        <v>99</v>
      </c>
      <c r="N35" s="96">
        <v>27</v>
      </c>
      <c r="O35" s="96">
        <v>97</v>
      </c>
      <c r="P35" s="96">
        <v>12</v>
      </c>
      <c r="Q35" s="96">
        <v>3</v>
      </c>
      <c r="R35" s="96">
        <v>108</v>
      </c>
      <c r="S35" s="96">
        <f t="shared" si="10"/>
        <v>678</v>
      </c>
    </row>
    <row r="36" spans="1:19" ht="26.4" x14ac:dyDescent="0.7">
      <c r="A36" s="157" t="s">
        <v>242</v>
      </c>
      <c r="B36" s="71" t="s">
        <v>167</v>
      </c>
      <c r="C36">
        <v>33</v>
      </c>
      <c r="D36">
        <v>33</v>
      </c>
      <c r="F36" s="144">
        <v>2004</v>
      </c>
      <c r="G36" s="96">
        <f t="shared" ref="G36:S36" si="12">SUM(G37:G40)</f>
        <v>3136</v>
      </c>
      <c r="H36" s="96">
        <f t="shared" si="12"/>
        <v>4412</v>
      </c>
      <c r="I36" s="96">
        <f t="shared" si="12"/>
        <v>2224</v>
      </c>
      <c r="J36" s="96">
        <f t="shared" si="12"/>
        <v>2266</v>
      </c>
      <c r="K36" s="96">
        <f t="shared" si="12"/>
        <v>2929</v>
      </c>
      <c r="L36" s="96">
        <f t="shared" si="12"/>
        <v>2984</v>
      </c>
      <c r="M36" s="96">
        <f t="shared" si="12"/>
        <v>4099</v>
      </c>
      <c r="N36" s="96">
        <f t="shared" si="12"/>
        <v>3315</v>
      </c>
      <c r="O36" s="96">
        <f t="shared" si="12"/>
        <v>6585</v>
      </c>
      <c r="P36" s="96">
        <f t="shared" si="12"/>
        <v>1691</v>
      </c>
      <c r="Q36" s="96">
        <f t="shared" si="12"/>
        <v>1374</v>
      </c>
      <c r="R36" s="96">
        <f t="shared" si="12"/>
        <v>4296</v>
      </c>
      <c r="S36" s="96">
        <f t="shared" si="12"/>
        <v>39311</v>
      </c>
    </row>
    <row r="37" spans="1:19" ht="26.4" x14ac:dyDescent="0.7">
      <c r="A37" s="157" t="s">
        <v>242</v>
      </c>
      <c r="B37" s="71" t="s">
        <v>167</v>
      </c>
      <c r="C37">
        <v>34</v>
      </c>
      <c r="D37">
        <v>34</v>
      </c>
      <c r="E37">
        <v>33</v>
      </c>
      <c r="F37" s="158" t="s">
        <v>178</v>
      </c>
      <c r="G37" s="96">
        <v>215</v>
      </c>
      <c r="H37" s="96">
        <v>1177</v>
      </c>
      <c r="I37" s="96">
        <v>667</v>
      </c>
      <c r="J37" s="96">
        <v>605</v>
      </c>
      <c r="K37" s="96">
        <v>752</v>
      </c>
      <c r="L37" s="96">
        <v>722</v>
      </c>
      <c r="M37" s="96">
        <v>1140</v>
      </c>
      <c r="N37" s="96">
        <v>636</v>
      </c>
      <c r="O37" s="96">
        <v>1202</v>
      </c>
      <c r="P37" s="96">
        <v>208</v>
      </c>
      <c r="Q37" s="96">
        <v>300</v>
      </c>
      <c r="R37" s="96">
        <v>291</v>
      </c>
      <c r="S37" s="96">
        <f>SUM(G37:R37)</f>
        <v>7915</v>
      </c>
    </row>
    <row r="38" spans="1:19" ht="26.4" x14ac:dyDescent="0.7">
      <c r="A38" s="157" t="s">
        <v>242</v>
      </c>
      <c r="B38" s="71" t="s">
        <v>167</v>
      </c>
      <c r="C38">
        <v>35</v>
      </c>
      <c r="D38">
        <v>35</v>
      </c>
      <c r="E38">
        <v>33</v>
      </c>
      <c r="F38" s="159" t="s">
        <v>179</v>
      </c>
      <c r="G38" s="96">
        <v>161</v>
      </c>
      <c r="H38" s="96">
        <v>524</v>
      </c>
      <c r="I38" s="96">
        <v>196</v>
      </c>
      <c r="J38" s="96">
        <v>351</v>
      </c>
      <c r="K38" s="96">
        <v>433</v>
      </c>
      <c r="L38" s="96">
        <v>293</v>
      </c>
      <c r="M38" s="96">
        <v>745</v>
      </c>
      <c r="N38" s="96">
        <v>270</v>
      </c>
      <c r="O38" s="96">
        <v>908</v>
      </c>
      <c r="P38" s="96">
        <v>461</v>
      </c>
      <c r="Q38" s="96">
        <v>95</v>
      </c>
      <c r="R38" s="96">
        <v>636</v>
      </c>
      <c r="S38" s="96">
        <f t="shared" ref="S38:S43" si="13">SUM(G38:R38)</f>
        <v>5073</v>
      </c>
    </row>
    <row r="39" spans="1:19" ht="26.4" x14ac:dyDescent="0.7">
      <c r="A39" s="157" t="s">
        <v>242</v>
      </c>
      <c r="B39" s="71" t="s">
        <v>167</v>
      </c>
      <c r="C39">
        <v>36</v>
      </c>
      <c r="D39">
        <v>36</v>
      </c>
      <c r="E39">
        <v>33</v>
      </c>
      <c r="F39" s="159" t="s">
        <v>180</v>
      </c>
      <c r="G39" s="96">
        <v>187</v>
      </c>
      <c r="H39" s="96">
        <v>2</v>
      </c>
      <c r="I39" s="96">
        <v>288</v>
      </c>
      <c r="J39" s="96">
        <v>83</v>
      </c>
      <c r="K39" s="96">
        <v>167</v>
      </c>
      <c r="L39" s="96">
        <v>6</v>
      </c>
      <c r="M39" s="96">
        <v>139</v>
      </c>
      <c r="N39" s="96">
        <v>3</v>
      </c>
      <c r="O39" s="96">
        <v>37</v>
      </c>
      <c r="P39" s="96">
        <v>3</v>
      </c>
      <c r="Q39" s="96">
        <v>116</v>
      </c>
      <c r="R39" s="96">
        <v>71</v>
      </c>
      <c r="S39" s="96">
        <f t="shared" si="13"/>
        <v>1102</v>
      </c>
    </row>
    <row r="40" spans="1:19" ht="26.4" x14ac:dyDescent="0.7">
      <c r="A40" s="157" t="s">
        <v>242</v>
      </c>
      <c r="B40" s="71" t="s">
        <v>167</v>
      </c>
      <c r="C40">
        <v>37</v>
      </c>
      <c r="D40">
        <v>37</v>
      </c>
      <c r="E40">
        <v>33</v>
      </c>
      <c r="F40" s="158" t="s">
        <v>183</v>
      </c>
      <c r="G40" s="96">
        <f t="shared" ref="G40:R40" si="14">SUM(G41:G43)</f>
        <v>2573</v>
      </c>
      <c r="H40" s="96">
        <f t="shared" si="14"/>
        <v>2709</v>
      </c>
      <c r="I40" s="96">
        <f t="shared" si="14"/>
        <v>1073</v>
      </c>
      <c r="J40" s="96">
        <f t="shared" si="14"/>
        <v>1227</v>
      </c>
      <c r="K40" s="96">
        <f t="shared" si="14"/>
        <v>1577</v>
      </c>
      <c r="L40" s="96">
        <f t="shared" si="14"/>
        <v>1963</v>
      </c>
      <c r="M40" s="96">
        <f t="shared" si="14"/>
        <v>2075</v>
      </c>
      <c r="N40" s="96">
        <f t="shared" si="14"/>
        <v>2406</v>
      </c>
      <c r="O40" s="96">
        <f t="shared" si="14"/>
        <v>4438</v>
      </c>
      <c r="P40" s="96">
        <f t="shared" si="14"/>
        <v>1019</v>
      </c>
      <c r="Q40" s="96">
        <f t="shared" si="14"/>
        <v>863</v>
      </c>
      <c r="R40" s="96">
        <f t="shared" si="14"/>
        <v>3298</v>
      </c>
      <c r="S40" s="96">
        <f t="shared" si="13"/>
        <v>25221</v>
      </c>
    </row>
    <row r="41" spans="1:19" ht="26.4" x14ac:dyDescent="0.7">
      <c r="A41" s="157" t="s">
        <v>242</v>
      </c>
      <c r="B41" s="71" t="s">
        <v>167</v>
      </c>
      <c r="C41">
        <v>38</v>
      </c>
      <c r="D41">
        <v>38</v>
      </c>
      <c r="E41">
        <v>37</v>
      </c>
      <c r="F41" s="160" t="s">
        <v>184</v>
      </c>
      <c r="G41" s="96">
        <v>2173</v>
      </c>
      <c r="H41" s="96">
        <v>2095</v>
      </c>
      <c r="I41" s="96">
        <v>738</v>
      </c>
      <c r="J41" s="96">
        <v>773</v>
      </c>
      <c r="K41" s="96">
        <v>1056</v>
      </c>
      <c r="L41" s="96">
        <v>1427</v>
      </c>
      <c r="M41" s="96">
        <v>1443</v>
      </c>
      <c r="N41" s="96">
        <v>1935</v>
      </c>
      <c r="O41" s="96">
        <v>3881</v>
      </c>
      <c r="P41" s="96">
        <v>1000</v>
      </c>
      <c r="Q41" s="96">
        <v>793</v>
      </c>
      <c r="R41" s="96">
        <v>2800</v>
      </c>
      <c r="S41" s="96">
        <f t="shared" si="13"/>
        <v>20114</v>
      </c>
    </row>
    <row r="42" spans="1:19" ht="26.4" x14ac:dyDescent="0.7">
      <c r="A42" s="157" t="s">
        <v>242</v>
      </c>
      <c r="B42" s="71" t="s">
        <v>167</v>
      </c>
      <c r="C42">
        <v>39</v>
      </c>
      <c r="D42">
        <v>39</v>
      </c>
      <c r="E42">
        <v>37</v>
      </c>
      <c r="F42" s="160" t="s">
        <v>185</v>
      </c>
      <c r="G42" s="96">
        <v>375</v>
      </c>
      <c r="H42" s="96">
        <v>574</v>
      </c>
      <c r="I42" s="96">
        <v>320</v>
      </c>
      <c r="J42" s="96">
        <v>435</v>
      </c>
      <c r="K42" s="96">
        <v>492</v>
      </c>
      <c r="L42" s="96">
        <v>505</v>
      </c>
      <c r="M42" s="96">
        <v>532</v>
      </c>
      <c r="N42" s="96">
        <v>386</v>
      </c>
      <c r="O42" s="96">
        <v>426</v>
      </c>
      <c r="P42" s="96">
        <v>18</v>
      </c>
      <c r="Q42" s="96">
        <v>67</v>
      </c>
      <c r="R42" s="96">
        <v>394</v>
      </c>
      <c r="S42" s="96">
        <f t="shared" si="13"/>
        <v>4524</v>
      </c>
    </row>
    <row r="43" spans="1:19" ht="26.4" x14ac:dyDescent="0.7">
      <c r="A43" s="157" t="s">
        <v>242</v>
      </c>
      <c r="B43" s="71" t="s">
        <v>167</v>
      </c>
      <c r="C43">
        <v>40</v>
      </c>
      <c r="D43">
        <v>40</v>
      </c>
      <c r="E43">
        <v>37</v>
      </c>
      <c r="F43" s="160" t="s">
        <v>186</v>
      </c>
      <c r="G43" s="96">
        <v>25</v>
      </c>
      <c r="H43" s="96">
        <v>40</v>
      </c>
      <c r="I43" s="96">
        <v>15</v>
      </c>
      <c r="J43" s="96">
        <v>19</v>
      </c>
      <c r="K43" s="96">
        <v>29</v>
      </c>
      <c r="L43" s="96">
        <v>31</v>
      </c>
      <c r="M43" s="96">
        <v>100</v>
      </c>
      <c r="N43" s="96">
        <v>85</v>
      </c>
      <c r="O43" s="96">
        <v>131</v>
      </c>
      <c r="P43" s="96">
        <v>1</v>
      </c>
      <c r="Q43" s="96">
        <v>3</v>
      </c>
      <c r="R43" s="96">
        <v>104</v>
      </c>
      <c r="S43" s="96">
        <f t="shared" si="13"/>
        <v>583</v>
      </c>
    </row>
    <row r="44" spans="1:19" ht="26.4" x14ac:dyDescent="0.7">
      <c r="A44" s="157" t="s">
        <v>242</v>
      </c>
      <c r="B44" s="71" t="s">
        <v>167</v>
      </c>
      <c r="C44">
        <v>41</v>
      </c>
      <c r="D44">
        <v>41</v>
      </c>
      <c r="F44" s="144">
        <v>2005</v>
      </c>
      <c r="G44" s="96">
        <f t="shared" ref="G44:S44" si="15">SUM(G45:G48)</f>
        <v>2848</v>
      </c>
      <c r="H44" s="96">
        <f t="shared" si="15"/>
        <v>3923</v>
      </c>
      <c r="I44" s="96">
        <f t="shared" si="15"/>
        <v>3648</v>
      </c>
      <c r="J44" s="96">
        <f t="shared" si="15"/>
        <v>4198</v>
      </c>
      <c r="K44" s="96">
        <f t="shared" si="15"/>
        <v>3530</v>
      </c>
      <c r="L44" s="96">
        <f t="shared" si="15"/>
        <v>4083</v>
      </c>
      <c r="M44" s="96">
        <f t="shared" si="15"/>
        <v>5269</v>
      </c>
      <c r="N44" s="96">
        <f t="shared" si="15"/>
        <v>4102</v>
      </c>
      <c r="O44" s="96">
        <f t="shared" si="15"/>
        <v>3999</v>
      </c>
      <c r="P44" s="96">
        <f t="shared" si="15"/>
        <v>3927</v>
      </c>
      <c r="Q44" s="96">
        <f t="shared" si="15"/>
        <v>2477</v>
      </c>
      <c r="R44" s="96">
        <f t="shared" si="15"/>
        <v>749</v>
      </c>
      <c r="S44" s="96">
        <f t="shared" si="15"/>
        <v>42753</v>
      </c>
    </row>
    <row r="45" spans="1:19" ht="26.4" x14ac:dyDescent="0.7">
      <c r="A45" s="157" t="s">
        <v>242</v>
      </c>
      <c r="B45" s="71" t="s">
        <v>167</v>
      </c>
      <c r="C45">
        <v>42</v>
      </c>
      <c r="D45">
        <v>42</v>
      </c>
      <c r="E45">
        <v>41</v>
      </c>
      <c r="F45" s="158" t="s">
        <v>178</v>
      </c>
      <c r="G45" s="96">
        <v>342</v>
      </c>
      <c r="H45" s="96">
        <v>597</v>
      </c>
      <c r="I45" s="96">
        <v>718</v>
      </c>
      <c r="J45" s="96">
        <v>554</v>
      </c>
      <c r="K45" s="96">
        <v>1079</v>
      </c>
      <c r="L45" s="96">
        <v>594</v>
      </c>
      <c r="M45" s="96">
        <v>1078</v>
      </c>
      <c r="N45" s="96">
        <v>827</v>
      </c>
      <c r="O45" s="96">
        <v>994</v>
      </c>
      <c r="P45" s="96">
        <v>311</v>
      </c>
      <c r="Q45" s="96">
        <v>208</v>
      </c>
      <c r="R45" s="96">
        <v>184</v>
      </c>
      <c r="S45" s="96">
        <f>SUM(G45:R45)</f>
        <v>7486</v>
      </c>
    </row>
    <row r="46" spans="1:19" ht="26.4" x14ac:dyDescent="0.7">
      <c r="A46" s="157" t="s">
        <v>242</v>
      </c>
      <c r="B46" s="71" t="s">
        <v>167</v>
      </c>
      <c r="C46">
        <v>43</v>
      </c>
      <c r="D46">
        <v>43</v>
      </c>
      <c r="E46">
        <v>41</v>
      </c>
      <c r="F46" s="159" t="s">
        <v>179</v>
      </c>
      <c r="G46" s="96">
        <v>244</v>
      </c>
      <c r="H46" s="96">
        <v>923</v>
      </c>
      <c r="I46" s="96">
        <v>665</v>
      </c>
      <c r="J46" s="96">
        <v>406</v>
      </c>
      <c r="K46" s="96">
        <v>991</v>
      </c>
      <c r="L46" s="96">
        <v>340</v>
      </c>
      <c r="M46" s="96">
        <v>698</v>
      </c>
      <c r="N46" s="96">
        <v>1000</v>
      </c>
      <c r="O46" s="96">
        <v>612</v>
      </c>
      <c r="P46" s="96">
        <v>377</v>
      </c>
      <c r="Q46" s="96">
        <v>48</v>
      </c>
      <c r="R46" s="96">
        <v>44</v>
      </c>
      <c r="S46" s="96">
        <f t="shared" ref="S46:S51" si="16">SUM(G46:R46)</f>
        <v>6348</v>
      </c>
    </row>
    <row r="47" spans="1:19" ht="26.4" x14ac:dyDescent="0.7">
      <c r="A47" s="157" t="s">
        <v>242</v>
      </c>
      <c r="B47" s="71" t="s">
        <v>167</v>
      </c>
      <c r="C47">
        <v>44</v>
      </c>
      <c r="D47">
        <v>44</v>
      </c>
      <c r="E47">
        <v>41</v>
      </c>
      <c r="F47" s="159" t="s">
        <v>180</v>
      </c>
      <c r="G47" s="96">
        <v>187</v>
      </c>
      <c r="H47" s="96">
        <v>1</v>
      </c>
      <c r="I47" s="96">
        <v>163</v>
      </c>
      <c r="J47" s="96">
        <v>87</v>
      </c>
      <c r="K47" s="96">
        <v>23</v>
      </c>
      <c r="L47" s="96">
        <v>47</v>
      </c>
      <c r="M47" s="96">
        <v>80</v>
      </c>
      <c r="N47" s="96">
        <v>103</v>
      </c>
      <c r="O47" s="96">
        <v>149</v>
      </c>
      <c r="P47" s="96">
        <v>2</v>
      </c>
      <c r="Q47" s="96">
        <v>126</v>
      </c>
      <c r="R47" s="96">
        <v>61</v>
      </c>
      <c r="S47" s="96">
        <f t="shared" si="16"/>
        <v>1029</v>
      </c>
    </row>
    <row r="48" spans="1:19" ht="26.4" x14ac:dyDescent="0.7">
      <c r="A48" s="157" t="s">
        <v>242</v>
      </c>
      <c r="B48" s="71" t="s">
        <v>167</v>
      </c>
      <c r="C48">
        <v>45</v>
      </c>
      <c r="D48">
        <v>45</v>
      </c>
      <c r="E48">
        <v>41</v>
      </c>
      <c r="F48" s="158" t="s">
        <v>183</v>
      </c>
      <c r="G48" s="96">
        <f t="shared" ref="G48:Q48" si="17">SUM(G49:G51)</f>
        <v>2075</v>
      </c>
      <c r="H48" s="96">
        <f t="shared" si="17"/>
        <v>2402</v>
      </c>
      <c r="I48" s="96">
        <f t="shared" si="17"/>
        <v>2102</v>
      </c>
      <c r="J48" s="96">
        <f t="shared" si="17"/>
        <v>3151</v>
      </c>
      <c r="K48" s="96">
        <f t="shared" si="17"/>
        <v>1437</v>
      </c>
      <c r="L48" s="96">
        <f t="shared" si="17"/>
        <v>3102</v>
      </c>
      <c r="M48" s="96">
        <f t="shared" si="17"/>
        <v>3413</v>
      </c>
      <c r="N48" s="96">
        <f t="shared" si="17"/>
        <v>2172</v>
      </c>
      <c r="O48" s="96">
        <f t="shared" si="17"/>
        <v>2244</v>
      </c>
      <c r="P48" s="96">
        <f t="shared" si="17"/>
        <v>3237</v>
      </c>
      <c r="Q48" s="96">
        <f t="shared" si="17"/>
        <v>2095</v>
      </c>
      <c r="R48" s="96">
        <f>SUM(R49:R51)</f>
        <v>460</v>
      </c>
      <c r="S48" s="96">
        <f t="shared" si="16"/>
        <v>27890</v>
      </c>
    </row>
    <row r="49" spans="1:19" ht="26.4" x14ac:dyDescent="0.7">
      <c r="A49" s="157" t="s">
        <v>242</v>
      </c>
      <c r="B49" s="71" t="s">
        <v>167</v>
      </c>
      <c r="C49">
        <v>46</v>
      </c>
      <c r="D49">
        <v>46</v>
      </c>
      <c r="E49">
        <v>45</v>
      </c>
      <c r="F49" s="160" t="s">
        <v>184</v>
      </c>
      <c r="G49" s="96">
        <v>1289</v>
      </c>
      <c r="H49" s="96">
        <v>1580</v>
      </c>
      <c r="I49" s="96">
        <v>1426</v>
      </c>
      <c r="J49" s="96">
        <v>2572</v>
      </c>
      <c r="K49" s="96">
        <v>870</v>
      </c>
      <c r="L49" s="96">
        <v>2616</v>
      </c>
      <c r="M49" s="96">
        <v>2907</v>
      </c>
      <c r="N49" s="96">
        <v>1551</v>
      </c>
      <c r="O49" s="96">
        <v>1669</v>
      </c>
      <c r="P49" s="96">
        <v>3104</v>
      </c>
      <c r="Q49" s="96">
        <v>1972</v>
      </c>
      <c r="R49" s="96">
        <v>312</v>
      </c>
      <c r="S49" s="96">
        <f t="shared" si="16"/>
        <v>21868</v>
      </c>
    </row>
    <row r="50" spans="1:19" ht="26.4" x14ac:dyDescent="0.7">
      <c r="A50" s="157" t="s">
        <v>242</v>
      </c>
      <c r="B50" s="71" t="s">
        <v>167</v>
      </c>
      <c r="C50">
        <v>47</v>
      </c>
      <c r="D50">
        <v>47</v>
      </c>
      <c r="E50">
        <v>45</v>
      </c>
      <c r="F50" s="160" t="s">
        <v>185</v>
      </c>
      <c r="G50" s="96">
        <v>673</v>
      </c>
      <c r="H50" s="96">
        <v>696</v>
      </c>
      <c r="I50" s="96">
        <v>593</v>
      </c>
      <c r="J50" s="96">
        <v>528</v>
      </c>
      <c r="K50" s="96">
        <v>509</v>
      </c>
      <c r="L50" s="96">
        <v>443</v>
      </c>
      <c r="M50" s="96">
        <v>439</v>
      </c>
      <c r="N50" s="96">
        <v>572</v>
      </c>
      <c r="O50" s="96">
        <v>438</v>
      </c>
      <c r="P50" s="96">
        <v>107</v>
      </c>
      <c r="Q50" s="96">
        <v>120</v>
      </c>
      <c r="R50" s="96">
        <v>134</v>
      </c>
      <c r="S50" s="96">
        <f t="shared" si="16"/>
        <v>5252</v>
      </c>
    </row>
    <row r="51" spans="1:19" ht="26.4" x14ac:dyDescent="0.7">
      <c r="A51" s="157" t="s">
        <v>242</v>
      </c>
      <c r="B51" s="71" t="s">
        <v>167</v>
      </c>
      <c r="C51">
        <v>48</v>
      </c>
      <c r="D51">
        <v>48</v>
      </c>
      <c r="E51">
        <v>45</v>
      </c>
      <c r="F51" s="160" t="s">
        <v>186</v>
      </c>
      <c r="G51" s="96">
        <v>113</v>
      </c>
      <c r="H51" s="96">
        <v>126</v>
      </c>
      <c r="I51" s="96">
        <v>83</v>
      </c>
      <c r="J51" s="96">
        <v>51</v>
      </c>
      <c r="K51" s="96">
        <v>58</v>
      </c>
      <c r="L51" s="96">
        <v>43</v>
      </c>
      <c r="M51" s="96">
        <v>67</v>
      </c>
      <c r="N51" s="96">
        <v>49</v>
      </c>
      <c r="O51" s="96">
        <v>137</v>
      </c>
      <c r="P51" s="96">
        <v>26</v>
      </c>
      <c r="Q51" s="96">
        <v>3</v>
      </c>
      <c r="R51" s="96">
        <v>14</v>
      </c>
      <c r="S51" s="96">
        <f t="shared" si="16"/>
        <v>770</v>
      </c>
    </row>
    <row r="52" spans="1:19" ht="26.4" x14ac:dyDescent="0.7">
      <c r="A52" s="157" t="s">
        <v>242</v>
      </c>
      <c r="B52" s="71" t="s">
        <v>167</v>
      </c>
      <c r="C52">
        <v>49</v>
      </c>
      <c r="D52">
        <v>49</v>
      </c>
      <c r="F52" s="144">
        <v>2006</v>
      </c>
      <c r="G52" s="96">
        <f t="shared" ref="G52:S52" si="18">SUM(G53:G56)</f>
        <v>2567</v>
      </c>
      <c r="H52" s="96">
        <f t="shared" si="18"/>
        <v>3745</v>
      </c>
      <c r="I52" s="96">
        <f t="shared" si="18"/>
        <v>6260</v>
      </c>
      <c r="J52" s="96">
        <f t="shared" si="18"/>
        <v>2596</v>
      </c>
      <c r="K52" s="96">
        <f t="shared" si="18"/>
        <v>3646</v>
      </c>
      <c r="L52" s="96">
        <f t="shared" si="18"/>
        <v>4713</v>
      </c>
      <c r="M52" s="96">
        <f t="shared" si="18"/>
        <v>3835</v>
      </c>
      <c r="N52" s="96">
        <f t="shared" si="18"/>
        <v>3413</v>
      </c>
      <c r="O52" s="96">
        <f t="shared" si="18"/>
        <v>5954</v>
      </c>
      <c r="P52" s="96">
        <f t="shared" si="18"/>
        <v>1157</v>
      </c>
      <c r="Q52" s="96">
        <f t="shared" si="18"/>
        <v>2340</v>
      </c>
      <c r="R52" s="96">
        <f t="shared" si="18"/>
        <v>3847</v>
      </c>
      <c r="S52" s="96">
        <f t="shared" si="18"/>
        <v>44073</v>
      </c>
    </row>
    <row r="53" spans="1:19" ht="26.4" x14ac:dyDescent="0.7">
      <c r="A53" s="157" t="s">
        <v>242</v>
      </c>
      <c r="B53" s="71" t="s">
        <v>167</v>
      </c>
      <c r="C53">
        <v>50</v>
      </c>
      <c r="D53">
        <v>50</v>
      </c>
      <c r="E53">
        <v>49</v>
      </c>
      <c r="F53" s="158" t="s">
        <v>178</v>
      </c>
      <c r="G53" s="96">
        <v>284</v>
      </c>
      <c r="H53" s="96">
        <v>357</v>
      </c>
      <c r="I53" s="96">
        <v>406</v>
      </c>
      <c r="J53" s="96">
        <v>307</v>
      </c>
      <c r="K53" s="96">
        <v>902</v>
      </c>
      <c r="L53" s="96">
        <v>767</v>
      </c>
      <c r="M53" s="96">
        <v>844</v>
      </c>
      <c r="N53" s="96">
        <v>686</v>
      </c>
      <c r="O53" s="96">
        <v>1101</v>
      </c>
      <c r="P53" s="96">
        <v>298</v>
      </c>
      <c r="Q53" s="96">
        <v>141</v>
      </c>
      <c r="R53" s="96">
        <v>657</v>
      </c>
      <c r="S53" s="96">
        <f t="shared" ref="S53:S67" si="19">SUM(G53:R53)</f>
        <v>6750</v>
      </c>
    </row>
    <row r="54" spans="1:19" ht="26.4" x14ac:dyDescent="0.7">
      <c r="A54" s="157" t="s">
        <v>242</v>
      </c>
      <c r="B54" s="71" t="s">
        <v>167</v>
      </c>
      <c r="C54">
        <v>51</v>
      </c>
      <c r="D54">
        <v>51</v>
      </c>
      <c r="E54">
        <v>49</v>
      </c>
      <c r="F54" s="159" t="s">
        <v>179</v>
      </c>
      <c r="G54" s="96">
        <v>447</v>
      </c>
      <c r="H54" s="96">
        <v>1300</v>
      </c>
      <c r="I54" s="96">
        <v>683</v>
      </c>
      <c r="J54" s="96">
        <v>267</v>
      </c>
      <c r="K54" s="96">
        <v>587</v>
      </c>
      <c r="L54" s="96">
        <v>280</v>
      </c>
      <c r="M54" s="96">
        <v>643</v>
      </c>
      <c r="N54" s="96">
        <v>384</v>
      </c>
      <c r="O54" s="96">
        <v>453</v>
      </c>
      <c r="P54" s="96">
        <v>16</v>
      </c>
      <c r="Q54" s="96">
        <v>46</v>
      </c>
      <c r="R54" s="96">
        <v>169</v>
      </c>
      <c r="S54" s="96">
        <f t="shared" si="19"/>
        <v>5275</v>
      </c>
    </row>
    <row r="55" spans="1:19" ht="26.4" x14ac:dyDescent="0.7">
      <c r="A55" s="157" t="s">
        <v>242</v>
      </c>
      <c r="B55" s="71" t="s">
        <v>167</v>
      </c>
      <c r="C55">
        <v>52</v>
      </c>
      <c r="D55">
        <v>52</v>
      </c>
      <c r="E55">
        <v>49</v>
      </c>
      <c r="F55" s="159" t="s">
        <v>180</v>
      </c>
      <c r="G55" s="96">
        <v>155</v>
      </c>
      <c r="H55" s="96">
        <v>100</v>
      </c>
      <c r="I55" s="96">
        <v>211</v>
      </c>
      <c r="J55" s="96">
        <v>8</v>
      </c>
      <c r="K55" s="96">
        <v>179</v>
      </c>
      <c r="L55" s="96">
        <v>26</v>
      </c>
      <c r="M55" s="96">
        <v>123</v>
      </c>
      <c r="N55" s="96">
        <v>88</v>
      </c>
      <c r="O55" s="96">
        <v>126</v>
      </c>
      <c r="P55" s="96">
        <v>125</v>
      </c>
      <c r="Q55" s="96">
        <v>46</v>
      </c>
      <c r="R55" s="96">
        <v>544</v>
      </c>
      <c r="S55" s="96">
        <f t="shared" si="19"/>
        <v>1731</v>
      </c>
    </row>
    <row r="56" spans="1:19" ht="26.4" x14ac:dyDescent="0.7">
      <c r="A56" s="157" t="s">
        <v>242</v>
      </c>
      <c r="B56" s="71" t="s">
        <v>167</v>
      </c>
      <c r="C56">
        <v>53</v>
      </c>
      <c r="D56">
        <v>53</v>
      </c>
      <c r="E56">
        <v>49</v>
      </c>
      <c r="F56" s="158" t="s">
        <v>183</v>
      </c>
      <c r="G56" s="96">
        <f t="shared" ref="G56:R56" si="20">SUM(G57:G59)</f>
        <v>1681</v>
      </c>
      <c r="H56" s="96">
        <f t="shared" si="20"/>
        <v>1988</v>
      </c>
      <c r="I56" s="96">
        <f t="shared" si="20"/>
        <v>4960</v>
      </c>
      <c r="J56" s="96">
        <f t="shared" si="20"/>
        <v>2014</v>
      </c>
      <c r="K56" s="96">
        <f t="shared" si="20"/>
        <v>1978</v>
      </c>
      <c r="L56" s="96">
        <f t="shared" si="20"/>
        <v>3640</v>
      </c>
      <c r="M56" s="96">
        <f t="shared" si="20"/>
        <v>2225</v>
      </c>
      <c r="N56" s="96">
        <f t="shared" si="20"/>
        <v>2255</v>
      </c>
      <c r="O56" s="96">
        <f t="shared" si="20"/>
        <v>4274</v>
      </c>
      <c r="P56" s="96">
        <f t="shared" si="20"/>
        <v>718</v>
      </c>
      <c r="Q56" s="96">
        <f t="shared" si="20"/>
        <v>2107</v>
      </c>
      <c r="R56" s="96">
        <f t="shared" si="20"/>
        <v>2477</v>
      </c>
      <c r="S56" s="96">
        <f t="shared" si="19"/>
        <v>30317</v>
      </c>
    </row>
    <row r="57" spans="1:19" ht="26.4" x14ac:dyDescent="0.7">
      <c r="A57" s="157" t="s">
        <v>242</v>
      </c>
      <c r="B57" s="71" t="s">
        <v>167</v>
      </c>
      <c r="C57">
        <v>54</v>
      </c>
      <c r="D57">
        <v>54</v>
      </c>
      <c r="E57">
        <v>53</v>
      </c>
      <c r="F57" s="160" t="s">
        <v>184</v>
      </c>
      <c r="G57" s="96">
        <v>581</v>
      </c>
      <c r="H57" s="96">
        <v>1489</v>
      </c>
      <c r="I57" s="96">
        <v>4465</v>
      </c>
      <c r="J57" s="96">
        <v>1601</v>
      </c>
      <c r="K57" s="96">
        <v>1248</v>
      </c>
      <c r="L57" s="96">
        <v>2865</v>
      </c>
      <c r="M57" s="96">
        <v>2016</v>
      </c>
      <c r="N57" s="96">
        <v>2040</v>
      </c>
      <c r="O57" s="96">
        <v>3941</v>
      </c>
      <c r="P57" s="96">
        <v>697</v>
      </c>
      <c r="Q57" s="96">
        <v>2027</v>
      </c>
      <c r="R57" s="96">
        <v>2217</v>
      </c>
      <c r="S57" s="96">
        <f t="shared" si="19"/>
        <v>25187</v>
      </c>
    </row>
    <row r="58" spans="1:19" ht="26.4" x14ac:dyDescent="0.7">
      <c r="A58" s="157" t="s">
        <v>242</v>
      </c>
      <c r="B58" s="71" t="s">
        <v>167</v>
      </c>
      <c r="C58">
        <v>55</v>
      </c>
      <c r="D58">
        <v>55</v>
      </c>
      <c r="E58">
        <v>53</v>
      </c>
      <c r="F58" s="160" t="s">
        <v>185</v>
      </c>
      <c r="G58" s="96">
        <v>996</v>
      </c>
      <c r="H58" s="96">
        <v>476</v>
      </c>
      <c r="I58" s="96">
        <v>452</v>
      </c>
      <c r="J58" s="96">
        <v>394</v>
      </c>
      <c r="K58" s="96">
        <v>656</v>
      </c>
      <c r="L58" s="96">
        <v>746</v>
      </c>
      <c r="M58" s="96">
        <v>168</v>
      </c>
      <c r="N58" s="96">
        <v>143</v>
      </c>
      <c r="O58" s="96">
        <v>310</v>
      </c>
      <c r="P58" s="96">
        <v>17</v>
      </c>
      <c r="Q58" s="96">
        <v>69</v>
      </c>
      <c r="R58" s="96">
        <v>244</v>
      </c>
      <c r="S58" s="96">
        <f t="shared" si="19"/>
        <v>4671</v>
      </c>
    </row>
    <row r="59" spans="1:19" ht="26.4" x14ac:dyDescent="0.7">
      <c r="A59" s="157" t="s">
        <v>242</v>
      </c>
      <c r="B59" s="71" t="s">
        <v>167</v>
      </c>
      <c r="C59">
        <v>56</v>
      </c>
      <c r="D59">
        <v>56</v>
      </c>
      <c r="E59">
        <v>53</v>
      </c>
      <c r="F59" s="160" t="s">
        <v>186</v>
      </c>
      <c r="G59" s="96">
        <v>104</v>
      </c>
      <c r="H59" s="96">
        <v>23</v>
      </c>
      <c r="I59" s="96">
        <v>43</v>
      </c>
      <c r="J59" s="96">
        <v>19</v>
      </c>
      <c r="K59" s="96">
        <v>74</v>
      </c>
      <c r="L59" s="96">
        <v>29</v>
      </c>
      <c r="M59" s="96">
        <v>41</v>
      </c>
      <c r="N59" s="96">
        <v>72</v>
      </c>
      <c r="O59" s="96">
        <v>23</v>
      </c>
      <c r="P59" s="96">
        <v>4</v>
      </c>
      <c r="Q59" s="96">
        <v>11</v>
      </c>
      <c r="R59" s="96">
        <v>16</v>
      </c>
      <c r="S59" s="96">
        <f t="shared" si="19"/>
        <v>459</v>
      </c>
    </row>
    <row r="60" spans="1:19" ht="26.4" x14ac:dyDescent="0.7">
      <c r="A60" s="157" t="s">
        <v>242</v>
      </c>
      <c r="B60" s="71" t="s">
        <v>167</v>
      </c>
      <c r="C60">
        <v>57</v>
      </c>
      <c r="D60">
        <v>57</v>
      </c>
      <c r="F60" s="144">
        <v>2007</v>
      </c>
      <c r="G60" s="96">
        <f t="shared" ref="G60:R60" si="21">SUM(G61:G64)</f>
        <v>3901</v>
      </c>
      <c r="H60" s="96">
        <f t="shared" si="21"/>
        <v>2570</v>
      </c>
      <c r="I60" s="96">
        <f t="shared" si="21"/>
        <v>4985</v>
      </c>
      <c r="J60" s="96">
        <f t="shared" si="21"/>
        <v>3325</v>
      </c>
      <c r="K60" s="96">
        <f t="shared" si="21"/>
        <v>3859</v>
      </c>
      <c r="L60" s="96">
        <f t="shared" si="21"/>
        <v>3968</v>
      </c>
      <c r="M60" s="96">
        <f t="shared" si="21"/>
        <v>3547</v>
      </c>
      <c r="N60" s="96">
        <f t="shared" si="21"/>
        <v>5703</v>
      </c>
      <c r="O60" s="96">
        <f t="shared" si="21"/>
        <v>4820</v>
      </c>
      <c r="P60" s="96">
        <f t="shared" si="21"/>
        <v>1881</v>
      </c>
      <c r="Q60" s="96">
        <f t="shared" si="21"/>
        <v>2463</v>
      </c>
      <c r="R60" s="96">
        <f t="shared" si="21"/>
        <v>2862</v>
      </c>
      <c r="S60" s="96">
        <f>SUM(S61:S64)</f>
        <v>43884</v>
      </c>
    </row>
    <row r="61" spans="1:19" ht="26.4" x14ac:dyDescent="0.7">
      <c r="A61" s="157" t="s">
        <v>242</v>
      </c>
      <c r="B61" s="71" t="s">
        <v>167</v>
      </c>
      <c r="C61">
        <v>58</v>
      </c>
      <c r="D61">
        <v>58</v>
      </c>
      <c r="E61">
        <v>57</v>
      </c>
      <c r="F61" s="158" t="s">
        <v>178</v>
      </c>
      <c r="G61" s="96">
        <v>315</v>
      </c>
      <c r="H61" s="96">
        <v>242</v>
      </c>
      <c r="I61" s="96">
        <v>442</v>
      </c>
      <c r="J61" s="96">
        <v>433</v>
      </c>
      <c r="K61" s="96">
        <v>1024</v>
      </c>
      <c r="L61" s="96">
        <v>1139</v>
      </c>
      <c r="M61" s="96">
        <v>1316</v>
      </c>
      <c r="N61" s="96">
        <v>1408</v>
      </c>
      <c r="O61" s="96">
        <v>1089</v>
      </c>
      <c r="P61" s="96">
        <v>488</v>
      </c>
      <c r="Q61" s="96">
        <v>247</v>
      </c>
      <c r="R61" s="96">
        <v>268</v>
      </c>
      <c r="S61" s="96">
        <f t="shared" si="19"/>
        <v>8411</v>
      </c>
    </row>
    <row r="62" spans="1:19" ht="26.4" x14ac:dyDescent="0.7">
      <c r="A62" s="157" t="s">
        <v>242</v>
      </c>
      <c r="B62" s="71" t="s">
        <v>167</v>
      </c>
      <c r="C62">
        <v>59</v>
      </c>
      <c r="D62">
        <v>59</v>
      </c>
      <c r="E62">
        <v>57</v>
      </c>
      <c r="F62" s="159" t="s">
        <v>179</v>
      </c>
      <c r="G62" s="96">
        <v>488</v>
      </c>
      <c r="H62" s="96">
        <v>418</v>
      </c>
      <c r="I62" s="96">
        <v>864</v>
      </c>
      <c r="J62" s="96">
        <v>839</v>
      </c>
      <c r="K62" s="96">
        <v>728</v>
      </c>
      <c r="L62" s="96">
        <v>819</v>
      </c>
      <c r="M62" s="96">
        <v>513</v>
      </c>
      <c r="N62" s="96">
        <v>493</v>
      </c>
      <c r="O62" s="96">
        <v>445</v>
      </c>
      <c r="P62" s="96">
        <v>466</v>
      </c>
      <c r="Q62" s="96">
        <v>53</v>
      </c>
      <c r="R62" s="96">
        <v>287</v>
      </c>
      <c r="S62" s="96">
        <f t="shared" si="19"/>
        <v>6413</v>
      </c>
    </row>
    <row r="63" spans="1:19" ht="26.4" x14ac:dyDescent="0.7">
      <c r="A63" s="157" t="s">
        <v>242</v>
      </c>
      <c r="B63" s="71" t="s">
        <v>167</v>
      </c>
      <c r="C63">
        <v>60</v>
      </c>
      <c r="D63">
        <v>60</v>
      </c>
      <c r="E63">
        <v>57</v>
      </c>
      <c r="F63" s="159" t="s">
        <v>180</v>
      </c>
      <c r="G63" s="96">
        <v>61</v>
      </c>
      <c r="H63" s="96">
        <v>125</v>
      </c>
      <c r="I63" s="96">
        <v>156</v>
      </c>
      <c r="J63" s="96">
        <v>217</v>
      </c>
      <c r="K63" s="96">
        <v>52</v>
      </c>
      <c r="L63" s="96">
        <v>43</v>
      </c>
      <c r="M63" s="96">
        <v>36</v>
      </c>
      <c r="N63" s="96">
        <v>263</v>
      </c>
      <c r="O63" s="96">
        <v>99</v>
      </c>
      <c r="P63" s="96">
        <v>2</v>
      </c>
      <c r="Q63" s="96">
        <v>14</v>
      </c>
      <c r="R63" s="96">
        <v>40</v>
      </c>
      <c r="S63" s="96">
        <f t="shared" si="19"/>
        <v>1108</v>
      </c>
    </row>
    <row r="64" spans="1:19" ht="26.4" x14ac:dyDescent="0.7">
      <c r="A64" s="157" t="s">
        <v>242</v>
      </c>
      <c r="B64" s="71" t="s">
        <v>167</v>
      </c>
      <c r="C64">
        <v>61</v>
      </c>
      <c r="D64">
        <v>61</v>
      </c>
      <c r="E64">
        <v>57</v>
      </c>
      <c r="F64" s="158" t="s">
        <v>183</v>
      </c>
      <c r="G64" s="96">
        <v>3037</v>
      </c>
      <c r="H64" s="96">
        <v>1785</v>
      </c>
      <c r="I64" s="96">
        <v>3523</v>
      </c>
      <c r="J64" s="96">
        <v>1836</v>
      </c>
      <c r="K64" s="96">
        <v>2055</v>
      </c>
      <c r="L64" s="96">
        <v>1967</v>
      </c>
      <c r="M64" s="96">
        <v>1682</v>
      </c>
      <c r="N64" s="96">
        <v>3539</v>
      </c>
      <c r="O64" s="96">
        <v>3187</v>
      </c>
      <c r="P64" s="96">
        <v>925</v>
      </c>
      <c r="Q64" s="96">
        <v>2149</v>
      </c>
      <c r="R64" s="96">
        <v>2267</v>
      </c>
      <c r="S64" s="96">
        <f t="shared" si="19"/>
        <v>27952</v>
      </c>
    </row>
    <row r="65" spans="1:19" ht="26.4" x14ac:dyDescent="0.7">
      <c r="A65" s="157" t="s">
        <v>242</v>
      </c>
      <c r="B65" s="71" t="s">
        <v>167</v>
      </c>
      <c r="C65">
        <v>62</v>
      </c>
      <c r="D65">
        <v>62</v>
      </c>
      <c r="E65">
        <v>61</v>
      </c>
      <c r="F65" s="160" t="s">
        <v>184</v>
      </c>
      <c r="G65" s="96">
        <v>2196</v>
      </c>
      <c r="H65" s="96">
        <v>1539</v>
      </c>
      <c r="I65" s="96">
        <v>2840</v>
      </c>
      <c r="J65" s="96">
        <v>1302</v>
      </c>
      <c r="K65" s="96">
        <v>1473</v>
      </c>
      <c r="L65" s="96">
        <v>1335</v>
      </c>
      <c r="M65" s="96">
        <v>1214</v>
      </c>
      <c r="N65" s="96">
        <v>2912</v>
      </c>
      <c r="O65" s="96">
        <v>2863</v>
      </c>
      <c r="P65" s="96">
        <v>814</v>
      </c>
      <c r="Q65" s="96">
        <v>2080</v>
      </c>
      <c r="R65" s="96">
        <v>1894</v>
      </c>
      <c r="S65" s="96">
        <f t="shared" si="19"/>
        <v>22462</v>
      </c>
    </row>
    <row r="66" spans="1:19" ht="26.4" x14ac:dyDescent="0.7">
      <c r="A66" s="157" t="s">
        <v>242</v>
      </c>
      <c r="B66" s="71" t="s">
        <v>167</v>
      </c>
      <c r="C66">
        <v>63</v>
      </c>
      <c r="D66">
        <v>63</v>
      </c>
      <c r="E66">
        <v>61</v>
      </c>
      <c r="F66" s="160" t="s">
        <v>185</v>
      </c>
      <c r="G66" s="96">
        <v>785</v>
      </c>
      <c r="H66" s="96">
        <v>225</v>
      </c>
      <c r="I66" s="96">
        <v>642</v>
      </c>
      <c r="J66" s="96">
        <v>506</v>
      </c>
      <c r="K66" s="96">
        <v>550</v>
      </c>
      <c r="L66" s="96">
        <v>615</v>
      </c>
      <c r="M66" s="96">
        <v>446</v>
      </c>
      <c r="N66" s="96">
        <v>460</v>
      </c>
      <c r="O66" s="96">
        <v>187</v>
      </c>
      <c r="P66" s="96">
        <v>70</v>
      </c>
      <c r="Q66" s="96">
        <v>58</v>
      </c>
      <c r="R66" s="96">
        <v>204</v>
      </c>
      <c r="S66" s="96">
        <f t="shared" si="19"/>
        <v>4748</v>
      </c>
    </row>
    <row r="67" spans="1:19" ht="26.4" x14ac:dyDescent="0.7">
      <c r="A67" s="157" t="s">
        <v>242</v>
      </c>
      <c r="B67" s="71" t="s">
        <v>167</v>
      </c>
      <c r="C67">
        <v>64</v>
      </c>
      <c r="D67">
        <v>64</v>
      </c>
      <c r="E67">
        <v>61</v>
      </c>
      <c r="F67" s="160" t="s">
        <v>186</v>
      </c>
      <c r="G67" s="96">
        <v>56</v>
      </c>
      <c r="H67" s="96">
        <v>21</v>
      </c>
      <c r="I67" s="96">
        <v>41</v>
      </c>
      <c r="J67" s="96">
        <v>28</v>
      </c>
      <c r="K67" s="96">
        <v>32</v>
      </c>
      <c r="L67" s="96">
        <v>17</v>
      </c>
      <c r="M67" s="96">
        <v>22</v>
      </c>
      <c r="N67" s="96">
        <v>167</v>
      </c>
      <c r="O67" s="96">
        <v>137</v>
      </c>
      <c r="P67" s="96">
        <v>41</v>
      </c>
      <c r="Q67" s="96">
        <v>11</v>
      </c>
      <c r="R67" s="96">
        <v>169</v>
      </c>
      <c r="S67" s="96">
        <f t="shared" si="19"/>
        <v>742</v>
      </c>
    </row>
    <row r="68" spans="1:19" ht="26.4" x14ac:dyDescent="0.7">
      <c r="A68" s="157" t="s">
        <v>242</v>
      </c>
      <c r="B68" s="71" t="s">
        <v>167</v>
      </c>
      <c r="C68">
        <v>65</v>
      </c>
      <c r="D68">
        <v>65</v>
      </c>
      <c r="F68" s="144">
        <v>2008</v>
      </c>
      <c r="G68" s="96">
        <f t="shared" ref="G68:R68" si="22">SUM(G69:G72)</f>
        <v>4483</v>
      </c>
      <c r="H68" s="96">
        <f t="shared" si="22"/>
        <v>3555</v>
      </c>
      <c r="I68" s="96">
        <f t="shared" si="22"/>
        <v>3118</v>
      </c>
      <c r="J68" s="96">
        <f t="shared" si="22"/>
        <v>5280</v>
      </c>
      <c r="K68" s="96">
        <f t="shared" si="22"/>
        <v>1757</v>
      </c>
      <c r="L68" s="96">
        <f t="shared" si="22"/>
        <v>1240</v>
      </c>
      <c r="M68" s="96">
        <f t="shared" si="22"/>
        <v>3285</v>
      </c>
      <c r="N68" s="96">
        <f t="shared" si="22"/>
        <v>1065</v>
      </c>
      <c r="O68" s="96">
        <f t="shared" si="22"/>
        <v>1106</v>
      </c>
      <c r="P68" s="96">
        <f t="shared" si="22"/>
        <v>5377</v>
      </c>
      <c r="Q68" s="96">
        <f t="shared" si="22"/>
        <v>1576</v>
      </c>
      <c r="R68" s="96">
        <f t="shared" si="22"/>
        <v>5499</v>
      </c>
      <c r="S68" s="96">
        <f>SUM(S69:S72)</f>
        <v>37341</v>
      </c>
    </row>
    <row r="69" spans="1:19" ht="26.4" x14ac:dyDescent="0.7">
      <c r="A69" s="157" t="s">
        <v>242</v>
      </c>
      <c r="B69" s="71" t="s">
        <v>167</v>
      </c>
      <c r="C69">
        <v>66</v>
      </c>
      <c r="D69">
        <v>66</v>
      </c>
      <c r="E69">
        <v>65</v>
      </c>
      <c r="F69" s="158" t="s">
        <v>178</v>
      </c>
      <c r="G69" s="96">
        <v>380</v>
      </c>
      <c r="H69" s="96">
        <v>477</v>
      </c>
      <c r="I69" s="96">
        <v>490</v>
      </c>
      <c r="J69" s="96">
        <v>567</v>
      </c>
      <c r="K69" s="96">
        <v>363</v>
      </c>
      <c r="L69" s="96">
        <v>262</v>
      </c>
      <c r="M69" s="96">
        <v>450</v>
      </c>
      <c r="N69" s="96">
        <v>157</v>
      </c>
      <c r="O69" s="96">
        <v>138</v>
      </c>
      <c r="P69" s="96">
        <v>235</v>
      </c>
      <c r="Q69" s="96">
        <v>214</v>
      </c>
      <c r="R69" s="96">
        <v>96</v>
      </c>
      <c r="S69" s="96">
        <f t="shared" ref="S69:S75" si="23">SUM(G69:R69)</f>
        <v>3829</v>
      </c>
    </row>
    <row r="70" spans="1:19" ht="26.4" x14ac:dyDescent="0.7">
      <c r="A70" s="157" t="s">
        <v>242</v>
      </c>
      <c r="B70" s="71" t="s">
        <v>167</v>
      </c>
      <c r="C70">
        <v>67</v>
      </c>
      <c r="D70">
        <v>67</v>
      </c>
      <c r="E70">
        <v>65</v>
      </c>
      <c r="F70" s="159" t="s">
        <v>179</v>
      </c>
      <c r="G70" s="96">
        <v>343</v>
      </c>
      <c r="H70" s="96">
        <v>462</v>
      </c>
      <c r="I70" s="96">
        <v>281</v>
      </c>
      <c r="J70" s="96">
        <v>1071</v>
      </c>
      <c r="K70" s="96">
        <v>99</v>
      </c>
      <c r="L70" s="96">
        <v>352</v>
      </c>
      <c r="M70" s="96">
        <v>731</v>
      </c>
      <c r="N70" s="96">
        <v>128</v>
      </c>
      <c r="O70" s="96">
        <v>169</v>
      </c>
      <c r="P70" s="96">
        <v>224</v>
      </c>
      <c r="Q70" s="96">
        <v>110</v>
      </c>
      <c r="R70" s="96">
        <v>100</v>
      </c>
      <c r="S70" s="96">
        <f t="shared" si="23"/>
        <v>4070</v>
      </c>
    </row>
    <row r="71" spans="1:19" ht="26.4" x14ac:dyDescent="0.7">
      <c r="A71" s="157" t="s">
        <v>242</v>
      </c>
      <c r="B71" s="71" t="s">
        <v>167</v>
      </c>
      <c r="C71">
        <v>68</v>
      </c>
      <c r="D71">
        <v>68</v>
      </c>
      <c r="E71">
        <v>65</v>
      </c>
      <c r="F71" s="159" t="s">
        <v>180</v>
      </c>
      <c r="G71" s="96">
        <v>34</v>
      </c>
      <c r="H71" s="96">
        <v>51</v>
      </c>
      <c r="I71" s="96">
        <v>42</v>
      </c>
      <c r="J71" s="96">
        <v>37</v>
      </c>
      <c r="K71" s="96">
        <v>18</v>
      </c>
      <c r="L71" s="96">
        <v>40</v>
      </c>
      <c r="M71" s="96">
        <v>55</v>
      </c>
      <c r="N71" s="96">
        <v>76</v>
      </c>
      <c r="O71" s="96">
        <v>40</v>
      </c>
      <c r="P71" s="96">
        <v>25</v>
      </c>
      <c r="Q71" s="96">
        <v>12</v>
      </c>
      <c r="R71" s="96">
        <v>11</v>
      </c>
      <c r="S71" s="96">
        <f t="shared" si="23"/>
        <v>441</v>
      </c>
    </row>
    <row r="72" spans="1:19" ht="26.4" x14ac:dyDescent="0.7">
      <c r="A72" s="157" t="s">
        <v>242</v>
      </c>
      <c r="B72" s="71" t="s">
        <v>167</v>
      </c>
      <c r="C72">
        <v>69</v>
      </c>
      <c r="D72">
        <v>69</v>
      </c>
      <c r="E72">
        <v>65</v>
      </c>
      <c r="F72" s="158" t="s">
        <v>183</v>
      </c>
      <c r="G72" s="96">
        <v>3726</v>
      </c>
      <c r="H72" s="96">
        <v>2565</v>
      </c>
      <c r="I72" s="96">
        <v>2305</v>
      </c>
      <c r="J72" s="96">
        <v>3605</v>
      </c>
      <c r="K72" s="96">
        <v>1277</v>
      </c>
      <c r="L72" s="96">
        <v>586</v>
      </c>
      <c r="M72" s="96">
        <v>2049</v>
      </c>
      <c r="N72" s="96">
        <v>704</v>
      </c>
      <c r="O72" s="96">
        <v>759</v>
      </c>
      <c r="P72" s="96">
        <v>4893</v>
      </c>
      <c r="Q72" s="96">
        <v>1240</v>
      </c>
      <c r="R72" s="96">
        <v>5292</v>
      </c>
      <c r="S72" s="96">
        <f t="shared" si="23"/>
        <v>29001</v>
      </c>
    </row>
    <row r="73" spans="1:19" ht="26.4" x14ac:dyDescent="0.7">
      <c r="A73" s="157" t="s">
        <v>242</v>
      </c>
      <c r="B73" s="71" t="s">
        <v>167</v>
      </c>
      <c r="C73">
        <v>70</v>
      </c>
      <c r="D73">
        <v>70</v>
      </c>
      <c r="E73">
        <v>69</v>
      </c>
      <c r="F73" s="160" t="s">
        <v>184</v>
      </c>
      <c r="G73" s="96">
        <v>2844</v>
      </c>
      <c r="H73" s="96">
        <v>1716</v>
      </c>
      <c r="I73" s="96">
        <v>1745</v>
      </c>
      <c r="J73" s="96">
        <v>2983</v>
      </c>
      <c r="K73" s="96">
        <v>1056</v>
      </c>
      <c r="L73" s="96">
        <v>374</v>
      </c>
      <c r="M73" s="96">
        <v>1219</v>
      </c>
      <c r="N73" s="96">
        <v>519</v>
      </c>
      <c r="O73" s="96">
        <v>512</v>
      </c>
      <c r="P73" s="96">
        <v>4750</v>
      </c>
      <c r="Q73" s="96">
        <v>762</v>
      </c>
      <c r="R73" s="96">
        <v>5101</v>
      </c>
      <c r="S73" s="96">
        <f t="shared" si="23"/>
        <v>23581</v>
      </c>
    </row>
    <row r="74" spans="1:19" ht="26.4" x14ac:dyDescent="0.7">
      <c r="A74" s="157" t="s">
        <v>242</v>
      </c>
      <c r="B74" s="71" t="s">
        <v>167</v>
      </c>
      <c r="C74">
        <v>71</v>
      </c>
      <c r="D74">
        <v>71</v>
      </c>
      <c r="E74">
        <v>69</v>
      </c>
      <c r="F74" s="160" t="s">
        <v>185</v>
      </c>
      <c r="G74" s="96">
        <v>402</v>
      </c>
      <c r="H74" s="96">
        <v>357</v>
      </c>
      <c r="I74" s="96">
        <v>372</v>
      </c>
      <c r="J74" s="96">
        <v>505</v>
      </c>
      <c r="K74" s="96">
        <v>198</v>
      </c>
      <c r="L74" s="96">
        <v>206</v>
      </c>
      <c r="M74" s="96">
        <v>755</v>
      </c>
      <c r="N74" s="96">
        <v>154</v>
      </c>
      <c r="O74" s="96">
        <v>181</v>
      </c>
      <c r="P74" s="96">
        <v>132</v>
      </c>
      <c r="Q74" s="96">
        <v>438</v>
      </c>
      <c r="R74" s="96">
        <v>174</v>
      </c>
      <c r="S74" s="96">
        <f t="shared" si="23"/>
        <v>3874</v>
      </c>
    </row>
    <row r="75" spans="1:19" ht="26.4" x14ac:dyDescent="0.7">
      <c r="A75" s="157" t="s">
        <v>242</v>
      </c>
      <c r="B75" s="71" t="s">
        <v>167</v>
      </c>
      <c r="C75">
        <v>72</v>
      </c>
      <c r="D75">
        <v>72</v>
      </c>
      <c r="E75">
        <v>69</v>
      </c>
      <c r="F75" s="160" t="s">
        <v>186</v>
      </c>
      <c r="G75" s="96">
        <v>480</v>
      </c>
      <c r="H75" s="96">
        <v>492</v>
      </c>
      <c r="I75" s="96">
        <v>188</v>
      </c>
      <c r="J75" s="96">
        <v>117</v>
      </c>
      <c r="K75" s="96">
        <v>23</v>
      </c>
      <c r="L75" s="96">
        <v>6</v>
      </c>
      <c r="M75" s="96">
        <v>75</v>
      </c>
      <c r="N75" s="96">
        <v>31</v>
      </c>
      <c r="O75" s="96">
        <v>66</v>
      </c>
      <c r="P75" s="96">
        <v>11</v>
      </c>
      <c r="Q75" s="96">
        <v>40</v>
      </c>
      <c r="R75" s="96">
        <v>17</v>
      </c>
      <c r="S75" s="96">
        <f t="shared" si="23"/>
        <v>1546</v>
      </c>
    </row>
    <row r="76" spans="1:19" ht="26.4" x14ac:dyDescent="0.7">
      <c r="A76" s="157" t="s">
        <v>242</v>
      </c>
      <c r="B76" s="71" t="s">
        <v>167</v>
      </c>
      <c r="C76">
        <v>73</v>
      </c>
      <c r="D76">
        <v>73</v>
      </c>
      <c r="F76" s="144">
        <v>2009</v>
      </c>
      <c r="G76" s="96">
        <f t="shared" ref="G76:R76" si="24">SUM(G77:G80)</f>
        <v>2190</v>
      </c>
      <c r="H76" s="96">
        <f t="shared" si="24"/>
        <v>1739</v>
      </c>
      <c r="I76" s="96">
        <f t="shared" si="24"/>
        <v>8315</v>
      </c>
      <c r="J76" s="96">
        <f t="shared" si="24"/>
        <v>6429</v>
      </c>
      <c r="K76" s="96">
        <f t="shared" si="24"/>
        <v>8536</v>
      </c>
      <c r="L76" s="96">
        <f t="shared" si="24"/>
        <v>4022</v>
      </c>
      <c r="M76" s="96">
        <f t="shared" si="24"/>
        <v>6016</v>
      </c>
      <c r="N76" s="96">
        <f t="shared" si="24"/>
        <v>7301</v>
      </c>
      <c r="O76" s="96">
        <f t="shared" si="24"/>
        <v>5741</v>
      </c>
      <c r="P76" s="96">
        <f t="shared" si="24"/>
        <v>2318</v>
      </c>
      <c r="Q76" s="96">
        <f t="shared" si="24"/>
        <v>2105</v>
      </c>
      <c r="R76" s="96">
        <f t="shared" si="24"/>
        <v>2237</v>
      </c>
      <c r="S76" s="96">
        <f>SUM(S77:S80)</f>
        <v>56949</v>
      </c>
    </row>
    <row r="77" spans="1:19" ht="26.4" x14ac:dyDescent="0.7">
      <c r="A77" s="157" t="s">
        <v>242</v>
      </c>
      <c r="B77" s="71" t="s">
        <v>167</v>
      </c>
      <c r="C77">
        <v>74</v>
      </c>
      <c r="D77">
        <v>74</v>
      </c>
      <c r="E77">
        <v>73</v>
      </c>
      <c r="F77" s="158" t="s">
        <v>178</v>
      </c>
      <c r="G77" s="96">
        <v>332</v>
      </c>
      <c r="H77" s="96">
        <v>187</v>
      </c>
      <c r="I77" s="96">
        <v>527</v>
      </c>
      <c r="J77" s="96">
        <v>573</v>
      </c>
      <c r="K77" s="96">
        <v>722</v>
      </c>
      <c r="L77" s="96">
        <v>375</v>
      </c>
      <c r="M77" s="96">
        <v>171</v>
      </c>
      <c r="N77" s="96">
        <v>366</v>
      </c>
      <c r="O77" s="96">
        <v>567</v>
      </c>
      <c r="P77" s="96">
        <v>134</v>
      </c>
      <c r="Q77" s="96">
        <v>151</v>
      </c>
      <c r="R77" s="96">
        <v>151</v>
      </c>
      <c r="S77" s="96">
        <f t="shared" ref="S77:S91" si="25">SUM(G77:R77)</f>
        <v>4256</v>
      </c>
    </row>
    <row r="78" spans="1:19" ht="26.4" x14ac:dyDescent="0.7">
      <c r="A78" s="157" t="s">
        <v>242</v>
      </c>
      <c r="B78" s="71" t="s">
        <v>167</v>
      </c>
      <c r="C78">
        <v>75</v>
      </c>
      <c r="D78">
        <v>75</v>
      </c>
      <c r="E78">
        <v>73</v>
      </c>
      <c r="F78" s="159" t="s">
        <v>179</v>
      </c>
      <c r="G78" s="96">
        <v>314</v>
      </c>
      <c r="H78" s="96">
        <v>211</v>
      </c>
      <c r="I78" s="96">
        <v>490</v>
      </c>
      <c r="J78" s="96">
        <v>397</v>
      </c>
      <c r="K78" s="96">
        <v>1302</v>
      </c>
      <c r="L78" s="96">
        <v>239</v>
      </c>
      <c r="M78" s="96">
        <v>131</v>
      </c>
      <c r="N78" s="96">
        <v>193</v>
      </c>
      <c r="O78" s="96">
        <v>343</v>
      </c>
      <c r="P78" s="96">
        <v>130</v>
      </c>
      <c r="Q78" s="96">
        <v>146</v>
      </c>
      <c r="R78" s="96">
        <v>451</v>
      </c>
      <c r="S78" s="96">
        <f t="shared" si="25"/>
        <v>4347</v>
      </c>
    </row>
    <row r="79" spans="1:19" ht="26.4" x14ac:dyDescent="0.7">
      <c r="A79" s="157" t="s">
        <v>242</v>
      </c>
      <c r="B79" s="71" t="s">
        <v>167</v>
      </c>
      <c r="C79">
        <v>76</v>
      </c>
      <c r="D79">
        <v>76</v>
      </c>
      <c r="E79">
        <v>73</v>
      </c>
      <c r="F79" s="159" t="s">
        <v>180</v>
      </c>
      <c r="G79" s="96">
        <v>35</v>
      </c>
      <c r="H79" s="96">
        <v>26</v>
      </c>
      <c r="I79" s="96">
        <v>8</v>
      </c>
      <c r="J79" s="96">
        <v>41</v>
      </c>
      <c r="K79" s="96">
        <v>67</v>
      </c>
      <c r="L79" s="96">
        <v>28</v>
      </c>
      <c r="M79" s="96">
        <v>17</v>
      </c>
      <c r="N79" s="96">
        <v>18</v>
      </c>
      <c r="O79" s="96">
        <v>75</v>
      </c>
      <c r="P79" s="96">
        <v>6</v>
      </c>
      <c r="Q79" s="96">
        <v>1</v>
      </c>
      <c r="R79" s="96">
        <v>28</v>
      </c>
      <c r="S79" s="96">
        <f t="shared" si="25"/>
        <v>350</v>
      </c>
    </row>
    <row r="80" spans="1:19" ht="26.4" x14ac:dyDescent="0.7">
      <c r="A80" s="157" t="s">
        <v>242</v>
      </c>
      <c r="B80" s="71" t="s">
        <v>167</v>
      </c>
      <c r="C80">
        <v>77</v>
      </c>
      <c r="D80">
        <v>77</v>
      </c>
      <c r="E80">
        <v>73</v>
      </c>
      <c r="F80" s="158" t="s">
        <v>183</v>
      </c>
      <c r="G80" s="96">
        <v>1509</v>
      </c>
      <c r="H80" s="96">
        <v>1315</v>
      </c>
      <c r="I80" s="96">
        <v>7290</v>
      </c>
      <c r="J80" s="96">
        <v>5418</v>
      </c>
      <c r="K80" s="96">
        <v>6445</v>
      </c>
      <c r="L80" s="96">
        <v>3380</v>
      </c>
      <c r="M80" s="96">
        <v>5697</v>
      </c>
      <c r="N80" s="96">
        <v>6724</v>
      </c>
      <c r="O80" s="96">
        <v>4756</v>
      </c>
      <c r="P80" s="96">
        <v>2048</v>
      </c>
      <c r="Q80" s="96">
        <v>1807</v>
      </c>
      <c r="R80" s="96">
        <v>1607</v>
      </c>
      <c r="S80" s="96">
        <f t="shared" si="25"/>
        <v>47996</v>
      </c>
    </row>
    <row r="81" spans="1:19" ht="26.4" x14ac:dyDescent="0.7">
      <c r="A81" s="157" t="s">
        <v>242</v>
      </c>
      <c r="B81" s="71" t="s">
        <v>167</v>
      </c>
      <c r="C81">
        <v>78</v>
      </c>
      <c r="D81">
        <v>78</v>
      </c>
      <c r="E81">
        <v>77</v>
      </c>
      <c r="F81" s="160" t="s">
        <v>184</v>
      </c>
      <c r="G81" s="96">
        <v>1299</v>
      </c>
      <c r="H81" s="96">
        <v>1126</v>
      </c>
      <c r="I81" s="96">
        <v>6074</v>
      </c>
      <c r="J81" s="96">
        <v>4519</v>
      </c>
      <c r="K81" s="96">
        <v>4960</v>
      </c>
      <c r="L81" s="96">
        <v>2245</v>
      </c>
      <c r="M81" s="96">
        <v>5380</v>
      </c>
      <c r="N81" s="96">
        <v>6356</v>
      </c>
      <c r="O81" s="96">
        <v>4475</v>
      </c>
      <c r="P81" s="96">
        <v>1965</v>
      </c>
      <c r="Q81" s="96">
        <v>1765</v>
      </c>
      <c r="R81" s="96">
        <v>1402</v>
      </c>
      <c r="S81" s="96">
        <f t="shared" si="25"/>
        <v>41566</v>
      </c>
    </row>
    <row r="82" spans="1:19" ht="26.4" x14ac:dyDescent="0.7">
      <c r="A82" s="157" t="s">
        <v>242</v>
      </c>
      <c r="B82" s="71" t="s">
        <v>167</v>
      </c>
      <c r="C82">
        <v>79</v>
      </c>
      <c r="D82">
        <v>79</v>
      </c>
      <c r="E82">
        <v>77</v>
      </c>
      <c r="F82" s="160" t="s">
        <v>185</v>
      </c>
      <c r="G82" s="96">
        <v>198</v>
      </c>
      <c r="H82" s="96">
        <v>160</v>
      </c>
      <c r="I82" s="96">
        <v>1009</v>
      </c>
      <c r="J82" s="96">
        <v>689</v>
      </c>
      <c r="K82" s="96">
        <v>1245</v>
      </c>
      <c r="L82" s="96">
        <v>950</v>
      </c>
      <c r="M82" s="96">
        <v>269</v>
      </c>
      <c r="N82" s="96">
        <v>345</v>
      </c>
      <c r="O82" s="96">
        <v>211</v>
      </c>
      <c r="P82" s="96">
        <v>69</v>
      </c>
      <c r="Q82" s="96">
        <v>40</v>
      </c>
      <c r="R82" s="96">
        <v>199</v>
      </c>
      <c r="S82" s="96">
        <f t="shared" si="25"/>
        <v>5384</v>
      </c>
    </row>
    <row r="83" spans="1:19" ht="26.4" x14ac:dyDescent="0.7">
      <c r="A83" s="157" t="s">
        <v>242</v>
      </c>
      <c r="B83" s="71" t="s">
        <v>167</v>
      </c>
      <c r="C83">
        <v>80</v>
      </c>
      <c r="D83">
        <v>80</v>
      </c>
      <c r="E83">
        <v>77</v>
      </c>
      <c r="F83" s="160" t="s">
        <v>186</v>
      </c>
      <c r="G83" s="96">
        <v>12</v>
      </c>
      <c r="H83" s="96">
        <v>29</v>
      </c>
      <c r="I83" s="96">
        <v>207</v>
      </c>
      <c r="J83" s="96">
        <v>210</v>
      </c>
      <c r="K83" s="96">
        <v>240</v>
      </c>
      <c r="L83" s="96">
        <v>185</v>
      </c>
      <c r="M83" s="96">
        <v>48</v>
      </c>
      <c r="N83" s="96">
        <v>23</v>
      </c>
      <c r="O83" s="96">
        <v>70</v>
      </c>
      <c r="P83" s="96">
        <v>14</v>
      </c>
      <c r="Q83" s="96">
        <v>2</v>
      </c>
      <c r="R83" s="96">
        <v>6</v>
      </c>
      <c r="S83" s="96">
        <f t="shared" si="25"/>
        <v>1046</v>
      </c>
    </row>
    <row r="84" spans="1:19" ht="26.4" x14ac:dyDescent="0.7">
      <c r="A84" s="157" t="s">
        <v>242</v>
      </c>
      <c r="B84" s="71" t="s">
        <v>167</v>
      </c>
      <c r="C84">
        <v>81</v>
      </c>
      <c r="D84">
        <v>81</v>
      </c>
      <c r="F84" s="144">
        <v>2010</v>
      </c>
      <c r="G84" s="96">
        <f t="shared" ref="G84:R84" si="26">SUM(G85:G88)</f>
        <v>4039</v>
      </c>
      <c r="H84" s="96">
        <f t="shared" si="26"/>
        <v>3688</v>
      </c>
      <c r="I84" s="96">
        <f t="shared" si="26"/>
        <v>4726</v>
      </c>
      <c r="J84" s="96">
        <f t="shared" si="26"/>
        <v>3641</v>
      </c>
      <c r="K84" s="96">
        <f t="shared" si="26"/>
        <v>4732</v>
      </c>
      <c r="L84" s="96">
        <f t="shared" si="26"/>
        <v>1974</v>
      </c>
      <c r="M84" s="96">
        <f t="shared" si="26"/>
        <v>3739</v>
      </c>
      <c r="N84" s="96">
        <f t="shared" si="26"/>
        <v>4451</v>
      </c>
      <c r="O84" s="96">
        <f t="shared" si="26"/>
        <v>3185</v>
      </c>
      <c r="P84" s="96">
        <f t="shared" si="26"/>
        <v>5246</v>
      </c>
      <c r="Q84" s="96">
        <f t="shared" si="26"/>
        <v>971</v>
      </c>
      <c r="R84" s="96">
        <f t="shared" si="26"/>
        <v>2505</v>
      </c>
      <c r="S84" s="96">
        <f>SUM(S85:S88)</f>
        <v>42897</v>
      </c>
    </row>
    <row r="85" spans="1:19" ht="26.4" x14ac:dyDescent="0.7">
      <c r="A85" s="157" t="s">
        <v>242</v>
      </c>
      <c r="B85" s="71" t="s">
        <v>167</v>
      </c>
      <c r="C85">
        <v>82</v>
      </c>
      <c r="D85">
        <v>82</v>
      </c>
      <c r="E85">
        <v>81</v>
      </c>
      <c r="F85" s="158" t="s">
        <v>178</v>
      </c>
      <c r="G85" s="96">
        <v>1136</v>
      </c>
      <c r="H85" s="96">
        <v>755</v>
      </c>
      <c r="I85" s="96">
        <v>1000</v>
      </c>
      <c r="J85" s="96">
        <v>1015</v>
      </c>
      <c r="K85" s="96">
        <v>910</v>
      </c>
      <c r="L85" s="96">
        <v>1018</v>
      </c>
      <c r="M85" s="96">
        <v>320</v>
      </c>
      <c r="N85" s="96">
        <v>1036</v>
      </c>
      <c r="O85" s="96">
        <v>535</v>
      </c>
      <c r="P85" s="96">
        <v>1310</v>
      </c>
      <c r="Q85" s="96">
        <v>297</v>
      </c>
      <c r="R85" s="96">
        <v>205</v>
      </c>
      <c r="S85" s="96">
        <f t="shared" si="25"/>
        <v>9537</v>
      </c>
    </row>
    <row r="86" spans="1:19" ht="26.4" x14ac:dyDescent="0.7">
      <c r="A86" s="157" t="s">
        <v>242</v>
      </c>
      <c r="B86" s="71" t="s">
        <v>167</v>
      </c>
      <c r="C86">
        <v>83</v>
      </c>
      <c r="D86">
        <v>83</v>
      </c>
      <c r="E86">
        <v>81</v>
      </c>
      <c r="F86" s="159" t="s">
        <v>179</v>
      </c>
      <c r="G86" s="96">
        <v>317</v>
      </c>
      <c r="H86" s="96">
        <v>479</v>
      </c>
      <c r="I86" s="96">
        <v>1387</v>
      </c>
      <c r="J86" s="96">
        <v>613</v>
      </c>
      <c r="K86" s="96">
        <v>967</v>
      </c>
      <c r="L86" s="96">
        <v>456</v>
      </c>
      <c r="M86" s="96">
        <v>112</v>
      </c>
      <c r="N86" s="96">
        <v>252</v>
      </c>
      <c r="O86" s="96">
        <v>143</v>
      </c>
      <c r="P86" s="96">
        <v>191</v>
      </c>
      <c r="Q86" s="96">
        <v>342</v>
      </c>
      <c r="R86" s="96">
        <v>146</v>
      </c>
      <c r="S86" s="96">
        <f t="shared" si="25"/>
        <v>5405</v>
      </c>
    </row>
    <row r="87" spans="1:19" ht="26.4" x14ac:dyDescent="0.7">
      <c r="A87" s="157" t="s">
        <v>242</v>
      </c>
      <c r="B87" s="71" t="s">
        <v>167</v>
      </c>
      <c r="C87">
        <v>84</v>
      </c>
      <c r="D87">
        <v>84</v>
      </c>
      <c r="E87">
        <v>81</v>
      </c>
      <c r="F87" s="159" t="s">
        <v>180</v>
      </c>
      <c r="G87" s="96">
        <v>28</v>
      </c>
      <c r="H87" s="96">
        <v>66</v>
      </c>
      <c r="I87" s="96">
        <v>26</v>
      </c>
      <c r="J87" s="96">
        <v>23</v>
      </c>
      <c r="K87" s="96">
        <v>50</v>
      </c>
      <c r="L87" s="96">
        <v>17</v>
      </c>
      <c r="M87" s="96">
        <v>18</v>
      </c>
      <c r="N87" s="96">
        <v>87</v>
      </c>
      <c r="O87" s="96">
        <v>37</v>
      </c>
      <c r="P87" s="96">
        <v>56</v>
      </c>
      <c r="Q87" s="96">
        <v>56</v>
      </c>
      <c r="R87" s="96">
        <v>53</v>
      </c>
      <c r="S87" s="96">
        <f t="shared" si="25"/>
        <v>517</v>
      </c>
    </row>
    <row r="88" spans="1:19" ht="26.4" x14ac:dyDescent="0.7">
      <c r="A88" s="157" t="s">
        <v>242</v>
      </c>
      <c r="B88" s="71" t="s">
        <v>167</v>
      </c>
      <c r="C88">
        <v>85</v>
      </c>
      <c r="D88">
        <v>85</v>
      </c>
      <c r="E88">
        <v>81</v>
      </c>
      <c r="F88" s="158" t="s">
        <v>183</v>
      </c>
      <c r="G88" s="96">
        <v>2558</v>
      </c>
      <c r="H88" s="96">
        <v>2388</v>
      </c>
      <c r="I88" s="96">
        <v>2313</v>
      </c>
      <c r="J88" s="96">
        <v>1990</v>
      </c>
      <c r="K88" s="96">
        <v>2805</v>
      </c>
      <c r="L88" s="96">
        <v>483</v>
      </c>
      <c r="M88" s="96">
        <v>3289</v>
      </c>
      <c r="N88" s="96">
        <v>3076</v>
      </c>
      <c r="O88" s="96">
        <v>2470</v>
      </c>
      <c r="P88" s="96">
        <v>3689</v>
      </c>
      <c r="Q88" s="96">
        <v>276</v>
      </c>
      <c r="R88" s="96">
        <v>2101</v>
      </c>
      <c r="S88" s="96">
        <f t="shared" si="25"/>
        <v>27438</v>
      </c>
    </row>
    <row r="89" spans="1:19" ht="26.4" x14ac:dyDescent="0.7">
      <c r="A89" s="157" t="s">
        <v>242</v>
      </c>
      <c r="B89" s="71" t="s">
        <v>167</v>
      </c>
      <c r="C89">
        <v>86</v>
      </c>
      <c r="D89">
        <v>86</v>
      </c>
      <c r="E89">
        <v>85</v>
      </c>
      <c r="F89" s="160" t="s">
        <v>184</v>
      </c>
      <c r="G89" s="96">
        <v>2260</v>
      </c>
      <c r="H89" s="96">
        <v>2026</v>
      </c>
      <c r="I89" s="96">
        <v>1553</v>
      </c>
      <c r="J89" s="96">
        <v>1433</v>
      </c>
      <c r="K89" s="96">
        <v>1945</v>
      </c>
      <c r="L89" s="96">
        <v>289</v>
      </c>
      <c r="M89" s="96">
        <v>3116</v>
      </c>
      <c r="N89" s="96">
        <v>2857</v>
      </c>
      <c r="O89" s="96">
        <v>2110</v>
      </c>
      <c r="P89" s="96">
        <v>3547</v>
      </c>
      <c r="Q89" s="96">
        <v>258</v>
      </c>
      <c r="R89" s="96">
        <v>2052</v>
      </c>
      <c r="S89" s="96">
        <f t="shared" si="25"/>
        <v>23446</v>
      </c>
    </row>
    <row r="90" spans="1:19" ht="26.4" x14ac:dyDescent="0.7">
      <c r="A90" s="157" t="s">
        <v>242</v>
      </c>
      <c r="B90" s="71" t="s">
        <v>167</v>
      </c>
      <c r="C90">
        <v>87</v>
      </c>
      <c r="D90">
        <v>87</v>
      </c>
      <c r="E90">
        <v>85</v>
      </c>
      <c r="F90" s="160" t="s">
        <v>185</v>
      </c>
      <c r="G90" s="96">
        <v>241</v>
      </c>
      <c r="H90" s="96">
        <v>323</v>
      </c>
      <c r="I90" s="96">
        <v>631</v>
      </c>
      <c r="J90" s="96">
        <v>471</v>
      </c>
      <c r="K90" s="96">
        <v>767</v>
      </c>
      <c r="L90" s="96">
        <v>143</v>
      </c>
      <c r="M90" s="96">
        <v>171</v>
      </c>
      <c r="N90" s="96">
        <v>184</v>
      </c>
      <c r="O90" s="96">
        <v>334</v>
      </c>
      <c r="P90" s="96">
        <v>126</v>
      </c>
      <c r="Q90" s="96">
        <v>14</v>
      </c>
      <c r="R90" s="96">
        <v>36</v>
      </c>
      <c r="S90" s="96">
        <f t="shared" si="25"/>
        <v>3441</v>
      </c>
    </row>
    <row r="91" spans="1:19" ht="26.4" x14ac:dyDescent="0.7">
      <c r="A91" s="157" t="s">
        <v>242</v>
      </c>
      <c r="B91" s="71" t="s">
        <v>167</v>
      </c>
      <c r="C91">
        <v>88</v>
      </c>
      <c r="D91">
        <v>88</v>
      </c>
      <c r="E91">
        <v>85</v>
      </c>
      <c r="F91" s="160" t="s">
        <v>186</v>
      </c>
      <c r="G91" s="96">
        <v>57</v>
      </c>
      <c r="H91" s="96">
        <v>39</v>
      </c>
      <c r="I91" s="96">
        <v>129</v>
      </c>
      <c r="J91" s="96">
        <v>86</v>
      </c>
      <c r="K91" s="96">
        <v>93</v>
      </c>
      <c r="L91" s="96">
        <v>51</v>
      </c>
      <c r="M91" s="96">
        <v>2</v>
      </c>
      <c r="N91" s="96">
        <v>35</v>
      </c>
      <c r="O91" s="96">
        <v>26</v>
      </c>
      <c r="P91" s="96">
        <v>16</v>
      </c>
      <c r="Q91" s="96">
        <v>4</v>
      </c>
      <c r="R91" s="96">
        <v>13</v>
      </c>
      <c r="S91" s="96">
        <f t="shared" si="25"/>
        <v>551</v>
      </c>
    </row>
    <row r="92" spans="1:19" ht="26.4" x14ac:dyDescent="0.7">
      <c r="A92" s="157" t="s">
        <v>242</v>
      </c>
      <c r="B92" s="71" t="s">
        <v>167</v>
      </c>
      <c r="C92">
        <v>89</v>
      </c>
      <c r="D92">
        <v>89</v>
      </c>
      <c r="F92" s="144">
        <v>2011</v>
      </c>
      <c r="G92" s="96">
        <f t="shared" ref="G92:S92" si="27">SUM(G93:G96)</f>
        <v>3091</v>
      </c>
      <c r="H92" s="96">
        <f t="shared" si="27"/>
        <v>4326</v>
      </c>
      <c r="I92" s="96">
        <f t="shared" si="27"/>
        <v>4304</v>
      </c>
      <c r="J92" s="96">
        <f t="shared" si="27"/>
        <v>3312</v>
      </c>
      <c r="K92" s="96">
        <f t="shared" si="27"/>
        <v>5379</v>
      </c>
      <c r="L92" s="96">
        <f t="shared" si="27"/>
        <v>1877</v>
      </c>
      <c r="M92" s="96">
        <f t="shared" si="27"/>
        <v>2884</v>
      </c>
      <c r="N92" s="96">
        <f t="shared" si="27"/>
        <v>4447</v>
      </c>
      <c r="O92" s="96">
        <f t="shared" si="27"/>
        <v>3721</v>
      </c>
      <c r="P92" s="96">
        <f t="shared" si="27"/>
        <v>4607</v>
      </c>
      <c r="Q92" s="96">
        <f t="shared" si="27"/>
        <v>1060</v>
      </c>
      <c r="R92" s="96">
        <f t="shared" si="27"/>
        <v>3364</v>
      </c>
      <c r="S92" s="96">
        <f t="shared" si="27"/>
        <v>42372</v>
      </c>
    </row>
    <row r="93" spans="1:19" ht="26.4" x14ac:dyDescent="0.7">
      <c r="A93" s="157" t="s">
        <v>242</v>
      </c>
      <c r="B93" s="71" t="s">
        <v>167</v>
      </c>
      <c r="C93">
        <v>90</v>
      </c>
      <c r="D93">
        <v>90</v>
      </c>
      <c r="E93">
        <v>89</v>
      </c>
      <c r="F93" s="158" t="s">
        <v>178</v>
      </c>
      <c r="G93" s="96">
        <f>201+87</f>
        <v>288</v>
      </c>
      <c r="H93" s="96">
        <f>397+325</f>
        <v>722</v>
      </c>
      <c r="I93" s="96">
        <f>525+257</f>
        <v>782</v>
      </c>
      <c r="J93" s="96">
        <f>405+213</f>
        <v>618</v>
      </c>
      <c r="K93" s="96">
        <f>857+264</f>
        <v>1121</v>
      </c>
      <c r="L93" s="96">
        <f>473+163</f>
        <v>636</v>
      </c>
      <c r="M93" s="96">
        <f>239+90</f>
        <v>329</v>
      </c>
      <c r="N93" s="96">
        <f>938+198</f>
        <v>1136</v>
      </c>
      <c r="O93" s="96">
        <f>559+130</f>
        <v>689</v>
      </c>
      <c r="P93" s="96">
        <f>750+405</f>
        <v>1155</v>
      </c>
      <c r="Q93" s="96">
        <f>322+55</f>
        <v>377</v>
      </c>
      <c r="R93" s="96">
        <f>145+7</f>
        <v>152</v>
      </c>
      <c r="S93" s="96">
        <f t="shared" ref="S93:S99" si="28">SUM(G93:R93)</f>
        <v>8005</v>
      </c>
    </row>
    <row r="94" spans="1:19" ht="26.4" x14ac:dyDescent="0.7">
      <c r="A94" s="157" t="s">
        <v>242</v>
      </c>
      <c r="B94" s="71" t="s">
        <v>167</v>
      </c>
      <c r="C94">
        <v>91</v>
      </c>
      <c r="D94">
        <v>91</v>
      </c>
      <c r="E94">
        <v>89</v>
      </c>
      <c r="F94" s="159" t="s">
        <v>179</v>
      </c>
      <c r="G94" s="96">
        <v>471</v>
      </c>
      <c r="H94" s="96">
        <v>476</v>
      </c>
      <c r="I94" s="96">
        <v>700</v>
      </c>
      <c r="J94" s="96">
        <v>728</v>
      </c>
      <c r="K94" s="96">
        <v>1268</v>
      </c>
      <c r="L94" s="96">
        <v>659</v>
      </c>
      <c r="M94" s="96">
        <v>479</v>
      </c>
      <c r="N94" s="96">
        <v>740</v>
      </c>
      <c r="O94" s="96">
        <v>438</v>
      </c>
      <c r="P94" s="96">
        <v>481</v>
      </c>
      <c r="Q94" s="96">
        <v>415</v>
      </c>
      <c r="R94" s="96">
        <v>358</v>
      </c>
      <c r="S94" s="96">
        <f t="shared" si="28"/>
        <v>7213</v>
      </c>
    </row>
    <row r="95" spans="1:19" ht="26.4" x14ac:dyDescent="0.7">
      <c r="A95" s="157" t="s">
        <v>242</v>
      </c>
      <c r="B95" s="71" t="s">
        <v>167</v>
      </c>
      <c r="C95">
        <v>92</v>
      </c>
      <c r="D95">
        <v>92</v>
      </c>
      <c r="E95">
        <v>89</v>
      </c>
      <c r="F95" s="159" t="s">
        <v>180</v>
      </c>
      <c r="G95" s="96">
        <v>48</v>
      </c>
      <c r="H95" s="96">
        <v>85</v>
      </c>
      <c r="I95" s="96">
        <v>50</v>
      </c>
      <c r="J95" s="96">
        <v>75</v>
      </c>
      <c r="K95" s="96">
        <v>89</v>
      </c>
      <c r="L95" s="96">
        <v>79</v>
      </c>
      <c r="M95" s="96">
        <v>44</v>
      </c>
      <c r="N95" s="96">
        <v>60</v>
      </c>
      <c r="O95" s="96">
        <v>56</v>
      </c>
      <c r="P95" s="96">
        <v>73</v>
      </c>
      <c r="Q95" s="96">
        <v>6</v>
      </c>
      <c r="R95" s="96">
        <v>33</v>
      </c>
      <c r="S95" s="96">
        <f t="shared" si="28"/>
        <v>698</v>
      </c>
    </row>
    <row r="96" spans="1:19" ht="26.4" x14ac:dyDescent="0.7">
      <c r="A96" s="157" t="s">
        <v>242</v>
      </c>
      <c r="B96" s="71" t="s">
        <v>167</v>
      </c>
      <c r="C96">
        <v>93</v>
      </c>
      <c r="D96">
        <v>93</v>
      </c>
      <c r="E96">
        <v>89</v>
      </c>
      <c r="F96" s="158" t="s">
        <v>183</v>
      </c>
      <c r="G96" s="96">
        <v>2284</v>
      </c>
      <c r="H96" s="96">
        <v>3043</v>
      </c>
      <c r="I96" s="96">
        <v>2772</v>
      </c>
      <c r="J96" s="96">
        <v>1891</v>
      </c>
      <c r="K96" s="96">
        <v>2901</v>
      </c>
      <c r="L96" s="96">
        <v>503</v>
      </c>
      <c r="M96" s="96">
        <v>2032</v>
      </c>
      <c r="N96" s="96">
        <v>2511</v>
      </c>
      <c r="O96" s="96">
        <v>2538</v>
      </c>
      <c r="P96" s="96">
        <v>2898</v>
      </c>
      <c r="Q96" s="96">
        <v>262</v>
      </c>
      <c r="R96" s="96">
        <v>2821</v>
      </c>
      <c r="S96" s="96">
        <f t="shared" si="28"/>
        <v>26456</v>
      </c>
    </row>
    <row r="97" spans="1:19" ht="26.4" x14ac:dyDescent="0.7">
      <c r="A97" s="157" t="s">
        <v>242</v>
      </c>
      <c r="B97" s="71" t="s">
        <v>167</v>
      </c>
      <c r="C97">
        <v>94</v>
      </c>
      <c r="D97">
        <v>94</v>
      </c>
      <c r="E97">
        <v>93</v>
      </c>
      <c r="F97" s="160" t="s">
        <v>184</v>
      </c>
      <c r="G97" s="96">
        <v>2111</v>
      </c>
      <c r="H97" s="96">
        <v>2497</v>
      </c>
      <c r="I97" s="96">
        <v>2299</v>
      </c>
      <c r="J97" s="96">
        <v>1447</v>
      </c>
      <c r="K97" s="96">
        <v>2235</v>
      </c>
      <c r="L97" s="96">
        <v>392</v>
      </c>
      <c r="M97" s="96">
        <v>1898</v>
      </c>
      <c r="N97" s="96">
        <v>2373</v>
      </c>
      <c r="O97" s="96">
        <v>2434</v>
      </c>
      <c r="P97" s="96">
        <v>2840</v>
      </c>
      <c r="Q97" s="96">
        <v>222</v>
      </c>
      <c r="R97" s="96">
        <v>2808</v>
      </c>
      <c r="S97" s="96">
        <f t="shared" si="28"/>
        <v>23556</v>
      </c>
    </row>
    <row r="98" spans="1:19" ht="26.4" x14ac:dyDescent="0.7">
      <c r="A98" s="157" t="s">
        <v>242</v>
      </c>
      <c r="B98" s="71" t="s">
        <v>167</v>
      </c>
      <c r="C98">
        <v>95</v>
      </c>
      <c r="D98">
        <v>95</v>
      </c>
      <c r="E98">
        <v>93</v>
      </c>
      <c r="F98" s="160" t="s">
        <v>185</v>
      </c>
      <c r="G98" s="96">
        <v>88</v>
      </c>
      <c r="H98" s="96">
        <v>319</v>
      </c>
      <c r="I98" s="96">
        <v>325</v>
      </c>
      <c r="J98" s="96">
        <v>339</v>
      </c>
      <c r="K98" s="96">
        <v>608</v>
      </c>
      <c r="L98" s="96">
        <v>98</v>
      </c>
      <c r="M98" s="96">
        <v>120</v>
      </c>
      <c r="N98" s="96">
        <v>113</v>
      </c>
      <c r="O98" s="96">
        <v>97</v>
      </c>
      <c r="P98" s="96">
        <v>51</v>
      </c>
      <c r="Q98" s="96">
        <v>37</v>
      </c>
      <c r="R98" s="96">
        <v>12</v>
      </c>
      <c r="S98" s="96">
        <f t="shared" si="28"/>
        <v>2207</v>
      </c>
    </row>
    <row r="99" spans="1:19" ht="26.4" x14ac:dyDescent="0.7">
      <c r="A99" s="157" t="s">
        <v>242</v>
      </c>
      <c r="B99" s="71" t="s">
        <v>167</v>
      </c>
      <c r="C99">
        <v>96</v>
      </c>
      <c r="D99">
        <v>96</v>
      </c>
      <c r="E99">
        <v>93</v>
      </c>
      <c r="F99" s="160" t="s">
        <v>186</v>
      </c>
      <c r="G99" s="96">
        <v>85</v>
      </c>
      <c r="H99" s="96">
        <v>227</v>
      </c>
      <c r="I99" s="96">
        <v>148</v>
      </c>
      <c r="J99" s="96">
        <v>105</v>
      </c>
      <c r="K99" s="96">
        <v>58</v>
      </c>
      <c r="L99" s="96">
        <v>13</v>
      </c>
      <c r="M99" s="96">
        <v>14</v>
      </c>
      <c r="N99" s="96">
        <v>25</v>
      </c>
      <c r="O99" s="96">
        <v>7</v>
      </c>
      <c r="P99" s="96">
        <v>7</v>
      </c>
      <c r="Q99" s="96">
        <v>3</v>
      </c>
      <c r="R99" s="96">
        <v>1</v>
      </c>
      <c r="S99" s="96">
        <f t="shared" si="28"/>
        <v>693</v>
      </c>
    </row>
    <row r="100" spans="1:19" ht="26.4" x14ac:dyDescent="0.7">
      <c r="A100" s="157" t="s">
        <v>242</v>
      </c>
      <c r="B100" s="71" t="s">
        <v>167</v>
      </c>
      <c r="C100">
        <v>97</v>
      </c>
      <c r="D100">
        <v>97</v>
      </c>
      <c r="F100" s="144">
        <v>2012</v>
      </c>
      <c r="G100" s="96">
        <f t="shared" ref="G100:R100" si="29">SUM(G101:G104)</f>
        <v>3399</v>
      </c>
      <c r="H100" s="96">
        <f t="shared" si="29"/>
        <v>5390</v>
      </c>
      <c r="I100" s="96">
        <f t="shared" si="29"/>
        <v>3102</v>
      </c>
      <c r="J100" s="96">
        <f t="shared" si="29"/>
        <v>3528</v>
      </c>
      <c r="K100" s="96">
        <f t="shared" si="29"/>
        <v>5856</v>
      </c>
      <c r="L100" s="96">
        <f t="shared" si="29"/>
        <v>2511</v>
      </c>
      <c r="M100" s="96">
        <f t="shared" si="29"/>
        <v>2225</v>
      </c>
      <c r="N100" s="96">
        <f t="shared" si="29"/>
        <v>8457</v>
      </c>
      <c r="O100" s="96">
        <f t="shared" si="29"/>
        <v>5524</v>
      </c>
      <c r="P100" s="96">
        <f t="shared" si="29"/>
        <v>6571</v>
      </c>
      <c r="Q100" s="96">
        <f t="shared" si="29"/>
        <v>3731</v>
      </c>
      <c r="R100" s="96">
        <f t="shared" si="29"/>
        <v>2626</v>
      </c>
      <c r="S100" s="96">
        <f>SUM(S101:S104)</f>
        <v>52920</v>
      </c>
    </row>
    <row r="101" spans="1:19" ht="26.4" x14ac:dyDescent="0.7">
      <c r="A101" s="157" t="s">
        <v>242</v>
      </c>
      <c r="B101" s="71" t="s">
        <v>167</v>
      </c>
      <c r="C101">
        <v>98</v>
      </c>
      <c r="D101">
        <v>98</v>
      </c>
      <c r="E101">
        <v>97</v>
      </c>
      <c r="F101" s="158" t="s">
        <v>178</v>
      </c>
      <c r="G101" s="96">
        <f>367+252</f>
        <v>619</v>
      </c>
      <c r="H101" s="96">
        <f>443+334</f>
        <v>777</v>
      </c>
      <c r="I101" s="96">
        <f>377+147</f>
        <v>524</v>
      </c>
      <c r="J101" s="96">
        <f>452+415</f>
        <v>867</v>
      </c>
      <c r="K101" s="96">
        <f>779+410</f>
        <v>1189</v>
      </c>
      <c r="L101" s="96">
        <f>412+205</f>
        <v>617</v>
      </c>
      <c r="M101" s="96">
        <f>261+46</f>
        <v>307</v>
      </c>
      <c r="N101" s="96">
        <f>274+94</f>
        <v>368</v>
      </c>
      <c r="O101" s="96">
        <f>547+225</f>
        <v>772</v>
      </c>
      <c r="P101" s="96">
        <f>292+195</f>
        <v>487</v>
      </c>
      <c r="Q101" s="96">
        <f>254+84</f>
        <v>338</v>
      </c>
      <c r="R101" s="96">
        <f>93+3</f>
        <v>96</v>
      </c>
      <c r="S101" s="96">
        <f t="shared" ref="S101:S107" si="30">SUM(G101:R101)</f>
        <v>6961</v>
      </c>
    </row>
    <row r="102" spans="1:19" ht="26.4" x14ac:dyDescent="0.7">
      <c r="A102" s="157" t="s">
        <v>242</v>
      </c>
      <c r="B102" s="71" t="s">
        <v>167</v>
      </c>
      <c r="C102">
        <v>99</v>
      </c>
      <c r="D102">
        <v>99</v>
      </c>
      <c r="E102">
        <v>97</v>
      </c>
      <c r="F102" s="159" t="s">
        <v>179</v>
      </c>
      <c r="G102" s="96">
        <v>439</v>
      </c>
      <c r="H102" s="96">
        <v>663</v>
      </c>
      <c r="I102" s="96">
        <v>575</v>
      </c>
      <c r="J102" s="96">
        <v>864</v>
      </c>
      <c r="K102" s="96">
        <v>535</v>
      </c>
      <c r="L102" s="96">
        <v>458</v>
      </c>
      <c r="M102" s="96">
        <v>287</v>
      </c>
      <c r="N102" s="96">
        <v>309</v>
      </c>
      <c r="O102" s="96">
        <v>167</v>
      </c>
      <c r="P102" s="96">
        <v>216</v>
      </c>
      <c r="Q102" s="96">
        <v>345</v>
      </c>
      <c r="R102" s="96">
        <v>183</v>
      </c>
      <c r="S102" s="96">
        <f t="shared" si="30"/>
        <v>5041</v>
      </c>
    </row>
    <row r="103" spans="1:19" ht="26.4" x14ac:dyDescent="0.7">
      <c r="A103" s="157" t="s">
        <v>242</v>
      </c>
      <c r="B103" s="71" t="s">
        <v>167</v>
      </c>
      <c r="C103">
        <v>100</v>
      </c>
      <c r="D103">
        <v>100</v>
      </c>
      <c r="E103">
        <v>97</v>
      </c>
      <c r="F103" s="159" t="s">
        <v>180</v>
      </c>
      <c r="G103" s="96">
        <v>43</v>
      </c>
      <c r="H103" s="96">
        <v>41</v>
      </c>
      <c r="I103" s="96">
        <v>41</v>
      </c>
      <c r="J103" s="96">
        <v>24</v>
      </c>
      <c r="K103" s="96">
        <v>73</v>
      </c>
      <c r="L103" s="96">
        <v>60</v>
      </c>
      <c r="M103" s="96">
        <v>7</v>
      </c>
      <c r="N103" s="96">
        <v>79</v>
      </c>
      <c r="O103" s="96">
        <v>53</v>
      </c>
      <c r="P103" s="96">
        <v>92</v>
      </c>
      <c r="Q103" s="96">
        <v>61</v>
      </c>
      <c r="R103" s="96">
        <v>33</v>
      </c>
      <c r="S103" s="96">
        <f t="shared" si="30"/>
        <v>607</v>
      </c>
    </row>
    <row r="104" spans="1:19" ht="26.4" x14ac:dyDescent="0.7">
      <c r="A104" s="157" t="s">
        <v>242</v>
      </c>
      <c r="B104" s="71" t="s">
        <v>167</v>
      </c>
      <c r="C104">
        <v>101</v>
      </c>
      <c r="D104">
        <v>101</v>
      </c>
      <c r="E104">
        <v>97</v>
      </c>
      <c r="F104" s="158" t="s">
        <v>183</v>
      </c>
      <c r="G104" s="96">
        <v>2298</v>
      </c>
      <c r="H104" s="96">
        <v>3909</v>
      </c>
      <c r="I104" s="96">
        <v>1962</v>
      </c>
      <c r="J104" s="96">
        <v>1773</v>
      </c>
      <c r="K104" s="96">
        <v>4059</v>
      </c>
      <c r="L104" s="96">
        <v>1376</v>
      </c>
      <c r="M104" s="96">
        <v>1624</v>
      </c>
      <c r="N104" s="96">
        <v>7701</v>
      </c>
      <c r="O104" s="96">
        <v>4532</v>
      </c>
      <c r="P104" s="96">
        <v>5776</v>
      </c>
      <c r="Q104" s="96">
        <v>2987</v>
      </c>
      <c r="R104" s="96">
        <v>2314</v>
      </c>
      <c r="S104" s="96">
        <f t="shared" si="30"/>
        <v>40311</v>
      </c>
    </row>
    <row r="105" spans="1:19" ht="26.4" x14ac:dyDescent="0.7">
      <c r="A105" s="157" t="s">
        <v>242</v>
      </c>
      <c r="B105" s="71" t="s">
        <v>167</v>
      </c>
      <c r="C105">
        <v>102</v>
      </c>
      <c r="D105">
        <v>102</v>
      </c>
      <c r="E105">
        <v>101</v>
      </c>
      <c r="F105" s="160" t="s">
        <v>184</v>
      </c>
      <c r="G105" s="96">
        <v>2098</v>
      </c>
      <c r="H105" s="96">
        <v>3212</v>
      </c>
      <c r="I105" s="96">
        <v>1523</v>
      </c>
      <c r="J105" s="96">
        <v>1055</v>
      </c>
      <c r="K105" s="96">
        <v>3097</v>
      </c>
      <c r="L105" s="96">
        <v>866</v>
      </c>
      <c r="M105" s="96">
        <v>1475</v>
      </c>
      <c r="N105" s="96">
        <v>7423</v>
      </c>
      <c r="O105" s="96">
        <v>4254</v>
      </c>
      <c r="P105" s="96">
        <v>5224</v>
      </c>
      <c r="Q105" s="96">
        <v>2856</v>
      </c>
      <c r="R105" s="96">
        <v>2298</v>
      </c>
      <c r="S105" s="96">
        <f t="shared" si="30"/>
        <v>35381</v>
      </c>
    </row>
    <row r="106" spans="1:19" ht="26.4" x14ac:dyDescent="0.7">
      <c r="A106" s="157" t="s">
        <v>242</v>
      </c>
      <c r="B106" s="71" t="s">
        <v>167</v>
      </c>
      <c r="C106">
        <v>103</v>
      </c>
      <c r="D106">
        <v>103</v>
      </c>
      <c r="E106">
        <v>101</v>
      </c>
      <c r="F106" s="160" t="s">
        <v>185</v>
      </c>
      <c r="G106" s="96">
        <v>179</v>
      </c>
      <c r="H106" s="96">
        <v>571</v>
      </c>
      <c r="I106" s="96">
        <v>372</v>
      </c>
      <c r="J106" s="96">
        <v>611</v>
      </c>
      <c r="K106" s="96">
        <v>828</v>
      </c>
      <c r="L106" s="96">
        <v>454</v>
      </c>
      <c r="M106" s="96">
        <v>148</v>
      </c>
      <c r="N106" s="96">
        <v>179</v>
      </c>
      <c r="O106" s="96">
        <v>229</v>
      </c>
      <c r="P106" s="96">
        <v>398</v>
      </c>
      <c r="Q106" s="96">
        <v>116</v>
      </c>
      <c r="R106" s="96">
        <v>9</v>
      </c>
      <c r="S106" s="96">
        <f t="shared" si="30"/>
        <v>4094</v>
      </c>
    </row>
    <row r="107" spans="1:19" ht="26.4" x14ac:dyDescent="0.7">
      <c r="A107" s="157" t="s">
        <v>242</v>
      </c>
      <c r="B107" s="71" t="s">
        <v>167</v>
      </c>
      <c r="C107">
        <v>104</v>
      </c>
      <c r="D107">
        <v>104</v>
      </c>
      <c r="E107">
        <v>101</v>
      </c>
      <c r="F107" s="160" t="s">
        <v>186</v>
      </c>
      <c r="G107" s="96">
        <v>21</v>
      </c>
      <c r="H107" s="96">
        <v>126</v>
      </c>
      <c r="I107" s="96">
        <v>67</v>
      </c>
      <c r="J107" s="96">
        <v>107</v>
      </c>
      <c r="K107" s="96">
        <v>134</v>
      </c>
      <c r="L107" s="96">
        <v>56</v>
      </c>
      <c r="M107" s="96">
        <v>1</v>
      </c>
      <c r="N107" s="96">
        <v>99</v>
      </c>
      <c r="O107" s="96">
        <v>49</v>
      </c>
      <c r="P107" s="96">
        <v>154</v>
      </c>
      <c r="Q107" s="96">
        <v>15</v>
      </c>
      <c r="R107" s="96">
        <v>7</v>
      </c>
      <c r="S107" s="96">
        <f t="shared" si="30"/>
        <v>836</v>
      </c>
    </row>
    <row r="108" spans="1:19" ht="26.4" x14ac:dyDescent="0.7">
      <c r="A108" s="157" t="s">
        <v>242</v>
      </c>
      <c r="B108" s="71" t="s">
        <v>167</v>
      </c>
      <c r="C108">
        <v>105</v>
      </c>
      <c r="D108">
        <v>105</v>
      </c>
      <c r="F108" s="144">
        <v>2013</v>
      </c>
      <c r="G108" s="96">
        <f t="shared" ref="G108:R108" si="31">SUM(G109:G112)</f>
        <v>3218</v>
      </c>
      <c r="H108" s="96">
        <f t="shared" si="31"/>
        <v>5174</v>
      </c>
      <c r="I108" s="96">
        <f t="shared" si="31"/>
        <v>5684</v>
      </c>
      <c r="J108" s="96">
        <f t="shared" si="31"/>
        <v>5533</v>
      </c>
      <c r="K108" s="96">
        <f t="shared" si="31"/>
        <v>7642</v>
      </c>
      <c r="L108" s="96">
        <f t="shared" si="31"/>
        <v>3964</v>
      </c>
      <c r="M108" s="96">
        <f t="shared" si="31"/>
        <v>5591</v>
      </c>
      <c r="N108" s="96">
        <f t="shared" si="31"/>
        <v>4523</v>
      </c>
      <c r="O108" s="96">
        <f t="shared" si="31"/>
        <v>6468</v>
      </c>
      <c r="P108" s="96">
        <f t="shared" si="31"/>
        <v>5380</v>
      </c>
      <c r="Q108" s="96">
        <f t="shared" si="31"/>
        <v>1558</v>
      </c>
      <c r="R108" s="96">
        <f t="shared" si="31"/>
        <v>4700</v>
      </c>
      <c r="S108" s="96">
        <f>SUM(S109:S112)</f>
        <v>59435</v>
      </c>
    </row>
    <row r="109" spans="1:19" ht="26.4" x14ac:dyDescent="0.7">
      <c r="A109" s="157" t="s">
        <v>242</v>
      </c>
      <c r="B109" s="71" t="s">
        <v>167</v>
      </c>
      <c r="C109">
        <v>106</v>
      </c>
      <c r="D109">
        <v>106</v>
      </c>
      <c r="E109">
        <v>105</v>
      </c>
      <c r="F109" s="158" t="s">
        <v>178</v>
      </c>
      <c r="G109" s="96">
        <f>332+355</f>
        <v>687</v>
      </c>
      <c r="H109" s="96">
        <f>299+385</f>
        <v>684</v>
      </c>
      <c r="I109" s="96">
        <f>453+623</f>
        <v>1076</v>
      </c>
      <c r="J109" s="96">
        <f>766+1300</f>
        <v>2066</v>
      </c>
      <c r="K109" s="96">
        <f>918+390</f>
        <v>1308</v>
      </c>
      <c r="L109" s="96">
        <f>775+114</f>
        <v>889</v>
      </c>
      <c r="M109" s="96">
        <f>545+7</f>
        <v>552</v>
      </c>
      <c r="N109" s="96">
        <f>357+120</f>
        <v>477</v>
      </c>
      <c r="O109" s="96">
        <f>731+211</f>
        <v>942</v>
      </c>
      <c r="P109" s="96">
        <f>672+379</f>
        <v>1051</v>
      </c>
      <c r="Q109" s="96">
        <f>177+77</f>
        <v>254</v>
      </c>
      <c r="R109" s="96">
        <f>135+42</f>
        <v>177</v>
      </c>
      <c r="S109" s="96">
        <f t="shared" ref="S109:S115" si="32">SUM(G109:R109)</f>
        <v>10163</v>
      </c>
    </row>
    <row r="110" spans="1:19" ht="26.4" x14ac:dyDescent="0.7">
      <c r="A110" s="157" t="s">
        <v>242</v>
      </c>
      <c r="B110" s="71" t="s">
        <v>167</v>
      </c>
      <c r="C110">
        <v>107</v>
      </c>
      <c r="D110">
        <v>107</v>
      </c>
      <c r="E110">
        <v>105</v>
      </c>
      <c r="F110" s="159" t="s">
        <v>179</v>
      </c>
      <c r="G110" s="96">
        <v>529</v>
      </c>
      <c r="H110" s="96">
        <v>338</v>
      </c>
      <c r="I110" s="96">
        <v>412</v>
      </c>
      <c r="J110" s="96">
        <v>893</v>
      </c>
      <c r="K110" s="96">
        <v>1663</v>
      </c>
      <c r="L110" s="96">
        <v>722</v>
      </c>
      <c r="M110" s="96">
        <v>358</v>
      </c>
      <c r="N110" s="96">
        <v>102</v>
      </c>
      <c r="O110" s="96">
        <v>149</v>
      </c>
      <c r="P110" s="96">
        <v>205</v>
      </c>
      <c r="Q110" s="96">
        <v>276</v>
      </c>
      <c r="R110" s="96">
        <v>2102</v>
      </c>
      <c r="S110" s="96">
        <f t="shared" si="32"/>
        <v>7749</v>
      </c>
    </row>
    <row r="111" spans="1:19" ht="26.4" x14ac:dyDescent="0.7">
      <c r="A111" s="157" t="s">
        <v>242</v>
      </c>
      <c r="B111" s="71" t="s">
        <v>167</v>
      </c>
      <c r="C111">
        <v>108</v>
      </c>
      <c r="D111">
        <v>108</v>
      </c>
      <c r="E111">
        <v>105</v>
      </c>
      <c r="F111" s="159" t="s">
        <v>180</v>
      </c>
      <c r="G111" s="96">
        <v>97</v>
      </c>
      <c r="H111" s="96">
        <v>88</v>
      </c>
      <c r="I111" s="96">
        <v>54</v>
      </c>
      <c r="J111" s="96">
        <v>49</v>
      </c>
      <c r="K111" s="96">
        <v>85</v>
      </c>
      <c r="L111" s="96">
        <v>50</v>
      </c>
      <c r="M111" s="96">
        <v>90</v>
      </c>
      <c r="N111" s="96">
        <v>17</v>
      </c>
      <c r="O111" s="96">
        <v>60</v>
      </c>
      <c r="P111" s="96">
        <v>64</v>
      </c>
      <c r="Q111" s="96">
        <v>82</v>
      </c>
      <c r="R111" s="96">
        <v>23</v>
      </c>
      <c r="S111" s="96">
        <f t="shared" si="32"/>
        <v>759</v>
      </c>
    </row>
    <row r="112" spans="1:19" ht="26.4" x14ac:dyDescent="0.7">
      <c r="A112" s="157" t="s">
        <v>242</v>
      </c>
      <c r="B112" s="71" t="s">
        <v>167</v>
      </c>
      <c r="C112">
        <v>109</v>
      </c>
      <c r="D112">
        <v>109</v>
      </c>
      <c r="E112">
        <v>105</v>
      </c>
      <c r="F112" s="158" t="s">
        <v>183</v>
      </c>
      <c r="G112" s="96">
        <v>1905</v>
      </c>
      <c r="H112" s="96">
        <v>4064</v>
      </c>
      <c r="I112" s="96">
        <v>4142</v>
      </c>
      <c r="J112" s="96">
        <v>2525</v>
      </c>
      <c r="K112" s="96">
        <v>4586</v>
      </c>
      <c r="L112" s="96">
        <v>2303</v>
      </c>
      <c r="M112" s="96">
        <v>4591</v>
      </c>
      <c r="N112" s="96">
        <v>3927</v>
      </c>
      <c r="O112" s="96">
        <v>5317</v>
      </c>
      <c r="P112" s="96">
        <v>4060</v>
      </c>
      <c r="Q112" s="96">
        <v>946</v>
      </c>
      <c r="R112" s="96">
        <v>2398</v>
      </c>
      <c r="S112" s="96">
        <f t="shared" si="32"/>
        <v>40764</v>
      </c>
    </row>
    <row r="113" spans="1:19" ht="26.4" x14ac:dyDescent="0.7">
      <c r="A113" s="157" t="s">
        <v>242</v>
      </c>
      <c r="B113" s="71" t="s">
        <v>167</v>
      </c>
      <c r="C113">
        <v>110</v>
      </c>
      <c r="D113">
        <v>110</v>
      </c>
      <c r="E113">
        <v>109</v>
      </c>
      <c r="F113" s="160" t="s">
        <v>184</v>
      </c>
      <c r="G113" s="96">
        <v>1490</v>
      </c>
      <c r="H113" s="96">
        <v>3740</v>
      </c>
      <c r="I113" s="96">
        <v>2417</v>
      </c>
      <c r="J113" s="96">
        <v>1213</v>
      </c>
      <c r="K113" s="96">
        <v>3130</v>
      </c>
      <c r="L113" s="96">
        <v>1611</v>
      </c>
      <c r="M113" s="96">
        <v>4445</v>
      </c>
      <c r="N113" s="96">
        <v>3477</v>
      </c>
      <c r="O113" s="96">
        <v>4697</v>
      </c>
      <c r="P113" s="96">
        <v>3459</v>
      </c>
      <c r="Q113" s="96">
        <v>794</v>
      </c>
      <c r="R113" s="96">
        <v>2259</v>
      </c>
      <c r="S113" s="96">
        <f t="shared" si="32"/>
        <v>32732</v>
      </c>
    </row>
    <row r="114" spans="1:19" ht="26.4" x14ac:dyDescent="0.7">
      <c r="A114" s="157" t="s">
        <v>242</v>
      </c>
      <c r="B114" s="71" t="s">
        <v>167</v>
      </c>
      <c r="C114">
        <v>111</v>
      </c>
      <c r="D114">
        <v>111</v>
      </c>
      <c r="E114">
        <v>109</v>
      </c>
      <c r="F114" s="160" t="s">
        <v>185</v>
      </c>
      <c r="G114" s="96">
        <v>265</v>
      </c>
      <c r="H114" s="96">
        <v>255</v>
      </c>
      <c r="I114" s="96">
        <v>1077</v>
      </c>
      <c r="J114" s="96">
        <v>936</v>
      </c>
      <c r="K114" s="96">
        <v>1115</v>
      </c>
      <c r="L114" s="96">
        <v>590</v>
      </c>
      <c r="M114" s="96">
        <v>93</v>
      </c>
      <c r="N114" s="96">
        <v>271</v>
      </c>
      <c r="O114" s="96">
        <v>312</v>
      </c>
      <c r="P114" s="96">
        <v>364</v>
      </c>
      <c r="Q114" s="96">
        <v>62</v>
      </c>
      <c r="R114" s="96">
        <v>78</v>
      </c>
      <c r="S114" s="96">
        <f t="shared" si="32"/>
        <v>5418</v>
      </c>
    </row>
    <row r="115" spans="1:19" ht="26.4" x14ac:dyDescent="0.7">
      <c r="A115" s="157" t="s">
        <v>242</v>
      </c>
      <c r="B115" s="71" t="s">
        <v>167</v>
      </c>
      <c r="C115">
        <v>112</v>
      </c>
      <c r="D115">
        <v>112</v>
      </c>
      <c r="E115">
        <v>109</v>
      </c>
      <c r="F115" s="160" t="s">
        <v>186</v>
      </c>
      <c r="G115" s="96">
        <v>150</v>
      </c>
      <c r="H115" s="96">
        <v>69</v>
      </c>
      <c r="I115" s="96">
        <v>648</v>
      </c>
      <c r="J115" s="96">
        <v>376</v>
      </c>
      <c r="K115" s="96">
        <v>341</v>
      </c>
      <c r="L115" s="96">
        <v>102</v>
      </c>
      <c r="M115" s="96">
        <v>53</v>
      </c>
      <c r="N115" s="96">
        <v>179</v>
      </c>
      <c r="O115" s="96">
        <v>308</v>
      </c>
      <c r="P115" s="96">
        <v>237</v>
      </c>
      <c r="Q115" s="96">
        <v>90</v>
      </c>
      <c r="R115" s="96">
        <v>61</v>
      </c>
      <c r="S115" s="96">
        <f t="shared" si="32"/>
        <v>2614</v>
      </c>
    </row>
    <row r="116" spans="1:19" ht="26.4" x14ac:dyDescent="0.7">
      <c r="A116" s="157" t="s">
        <v>242</v>
      </c>
      <c r="B116" s="71" t="s">
        <v>167</v>
      </c>
      <c r="C116">
        <v>113</v>
      </c>
      <c r="D116">
        <v>113</v>
      </c>
      <c r="F116" s="144">
        <v>2016</v>
      </c>
      <c r="G116" s="96">
        <f>SUM(G117:G120)+G124</f>
        <v>9342</v>
      </c>
      <c r="H116" s="96">
        <f t="shared" ref="H116:R116" si="33">SUM(H117:H120)+H124</f>
        <v>7013</v>
      </c>
      <c r="I116" s="96">
        <f t="shared" si="33"/>
        <v>8998</v>
      </c>
      <c r="J116" s="96">
        <f t="shared" si="33"/>
        <v>7975</v>
      </c>
      <c r="K116" s="96">
        <f t="shared" si="33"/>
        <v>7073</v>
      </c>
      <c r="L116" s="96">
        <f t="shared" si="33"/>
        <v>5562</v>
      </c>
      <c r="M116" s="96">
        <f t="shared" si="33"/>
        <v>7507</v>
      </c>
      <c r="N116" s="96">
        <f t="shared" si="33"/>
        <v>8313</v>
      </c>
      <c r="O116" s="96">
        <f t="shared" si="33"/>
        <v>6299</v>
      </c>
      <c r="P116" s="96">
        <f t="shared" si="33"/>
        <v>8421</v>
      </c>
      <c r="Q116" s="96">
        <f t="shared" si="33"/>
        <v>7103</v>
      </c>
      <c r="R116" s="96">
        <f t="shared" si="33"/>
        <v>7243</v>
      </c>
      <c r="S116" s="96">
        <f t="shared" ref="S116:S133" si="34">SUM(G116:R116)</f>
        <v>90849</v>
      </c>
    </row>
    <row r="117" spans="1:19" ht="26.4" x14ac:dyDescent="0.7">
      <c r="A117" s="157" t="s">
        <v>242</v>
      </c>
      <c r="B117" s="71" t="s">
        <v>167</v>
      </c>
      <c r="C117">
        <v>114</v>
      </c>
      <c r="D117">
        <v>114</v>
      </c>
      <c r="E117">
        <v>113</v>
      </c>
      <c r="F117" s="158" t="s">
        <v>178</v>
      </c>
      <c r="G117" s="96">
        <v>976</v>
      </c>
      <c r="H117" s="96">
        <v>1891</v>
      </c>
      <c r="I117" s="96">
        <v>2455</v>
      </c>
      <c r="J117" s="96">
        <v>2203</v>
      </c>
      <c r="K117" s="96">
        <v>2533</v>
      </c>
      <c r="L117" s="96">
        <v>1831</v>
      </c>
      <c r="M117" s="96">
        <v>1076</v>
      </c>
      <c r="N117" s="96">
        <v>1559</v>
      </c>
      <c r="O117" s="96">
        <v>1538</v>
      </c>
      <c r="P117" s="96">
        <v>1419</v>
      </c>
      <c r="Q117" s="96">
        <v>1180</v>
      </c>
      <c r="R117" s="96">
        <v>1227</v>
      </c>
      <c r="S117" s="96">
        <f t="shared" si="34"/>
        <v>19888</v>
      </c>
    </row>
    <row r="118" spans="1:19" ht="26.4" x14ac:dyDescent="0.7">
      <c r="A118" s="157" t="s">
        <v>242</v>
      </c>
      <c r="B118" s="71" t="s">
        <v>167</v>
      </c>
      <c r="C118">
        <v>115</v>
      </c>
      <c r="D118">
        <v>115</v>
      </c>
      <c r="E118">
        <v>113</v>
      </c>
      <c r="F118" s="159" t="s">
        <v>179</v>
      </c>
      <c r="G118" s="96">
        <v>2514</v>
      </c>
      <c r="H118" s="96">
        <v>2824</v>
      </c>
      <c r="I118" s="96">
        <v>2839</v>
      </c>
      <c r="J118" s="96">
        <v>2480</v>
      </c>
      <c r="K118" s="96">
        <v>1968</v>
      </c>
      <c r="L118" s="96">
        <v>2893</v>
      </c>
      <c r="M118" s="96">
        <v>1618</v>
      </c>
      <c r="N118" s="96">
        <v>1227</v>
      </c>
      <c r="O118" s="96">
        <v>1127</v>
      </c>
      <c r="P118" s="96">
        <v>2284</v>
      </c>
      <c r="Q118" s="96">
        <v>3881</v>
      </c>
      <c r="R118" s="96">
        <v>3225</v>
      </c>
      <c r="S118" s="96">
        <f t="shared" si="34"/>
        <v>28880</v>
      </c>
    </row>
    <row r="119" spans="1:19" ht="26.4" x14ac:dyDescent="0.7">
      <c r="A119" s="157" t="s">
        <v>242</v>
      </c>
      <c r="B119" s="71" t="s">
        <v>167</v>
      </c>
      <c r="C119">
        <v>116</v>
      </c>
      <c r="D119">
        <v>116</v>
      </c>
      <c r="E119">
        <v>113</v>
      </c>
      <c r="F119" s="159" t="s">
        <v>180</v>
      </c>
      <c r="G119" s="96">
        <v>140</v>
      </c>
      <c r="H119" s="96">
        <v>74</v>
      </c>
      <c r="I119" s="96">
        <v>57</v>
      </c>
      <c r="J119" s="96">
        <v>148</v>
      </c>
      <c r="K119" s="96">
        <v>69</v>
      </c>
      <c r="L119" s="96">
        <v>119</v>
      </c>
      <c r="M119" s="96">
        <v>24</v>
      </c>
      <c r="N119" s="96">
        <v>38</v>
      </c>
      <c r="O119" s="96">
        <v>17</v>
      </c>
      <c r="P119" s="96">
        <v>99</v>
      </c>
      <c r="Q119" s="96">
        <v>92</v>
      </c>
      <c r="R119" s="96">
        <v>38</v>
      </c>
      <c r="S119" s="96">
        <f t="shared" si="34"/>
        <v>915</v>
      </c>
    </row>
    <row r="120" spans="1:19" ht="26.4" x14ac:dyDescent="0.7">
      <c r="A120" s="157" t="s">
        <v>242</v>
      </c>
      <c r="B120" s="71" t="s">
        <v>167</v>
      </c>
      <c r="C120">
        <v>117</v>
      </c>
      <c r="D120">
        <v>117</v>
      </c>
      <c r="E120">
        <v>113</v>
      </c>
      <c r="F120" s="158" t="s">
        <v>183</v>
      </c>
      <c r="G120" s="96">
        <v>4773</v>
      </c>
      <c r="H120" s="96">
        <v>2224</v>
      </c>
      <c r="I120" s="96">
        <v>3550</v>
      </c>
      <c r="J120" s="96">
        <v>2506</v>
      </c>
      <c r="K120" s="96">
        <v>2389</v>
      </c>
      <c r="L120" s="96">
        <v>423</v>
      </c>
      <c r="M120" s="96">
        <v>4646</v>
      </c>
      <c r="N120" s="96">
        <v>4708</v>
      </c>
      <c r="O120" s="96">
        <v>3377</v>
      </c>
      <c r="P120" s="96">
        <v>3847</v>
      </c>
      <c r="Q120" s="96">
        <v>1938</v>
      </c>
      <c r="R120" s="96">
        <v>2688</v>
      </c>
      <c r="S120" s="96">
        <f t="shared" si="34"/>
        <v>37069</v>
      </c>
    </row>
    <row r="121" spans="1:19" ht="26.4" x14ac:dyDescent="0.7">
      <c r="A121" s="157" t="s">
        <v>242</v>
      </c>
      <c r="B121" s="71" t="s">
        <v>167</v>
      </c>
      <c r="C121">
        <v>118</v>
      </c>
      <c r="D121">
        <v>118</v>
      </c>
      <c r="E121">
        <v>117</v>
      </c>
      <c r="F121" s="160" t="s">
        <v>184</v>
      </c>
      <c r="G121" s="96">
        <v>3703</v>
      </c>
      <c r="H121" s="96">
        <v>1643</v>
      </c>
      <c r="I121" s="96">
        <v>2677</v>
      </c>
      <c r="J121" s="96">
        <v>1876</v>
      </c>
      <c r="K121" s="96">
        <v>1796</v>
      </c>
      <c r="L121" s="96">
        <v>276</v>
      </c>
      <c r="M121" s="96">
        <v>4551</v>
      </c>
      <c r="N121" s="96">
        <v>3837</v>
      </c>
      <c r="O121" s="96">
        <v>3060</v>
      </c>
      <c r="P121" s="96">
        <v>3449</v>
      </c>
      <c r="Q121" s="96">
        <v>1877</v>
      </c>
      <c r="R121" s="96">
        <v>2147</v>
      </c>
      <c r="S121" s="96">
        <f t="shared" si="34"/>
        <v>30892</v>
      </c>
    </row>
    <row r="122" spans="1:19" ht="26.4" x14ac:dyDescent="0.7">
      <c r="A122" s="157" t="s">
        <v>242</v>
      </c>
      <c r="B122" s="71" t="s">
        <v>167</v>
      </c>
      <c r="C122">
        <v>119</v>
      </c>
      <c r="D122">
        <v>119</v>
      </c>
      <c r="E122">
        <v>117</v>
      </c>
      <c r="F122" s="160" t="s">
        <v>185</v>
      </c>
      <c r="G122" s="96">
        <v>320</v>
      </c>
      <c r="H122" s="96">
        <v>249</v>
      </c>
      <c r="I122" s="96">
        <v>510</v>
      </c>
      <c r="J122" s="96">
        <v>421</v>
      </c>
      <c r="K122" s="96">
        <v>432</v>
      </c>
      <c r="L122" s="96">
        <v>102</v>
      </c>
      <c r="M122" s="96">
        <v>27</v>
      </c>
      <c r="N122" s="96">
        <v>186</v>
      </c>
      <c r="O122" s="96">
        <v>62</v>
      </c>
      <c r="P122" s="96">
        <v>61</v>
      </c>
      <c r="Q122" s="96">
        <v>18</v>
      </c>
      <c r="R122" s="96">
        <v>91</v>
      </c>
      <c r="S122" s="96">
        <f t="shared" si="34"/>
        <v>2479</v>
      </c>
    </row>
    <row r="123" spans="1:19" ht="26.4" x14ac:dyDescent="0.7">
      <c r="A123" s="157" t="s">
        <v>242</v>
      </c>
      <c r="B123" s="71" t="s">
        <v>167</v>
      </c>
      <c r="C123">
        <v>120</v>
      </c>
      <c r="D123">
        <v>120</v>
      </c>
      <c r="E123">
        <v>117</v>
      </c>
      <c r="F123" s="160" t="s">
        <v>186</v>
      </c>
      <c r="G123" s="96">
        <v>750</v>
      </c>
      <c r="H123" s="96">
        <v>332</v>
      </c>
      <c r="I123" s="96">
        <v>363</v>
      </c>
      <c r="J123" s="96">
        <v>209</v>
      </c>
      <c r="K123" s="96">
        <v>161</v>
      </c>
      <c r="L123" s="96">
        <v>45</v>
      </c>
      <c r="M123" s="96">
        <v>68</v>
      </c>
      <c r="N123" s="96">
        <v>685</v>
      </c>
      <c r="O123" s="96">
        <v>255</v>
      </c>
      <c r="P123" s="96">
        <v>337</v>
      </c>
      <c r="Q123" s="96">
        <v>43</v>
      </c>
      <c r="R123" s="96">
        <v>450</v>
      </c>
      <c r="S123" s="96">
        <f t="shared" si="34"/>
        <v>3698</v>
      </c>
    </row>
    <row r="124" spans="1:19" ht="26.4" x14ac:dyDescent="0.7">
      <c r="A124" s="157" t="s">
        <v>242</v>
      </c>
      <c r="B124" s="71" t="s">
        <v>167</v>
      </c>
      <c r="C124">
        <v>121</v>
      </c>
      <c r="D124">
        <v>121</v>
      </c>
      <c r="E124">
        <v>113</v>
      </c>
      <c r="F124" s="158" t="s">
        <v>181</v>
      </c>
      <c r="G124" s="96">
        <v>939</v>
      </c>
      <c r="H124" s="96">
        <v>0</v>
      </c>
      <c r="I124" s="96">
        <v>97</v>
      </c>
      <c r="J124" s="96">
        <v>638</v>
      </c>
      <c r="K124" s="96">
        <v>114</v>
      </c>
      <c r="L124" s="96">
        <v>296</v>
      </c>
      <c r="M124" s="96">
        <v>143</v>
      </c>
      <c r="N124" s="96">
        <v>781</v>
      </c>
      <c r="O124" s="96">
        <v>240</v>
      </c>
      <c r="P124" s="96">
        <v>772</v>
      </c>
      <c r="Q124" s="96">
        <v>12</v>
      </c>
      <c r="R124" s="96">
        <v>65</v>
      </c>
      <c r="S124" s="96">
        <f t="shared" si="34"/>
        <v>4097</v>
      </c>
    </row>
    <row r="125" spans="1:19" ht="26.4" x14ac:dyDescent="0.7">
      <c r="A125" s="157" t="s">
        <v>242</v>
      </c>
      <c r="B125" s="71" t="s">
        <v>167</v>
      </c>
      <c r="C125">
        <v>122</v>
      </c>
      <c r="D125">
        <v>122</v>
      </c>
      <c r="F125" s="144">
        <v>2017</v>
      </c>
      <c r="G125" s="96">
        <f>SUM(G126:G129)+G133</f>
        <v>10140</v>
      </c>
      <c r="H125" s="96">
        <f t="shared" ref="H125:R125" si="35">SUM(H126:H129)+H133</f>
        <v>9248</v>
      </c>
      <c r="I125" s="96">
        <f t="shared" si="35"/>
        <v>7807</v>
      </c>
      <c r="J125" s="96">
        <f t="shared" si="35"/>
        <v>6433</v>
      </c>
      <c r="K125" s="96">
        <f t="shared" si="35"/>
        <v>8654</v>
      </c>
      <c r="L125" s="96">
        <f t="shared" si="35"/>
        <v>4990</v>
      </c>
      <c r="M125" s="96">
        <f t="shared" si="35"/>
        <v>5990</v>
      </c>
      <c r="N125" s="96">
        <f t="shared" si="35"/>
        <v>8923</v>
      </c>
      <c r="O125" s="96">
        <f t="shared" si="35"/>
        <v>7676</v>
      </c>
      <c r="P125" s="96">
        <f t="shared" si="35"/>
        <v>9029</v>
      </c>
      <c r="Q125" s="96">
        <f t="shared" si="35"/>
        <v>5389</v>
      </c>
      <c r="R125" s="96">
        <f t="shared" si="35"/>
        <v>7301.2030000000004</v>
      </c>
      <c r="S125" s="96">
        <f>SUM(G125:R125)</f>
        <v>91580.202999999994</v>
      </c>
    </row>
    <row r="126" spans="1:19" ht="26.4" x14ac:dyDescent="0.7">
      <c r="A126" s="157" t="s">
        <v>242</v>
      </c>
      <c r="B126" s="71" t="s">
        <v>167</v>
      </c>
      <c r="C126">
        <v>123</v>
      </c>
      <c r="D126">
        <v>123</v>
      </c>
      <c r="E126">
        <v>122</v>
      </c>
      <c r="F126" s="158" t="s">
        <v>178</v>
      </c>
      <c r="G126" s="96">
        <v>1406</v>
      </c>
      <c r="H126" s="96">
        <v>1072</v>
      </c>
      <c r="I126" s="96">
        <v>1615</v>
      </c>
      <c r="J126" s="96">
        <v>1797</v>
      </c>
      <c r="K126" s="96">
        <v>2491</v>
      </c>
      <c r="L126" s="96">
        <v>1323</v>
      </c>
      <c r="M126" s="96">
        <v>1001</v>
      </c>
      <c r="N126" s="96">
        <v>1684</v>
      </c>
      <c r="O126" s="96">
        <v>2019</v>
      </c>
      <c r="P126" s="96">
        <v>1870</v>
      </c>
      <c r="Q126" s="96">
        <v>1993</v>
      </c>
      <c r="R126" s="96">
        <v>1731</v>
      </c>
      <c r="S126" s="96">
        <f t="shared" si="34"/>
        <v>20002</v>
      </c>
    </row>
    <row r="127" spans="1:19" ht="26.4" x14ac:dyDescent="0.7">
      <c r="A127" s="157" t="s">
        <v>242</v>
      </c>
      <c r="B127" s="71" t="s">
        <v>167</v>
      </c>
      <c r="C127">
        <v>124</v>
      </c>
      <c r="D127">
        <v>124</v>
      </c>
      <c r="E127">
        <v>122</v>
      </c>
      <c r="F127" s="159" t="s">
        <v>179</v>
      </c>
      <c r="G127" s="96">
        <v>2644</v>
      </c>
      <c r="H127" s="96">
        <v>1133</v>
      </c>
      <c r="I127" s="96">
        <v>1436</v>
      </c>
      <c r="J127" s="96">
        <v>1969</v>
      </c>
      <c r="K127" s="96">
        <v>1841</v>
      </c>
      <c r="L127" s="96">
        <v>2227</v>
      </c>
      <c r="M127" s="96">
        <v>1195</v>
      </c>
      <c r="N127" s="96">
        <v>1102</v>
      </c>
      <c r="O127" s="96">
        <v>1388</v>
      </c>
      <c r="P127" s="96">
        <v>2338</v>
      </c>
      <c r="Q127" s="96">
        <v>2283</v>
      </c>
      <c r="R127" s="96">
        <v>2513</v>
      </c>
      <c r="S127" s="96">
        <f t="shared" si="34"/>
        <v>22069</v>
      </c>
    </row>
    <row r="128" spans="1:19" ht="26.4" x14ac:dyDescent="0.7">
      <c r="A128" s="157" t="s">
        <v>242</v>
      </c>
      <c r="B128" s="71" t="s">
        <v>167</v>
      </c>
      <c r="C128">
        <v>125</v>
      </c>
      <c r="D128">
        <v>125</v>
      </c>
      <c r="E128">
        <v>122</v>
      </c>
      <c r="F128" s="159" t="s">
        <v>180</v>
      </c>
      <c r="G128" s="96">
        <v>93</v>
      </c>
      <c r="H128" s="96">
        <v>22</v>
      </c>
      <c r="I128" s="96">
        <v>213</v>
      </c>
      <c r="J128" s="96">
        <v>56</v>
      </c>
      <c r="K128" s="96">
        <v>205</v>
      </c>
      <c r="L128" s="96">
        <v>48</v>
      </c>
      <c r="M128" s="96">
        <v>143</v>
      </c>
      <c r="N128" s="96">
        <v>38</v>
      </c>
      <c r="O128" s="96">
        <v>130</v>
      </c>
      <c r="P128" s="96">
        <v>14</v>
      </c>
      <c r="Q128" s="96">
        <v>101</v>
      </c>
      <c r="R128" s="96">
        <v>0.20300000000000001</v>
      </c>
      <c r="S128" s="96">
        <f t="shared" si="34"/>
        <v>1063.203</v>
      </c>
    </row>
    <row r="129" spans="1:19" ht="26.4" x14ac:dyDescent="0.7">
      <c r="A129" s="157" t="s">
        <v>242</v>
      </c>
      <c r="B129" s="71" t="s">
        <v>167</v>
      </c>
      <c r="C129">
        <v>126</v>
      </c>
      <c r="D129">
        <v>126</v>
      </c>
      <c r="E129">
        <v>122</v>
      </c>
      <c r="F129" s="158" t="s">
        <v>183</v>
      </c>
      <c r="G129" s="96">
        <v>5964</v>
      </c>
      <c r="H129" s="96">
        <v>6906</v>
      </c>
      <c r="I129" s="96">
        <v>4207</v>
      </c>
      <c r="J129" s="96">
        <v>2543</v>
      </c>
      <c r="K129" s="96">
        <v>3493</v>
      </c>
      <c r="L129" s="96">
        <v>1158</v>
      </c>
      <c r="M129" s="96">
        <v>3527</v>
      </c>
      <c r="N129" s="96">
        <v>5800</v>
      </c>
      <c r="O129" s="96">
        <v>3542</v>
      </c>
      <c r="P129" s="96">
        <v>4298</v>
      </c>
      <c r="Q129" s="96">
        <v>921</v>
      </c>
      <c r="R129" s="96">
        <v>2946</v>
      </c>
      <c r="S129" s="96">
        <f t="shared" si="34"/>
        <v>45305</v>
      </c>
    </row>
    <row r="130" spans="1:19" ht="26.4" x14ac:dyDescent="0.7">
      <c r="A130" s="157" t="s">
        <v>242</v>
      </c>
      <c r="B130" s="71" t="s">
        <v>167</v>
      </c>
      <c r="C130">
        <v>127</v>
      </c>
      <c r="D130">
        <v>127</v>
      </c>
      <c r="E130">
        <v>126</v>
      </c>
      <c r="F130" s="160" t="s">
        <v>184</v>
      </c>
      <c r="G130" s="96">
        <v>4948</v>
      </c>
      <c r="H130" s="96">
        <v>5997</v>
      </c>
      <c r="I130" s="96">
        <v>3382</v>
      </c>
      <c r="J130" s="96">
        <v>1887</v>
      </c>
      <c r="K130" s="96">
        <v>2710</v>
      </c>
      <c r="L130" s="96">
        <v>799</v>
      </c>
      <c r="M130" s="96">
        <v>3391</v>
      </c>
      <c r="N130" s="96">
        <v>4835</v>
      </c>
      <c r="O130" s="96">
        <v>3021</v>
      </c>
      <c r="P130" s="96">
        <v>3897</v>
      </c>
      <c r="Q130" s="96">
        <v>881</v>
      </c>
      <c r="R130" s="96">
        <v>2801</v>
      </c>
      <c r="S130" s="96">
        <f t="shared" si="34"/>
        <v>38549</v>
      </c>
    </row>
    <row r="131" spans="1:19" ht="26.4" x14ac:dyDescent="0.7">
      <c r="A131" s="157" t="s">
        <v>242</v>
      </c>
      <c r="B131" s="71" t="s">
        <v>167</v>
      </c>
      <c r="C131">
        <v>128</v>
      </c>
      <c r="D131">
        <v>128</v>
      </c>
      <c r="E131">
        <v>126</v>
      </c>
      <c r="F131" s="160" t="s">
        <v>185</v>
      </c>
      <c r="G131" s="96">
        <v>180</v>
      </c>
      <c r="H131" s="96">
        <v>276</v>
      </c>
      <c r="I131" s="96">
        <v>227</v>
      </c>
      <c r="J131" s="96">
        <v>306</v>
      </c>
      <c r="K131" s="96">
        <v>337</v>
      </c>
      <c r="L131" s="96">
        <v>127</v>
      </c>
      <c r="M131" s="96">
        <v>53</v>
      </c>
      <c r="N131" s="96">
        <v>217</v>
      </c>
      <c r="O131" s="96">
        <v>105</v>
      </c>
      <c r="P131" s="96">
        <v>135</v>
      </c>
      <c r="Q131" s="96">
        <v>10</v>
      </c>
      <c r="R131" s="96">
        <v>105</v>
      </c>
      <c r="S131" s="96">
        <f t="shared" si="34"/>
        <v>2078</v>
      </c>
    </row>
    <row r="132" spans="1:19" ht="26.4" x14ac:dyDescent="0.7">
      <c r="A132" s="157" t="s">
        <v>242</v>
      </c>
      <c r="B132" s="71" t="s">
        <v>167</v>
      </c>
      <c r="C132">
        <v>129</v>
      </c>
      <c r="D132">
        <v>129</v>
      </c>
      <c r="E132">
        <v>126</v>
      </c>
      <c r="F132" s="160" t="s">
        <v>186</v>
      </c>
      <c r="G132" s="96">
        <v>836</v>
      </c>
      <c r="H132" s="96">
        <v>633</v>
      </c>
      <c r="I132" s="96">
        <v>598</v>
      </c>
      <c r="J132" s="96">
        <v>350</v>
      </c>
      <c r="K132" s="96">
        <v>446</v>
      </c>
      <c r="L132" s="96">
        <v>232</v>
      </c>
      <c r="M132" s="96">
        <v>83</v>
      </c>
      <c r="N132" s="96">
        <v>748</v>
      </c>
      <c r="O132" s="96">
        <v>416</v>
      </c>
      <c r="P132" s="96">
        <v>266</v>
      </c>
      <c r="Q132" s="96">
        <v>30</v>
      </c>
      <c r="R132" s="96">
        <v>40</v>
      </c>
      <c r="S132" s="96">
        <f t="shared" si="34"/>
        <v>4678</v>
      </c>
    </row>
    <row r="133" spans="1:19" ht="26.4" x14ac:dyDescent="0.7">
      <c r="A133" s="157" t="s">
        <v>242</v>
      </c>
      <c r="B133" s="71" t="s">
        <v>167</v>
      </c>
      <c r="C133">
        <v>130</v>
      </c>
      <c r="D133">
        <v>130</v>
      </c>
      <c r="E133">
        <v>122</v>
      </c>
      <c r="F133" s="158" t="s">
        <v>181</v>
      </c>
      <c r="G133" s="96">
        <v>33</v>
      </c>
      <c r="H133" s="96">
        <v>115</v>
      </c>
      <c r="I133" s="96">
        <v>336</v>
      </c>
      <c r="J133" s="96">
        <v>68</v>
      </c>
      <c r="K133" s="96">
        <v>624</v>
      </c>
      <c r="L133" s="96">
        <v>234</v>
      </c>
      <c r="M133" s="96">
        <v>124</v>
      </c>
      <c r="N133" s="96">
        <v>299</v>
      </c>
      <c r="O133" s="96">
        <v>597</v>
      </c>
      <c r="P133" s="96">
        <v>509</v>
      </c>
      <c r="Q133" s="96">
        <v>91</v>
      </c>
      <c r="R133" s="96">
        <v>111</v>
      </c>
      <c r="S133" s="96">
        <f t="shared" si="34"/>
        <v>3141</v>
      </c>
    </row>
    <row r="134" spans="1:19" ht="26.4" x14ac:dyDescent="0.7">
      <c r="A134" s="157" t="s">
        <v>242</v>
      </c>
      <c r="B134" s="71" t="s">
        <v>167</v>
      </c>
      <c r="C134">
        <v>131</v>
      </c>
      <c r="D134">
        <v>131</v>
      </c>
      <c r="F134" s="144">
        <v>2018</v>
      </c>
      <c r="G134" s="96">
        <f>SUM(G135:G138)+G142</f>
        <v>7301.02</v>
      </c>
      <c r="H134" s="96">
        <f t="shared" ref="H134:R134" si="36">SUM(H135:H138)+H142</f>
        <v>10088</v>
      </c>
      <c r="I134" s="96">
        <f t="shared" si="36"/>
        <v>9868</v>
      </c>
      <c r="J134" s="96">
        <f t="shared" si="36"/>
        <v>9210</v>
      </c>
      <c r="K134" s="96">
        <f t="shared" si="36"/>
        <v>10130</v>
      </c>
      <c r="L134" s="96">
        <f t="shared" si="36"/>
        <v>6172</v>
      </c>
      <c r="M134" s="96">
        <f t="shared" si="36"/>
        <v>10800</v>
      </c>
      <c r="N134" s="96">
        <f t="shared" si="36"/>
        <v>10456</v>
      </c>
      <c r="O134" s="96">
        <f t="shared" si="36"/>
        <v>9945</v>
      </c>
      <c r="P134" s="96">
        <f t="shared" si="36"/>
        <v>11510</v>
      </c>
      <c r="Q134" s="96">
        <f t="shared" si="36"/>
        <v>8218</v>
      </c>
      <c r="R134" s="96">
        <f t="shared" si="36"/>
        <v>7427</v>
      </c>
      <c r="S134" s="96">
        <f>SUM(G134:R134)</f>
        <v>111125.02</v>
      </c>
    </row>
    <row r="135" spans="1:19" ht="26.4" x14ac:dyDescent="0.7">
      <c r="A135" s="157" t="s">
        <v>242</v>
      </c>
      <c r="B135" s="71" t="s">
        <v>167</v>
      </c>
      <c r="C135">
        <v>132</v>
      </c>
      <c r="D135">
        <v>132</v>
      </c>
      <c r="E135">
        <v>131</v>
      </c>
      <c r="F135" s="158" t="s">
        <v>178</v>
      </c>
      <c r="G135" s="96">
        <v>1731</v>
      </c>
      <c r="H135" s="96">
        <v>2612</v>
      </c>
      <c r="I135" s="96">
        <v>2815</v>
      </c>
      <c r="J135" s="96">
        <v>2508</v>
      </c>
      <c r="K135" s="96">
        <v>3154</v>
      </c>
      <c r="L135" s="96">
        <v>1599</v>
      </c>
      <c r="M135" s="96">
        <v>1636</v>
      </c>
      <c r="N135" s="96">
        <v>2075</v>
      </c>
      <c r="O135" s="96">
        <v>2310</v>
      </c>
      <c r="P135" s="96">
        <v>3091</v>
      </c>
      <c r="Q135" s="96">
        <v>1950</v>
      </c>
      <c r="R135" s="96">
        <v>1535</v>
      </c>
      <c r="S135" s="96">
        <f t="shared" ref="S135:S142" si="37">SUM(G135:R135)</f>
        <v>27016</v>
      </c>
    </row>
    <row r="136" spans="1:19" ht="26.4" x14ac:dyDescent="0.7">
      <c r="A136" s="157" t="s">
        <v>242</v>
      </c>
      <c r="B136" s="71" t="s">
        <v>167</v>
      </c>
      <c r="C136">
        <v>133</v>
      </c>
      <c r="D136">
        <v>133</v>
      </c>
      <c r="E136">
        <v>131</v>
      </c>
      <c r="F136" s="159" t="s">
        <v>179</v>
      </c>
      <c r="G136" s="96">
        <v>2513</v>
      </c>
      <c r="H136" s="96">
        <v>2851</v>
      </c>
      <c r="I136" s="96">
        <v>3725</v>
      </c>
      <c r="J136" s="96">
        <v>2873</v>
      </c>
      <c r="K136" s="96">
        <v>3466</v>
      </c>
      <c r="L136" s="96">
        <v>2895</v>
      </c>
      <c r="M136" s="96">
        <v>4388</v>
      </c>
      <c r="N136" s="96">
        <v>3983</v>
      </c>
      <c r="O136" s="96">
        <v>2630</v>
      </c>
      <c r="P136" s="96">
        <v>4153</v>
      </c>
      <c r="Q136" s="96">
        <v>4861</v>
      </c>
      <c r="R136" s="96">
        <v>4439</v>
      </c>
      <c r="S136" s="96">
        <f t="shared" si="37"/>
        <v>42777</v>
      </c>
    </row>
    <row r="137" spans="1:19" ht="26.4" x14ac:dyDescent="0.7">
      <c r="A137" s="157" t="s">
        <v>242</v>
      </c>
      <c r="B137" s="71" t="s">
        <v>167</v>
      </c>
      <c r="C137">
        <v>134</v>
      </c>
      <c r="D137">
        <v>134</v>
      </c>
      <c r="E137">
        <v>131</v>
      </c>
      <c r="F137" s="159" t="s">
        <v>180</v>
      </c>
      <c r="G137" s="96">
        <v>0.02</v>
      </c>
      <c r="H137" s="96">
        <v>22</v>
      </c>
      <c r="I137" s="96">
        <v>70</v>
      </c>
      <c r="J137" s="96">
        <v>74</v>
      </c>
      <c r="K137" s="96">
        <v>111</v>
      </c>
      <c r="L137" s="96">
        <v>40</v>
      </c>
      <c r="M137" s="96">
        <v>95</v>
      </c>
      <c r="N137" s="96">
        <v>51</v>
      </c>
      <c r="O137" s="96">
        <v>48</v>
      </c>
      <c r="P137" s="96">
        <v>69</v>
      </c>
      <c r="Q137" s="96">
        <v>55</v>
      </c>
      <c r="R137" s="96">
        <v>45</v>
      </c>
      <c r="S137" s="96">
        <f t="shared" si="37"/>
        <v>680.02</v>
      </c>
    </row>
    <row r="138" spans="1:19" ht="26.4" x14ac:dyDescent="0.7">
      <c r="A138" s="157" t="s">
        <v>242</v>
      </c>
      <c r="B138" s="71" t="s">
        <v>167</v>
      </c>
      <c r="C138">
        <v>135</v>
      </c>
      <c r="D138">
        <v>135</v>
      </c>
      <c r="E138">
        <v>131</v>
      </c>
      <c r="F138" s="158" t="s">
        <v>183</v>
      </c>
      <c r="G138" s="96">
        <v>2946</v>
      </c>
      <c r="H138" s="96">
        <v>4301</v>
      </c>
      <c r="I138" s="96">
        <v>3048</v>
      </c>
      <c r="J138" s="96">
        <v>3245</v>
      </c>
      <c r="K138" s="96">
        <v>2795</v>
      </c>
      <c r="L138" s="96">
        <v>878</v>
      </c>
      <c r="M138" s="96">
        <v>4144</v>
      </c>
      <c r="N138" s="96">
        <v>3730</v>
      </c>
      <c r="O138" s="96">
        <v>4118</v>
      </c>
      <c r="P138" s="96">
        <v>3360</v>
      </c>
      <c r="Q138" s="96">
        <v>999</v>
      </c>
      <c r="R138" s="96">
        <v>1255</v>
      </c>
      <c r="S138" s="96">
        <f t="shared" si="37"/>
        <v>34819</v>
      </c>
    </row>
    <row r="139" spans="1:19" ht="26.4" x14ac:dyDescent="0.7">
      <c r="A139" s="157" t="s">
        <v>242</v>
      </c>
      <c r="B139" s="71" t="s">
        <v>167</v>
      </c>
      <c r="C139">
        <v>136</v>
      </c>
      <c r="D139">
        <v>136</v>
      </c>
      <c r="E139">
        <v>135</v>
      </c>
      <c r="F139" s="160" t="s">
        <v>184</v>
      </c>
      <c r="G139" s="96">
        <v>2801</v>
      </c>
      <c r="H139" s="96">
        <v>3345</v>
      </c>
      <c r="I139" s="96">
        <v>2579</v>
      </c>
      <c r="J139" s="96">
        <v>2476</v>
      </c>
      <c r="K139" s="96">
        <v>2176</v>
      </c>
      <c r="L139" s="96">
        <v>662</v>
      </c>
      <c r="M139" s="96">
        <v>4059</v>
      </c>
      <c r="N139" s="96">
        <v>3318</v>
      </c>
      <c r="O139" s="96">
        <v>3778</v>
      </c>
      <c r="P139" s="96">
        <v>2858</v>
      </c>
      <c r="Q139" s="96">
        <v>876</v>
      </c>
      <c r="R139" s="96">
        <v>1046</v>
      </c>
      <c r="S139" s="96">
        <f t="shared" si="37"/>
        <v>29974</v>
      </c>
    </row>
    <row r="140" spans="1:19" ht="26.4" x14ac:dyDescent="0.7">
      <c r="A140" s="157" t="s">
        <v>242</v>
      </c>
      <c r="B140" s="71" t="s">
        <v>167</v>
      </c>
      <c r="C140">
        <v>137</v>
      </c>
      <c r="D140">
        <v>137</v>
      </c>
      <c r="E140">
        <v>135</v>
      </c>
      <c r="F140" s="160" t="s">
        <v>185</v>
      </c>
      <c r="G140" s="96">
        <v>105</v>
      </c>
      <c r="H140" s="96">
        <v>472</v>
      </c>
      <c r="I140" s="96">
        <v>211</v>
      </c>
      <c r="J140" s="96">
        <v>373</v>
      </c>
      <c r="K140" s="96">
        <v>367</v>
      </c>
      <c r="L140" s="96">
        <v>160</v>
      </c>
      <c r="M140" s="96">
        <v>30</v>
      </c>
      <c r="N140" s="96">
        <v>106</v>
      </c>
      <c r="O140" s="96">
        <v>105</v>
      </c>
      <c r="P140" s="96">
        <v>159</v>
      </c>
      <c r="Q140" s="96">
        <v>29</v>
      </c>
      <c r="R140" s="96">
        <v>13</v>
      </c>
      <c r="S140" s="96">
        <f t="shared" si="37"/>
        <v>2130</v>
      </c>
    </row>
    <row r="141" spans="1:19" ht="26.4" x14ac:dyDescent="0.7">
      <c r="A141" s="157" t="s">
        <v>242</v>
      </c>
      <c r="B141" s="71" t="s">
        <v>167</v>
      </c>
      <c r="C141">
        <v>138</v>
      </c>
      <c r="D141">
        <v>138</v>
      </c>
      <c r="E141">
        <v>135</v>
      </c>
      <c r="F141" s="160" t="s">
        <v>186</v>
      </c>
      <c r="G141" s="96">
        <v>40</v>
      </c>
      <c r="H141" s="96">
        <v>484</v>
      </c>
      <c r="I141" s="96">
        <v>258</v>
      </c>
      <c r="J141" s="96">
        <v>396</v>
      </c>
      <c r="K141" s="96">
        <v>252</v>
      </c>
      <c r="L141" s="96">
        <v>56</v>
      </c>
      <c r="M141" s="96">
        <v>55</v>
      </c>
      <c r="N141" s="96">
        <v>306</v>
      </c>
      <c r="O141" s="96">
        <v>235</v>
      </c>
      <c r="P141" s="96">
        <v>343</v>
      </c>
      <c r="Q141" s="96">
        <v>94</v>
      </c>
      <c r="R141" s="96">
        <v>196</v>
      </c>
      <c r="S141" s="96">
        <f t="shared" si="37"/>
        <v>2715</v>
      </c>
    </row>
    <row r="142" spans="1:19" ht="26.4" x14ac:dyDescent="0.7">
      <c r="A142" s="157" t="s">
        <v>242</v>
      </c>
      <c r="B142" s="71" t="s">
        <v>167</v>
      </c>
      <c r="C142">
        <v>139</v>
      </c>
      <c r="D142">
        <v>139</v>
      </c>
      <c r="E142">
        <v>131</v>
      </c>
      <c r="F142" s="158" t="s">
        <v>181</v>
      </c>
      <c r="G142" s="96">
        <v>111</v>
      </c>
      <c r="H142" s="96">
        <v>302</v>
      </c>
      <c r="I142" s="96">
        <v>210</v>
      </c>
      <c r="J142" s="96">
        <v>510</v>
      </c>
      <c r="K142" s="96">
        <v>604</v>
      </c>
      <c r="L142" s="96">
        <v>760</v>
      </c>
      <c r="M142" s="96">
        <v>537</v>
      </c>
      <c r="N142" s="96">
        <v>617</v>
      </c>
      <c r="O142" s="96">
        <v>839</v>
      </c>
      <c r="P142" s="96">
        <v>837</v>
      </c>
      <c r="Q142" s="96">
        <v>353</v>
      </c>
      <c r="R142" s="96">
        <v>153</v>
      </c>
      <c r="S142" s="96">
        <f t="shared" si="37"/>
        <v>5833</v>
      </c>
    </row>
    <row r="143" spans="1:19" ht="26.4" x14ac:dyDescent="0.7">
      <c r="A143" s="157" t="s">
        <v>242</v>
      </c>
      <c r="B143" s="71" t="s">
        <v>167</v>
      </c>
      <c r="C143">
        <v>140</v>
      </c>
      <c r="D143">
        <v>140</v>
      </c>
      <c r="F143" s="144">
        <v>2019</v>
      </c>
      <c r="G143" s="96">
        <f>SUM(G144:G147)+G151</f>
        <v>7600</v>
      </c>
      <c r="H143" s="96">
        <f t="shared" ref="H143:R143" si="38">SUM(H144:H147)+H151</f>
        <v>9871</v>
      </c>
      <c r="I143" s="96">
        <f t="shared" si="38"/>
        <v>9861</v>
      </c>
      <c r="J143" s="96">
        <f t="shared" si="38"/>
        <v>12615</v>
      </c>
      <c r="K143" s="96">
        <f t="shared" si="38"/>
        <v>12643</v>
      </c>
      <c r="L143" s="96">
        <f t="shared" si="38"/>
        <v>7901</v>
      </c>
      <c r="M143" s="96">
        <f t="shared" si="38"/>
        <v>9715</v>
      </c>
      <c r="N143" s="96">
        <f t="shared" si="38"/>
        <v>6448</v>
      </c>
      <c r="O143" s="96">
        <f t="shared" si="38"/>
        <v>10466</v>
      </c>
      <c r="P143" s="96">
        <f t="shared" si="38"/>
        <v>12228</v>
      </c>
      <c r="Q143" s="96">
        <f t="shared" si="38"/>
        <v>11509</v>
      </c>
      <c r="R143" s="96">
        <f t="shared" si="38"/>
        <v>11985</v>
      </c>
      <c r="S143" s="96">
        <f>SUM(G143:R143)</f>
        <v>122842</v>
      </c>
    </row>
    <row r="144" spans="1:19" ht="26.4" x14ac:dyDescent="0.7">
      <c r="A144" s="157" t="s">
        <v>242</v>
      </c>
      <c r="B144" s="71" t="s">
        <v>167</v>
      </c>
      <c r="C144">
        <v>141</v>
      </c>
      <c r="D144">
        <v>141</v>
      </c>
      <c r="E144">
        <v>140</v>
      </c>
      <c r="F144" s="158" t="s">
        <v>178</v>
      </c>
      <c r="G144" s="96">
        <v>1713</v>
      </c>
      <c r="H144" s="96">
        <v>1519</v>
      </c>
      <c r="I144" s="96">
        <v>1677</v>
      </c>
      <c r="J144" s="96">
        <v>2080</v>
      </c>
      <c r="K144" s="96">
        <v>2632</v>
      </c>
      <c r="L144" s="96">
        <v>2010</v>
      </c>
      <c r="M144" s="96">
        <v>1808</v>
      </c>
      <c r="N144" s="96">
        <v>1294</v>
      </c>
      <c r="O144" s="96">
        <v>1353</v>
      </c>
      <c r="P144" s="96">
        <v>1773</v>
      </c>
      <c r="Q144" s="96">
        <v>1753</v>
      </c>
      <c r="R144" s="96">
        <v>1155</v>
      </c>
      <c r="S144" s="96">
        <f t="shared" ref="S144:S151" si="39">SUM(G144:R144)</f>
        <v>20767</v>
      </c>
    </row>
    <row r="145" spans="1:19" ht="26.4" x14ac:dyDescent="0.7">
      <c r="A145" s="157" t="s">
        <v>242</v>
      </c>
      <c r="B145" s="71" t="s">
        <v>167</v>
      </c>
      <c r="C145">
        <v>142</v>
      </c>
      <c r="D145">
        <v>142</v>
      </c>
      <c r="E145">
        <v>140</v>
      </c>
      <c r="F145" s="159" t="s">
        <v>179</v>
      </c>
      <c r="G145" s="96">
        <v>3190</v>
      </c>
      <c r="H145" s="96">
        <v>3001</v>
      </c>
      <c r="I145" s="96">
        <v>3953</v>
      </c>
      <c r="J145" s="96">
        <v>3483</v>
      </c>
      <c r="K145" s="96">
        <v>3032</v>
      </c>
      <c r="L145" s="96">
        <v>3258</v>
      </c>
      <c r="M145" s="96">
        <v>3432</v>
      </c>
      <c r="N145" s="96">
        <v>1676</v>
      </c>
      <c r="O145" s="96">
        <v>2451</v>
      </c>
      <c r="P145" s="96">
        <v>3944</v>
      </c>
      <c r="Q145" s="96">
        <v>4452</v>
      </c>
      <c r="R145" s="96">
        <v>4130</v>
      </c>
      <c r="S145" s="96">
        <f t="shared" si="39"/>
        <v>40002</v>
      </c>
    </row>
    <row r="146" spans="1:19" ht="26.4" x14ac:dyDescent="0.7">
      <c r="A146" s="157" t="s">
        <v>242</v>
      </c>
      <c r="B146" s="71" t="s">
        <v>167</v>
      </c>
      <c r="C146">
        <v>143</v>
      </c>
      <c r="D146">
        <v>143</v>
      </c>
      <c r="E146">
        <v>140</v>
      </c>
      <c r="F146" s="159" t="s">
        <v>180</v>
      </c>
      <c r="G146" s="96">
        <v>106</v>
      </c>
      <c r="H146" s="96">
        <v>71</v>
      </c>
      <c r="I146" s="96">
        <v>120</v>
      </c>
      <c r="J146" s="96">
        <v>58</v>
      </c>
      <c r="K146" s="96">
        <v>190</v>
      </c>
      <c r="L146" s="96">
        <v>56</v>
      </c>
      <c r="M146" s="96">
        <v>115</v>
      </c>
      <c r="N146" s="96">
        <v>80</v>
      </c>
      <c r="O146" s="96">
        <v>49</v>
      </c>
      <c r="P146" s="96">
        <v>59</v>
      </c>
      <c r="Q146" s="96">
        <v>134</v>
      </c>
      <c r="R146" s="96">
        <v>119</v>
      </c>
      <c r="S146" s="96">
        <f t="shared" si="39"/>
        <v>1157</v>
      </c>
    </row>
    <row r="147" spans="1:19" ht="26.4" x14ac:dyDescent="0.7">
      <c r="A147" s="157" t="s">
        <v>242</v>
      </c>
      <c r="B147" s="71" t="s">
        <v>167</v>
      </c>
      <c r="C147">
        <v>144</v>
      </c>
      <c r="D147">
        <v>144</v>
      </c>
      <c r="E147">
        <v>140</v>
      </c>
      <c r="F147" s="158" t="s">
        <v>183</v>
      </c>
      <c r="G147" s="96">
        <f>G148+G149+G150</f>
        <v>2419</v>
      </c>
      <c r="H147" s="96">
        <f t="shared" ref="H147:R147" si="40">H148+H149+H150</f>
        <v>4761</v>
      </c>
      <c r="I147" s="96">
        <f t="shared" si="40"/>
        <v>3534</v>
      </c>
      <c r="J147" s="96">
        <f t="shared" si="40"/>
        <v>6236</v>
      </c>
      <c r="K147" s="96">
        <f t="shared" si="40"/>
        <v>5541</v>
      </c>
      <c r="L147" s="96">
        <f t="shared" si="40"/>
        <v>1303</v>
      </c>
      <c r="M147" s="96">
        <f t="shared" si="40"/>
        <v>3542</v>
      </c>
      <c r="N147" s="96">
        <f t="shared" si="40"/>
        <v>2775</v>
      </c>
      <c r="O147" s="96">
        <f t="shared" si="40"/>
        <v>5938</v>
      </c>
      <c r="P147" s="96">
        <f t="shared" si="40"/>
        <v>5830</v>
      </c>
      <c r="Q147" s="96">
        <f t="shared" si="40"/>
        <v>4662</v>
      </c>
      <c r="R147" s="96">
        <f t="shared" si="40"/>
        <v>6423</v>
      </c>
      <c r="S147" s="96">
        <f t="shared" si="39"/>
        <v>52964</v>
      </c>
    </row>
    <row r="148" spans="1:19" ht="26.4" x14ac:dyDescent="0.7">
      <c r="A148" s="157" t="s">
        <v>242</v>
      </c>
      <c r="B148" s="71" t="s">
        <v>167</v>
      </c>
      <c r="C148">
        <v>145</v>
      </c>
      <c r="D148">
        <v>145</v>
      </c>
      <c r="E148">
        <v>144</v>
      </c>
      <c r="F148" s="160" t="s">
        <v>184</v>
      </c>
      <c r="G148" s="96">
        <v>1789</v>
      </c>
      <c r="H148" s="96">
        <v>3763</v>
      </c>
      <c r="I148" s="96">
        <v>2011</v>
      </c>
      <c r="J148" s="96">
        <v>4549</v>
      </c>
      <c r="K148" s="96">
        <v>4439</v>
      </c>
      <c r="L148" s="96">
        <v>1043</v>
      </c>
      <c r="M148" s="96">
        <v>2304</v>
      </c>
      <c r="N148" s="96">
        <v>2385</v>
      </c>
      <c r="O148" s="96">
        <v>5208</v>
      </c>
      <c r="P148" s="96">
        <v>3655</v>
      </c>
      <c r="Q148" s="96">
        <v>2422</v>
      </c>
      <c r="R148" s="96">
        <v>5258</v>
      </c>
      <c r="S148" s="96">
        <f t="shared" si="39"/>
        <v>38826</v>
      </c>
    </row>
    <row r="149" spans="1:19" ht="26.4" x14ac:dyDescent="0.7">
      <c r="A149" s="157" t="s">
        <v>242</v>
      </c>
      <c r="B149" s="71" t="s">
        <v>167</v>
      </c>
      <c r="C149">
        <v>146</v>
      </c>
      <c r="D149">
        <v>146</v>
      </c>
      <c r="E149">
        <v>144</v>
      </c>
      <c r="F149" s="160" t="s">
        <v>185</v>
      </c>
      <c r="G149" s="96">
        <v>57</v>
      </c>
      <c r="H149" s="96">
        <v>134</v>
      </c>
      <c r="I149" s="96">
        <v>531</v>
      </c>
      <c r="J149" s="96">
        <v>513</v>
      </c>
      <c r="K149" s="96">
        <v>300</v>
      </c>
      <c r="L149" s="96">
        <v>68</v>
      </c>
      <c r="M149" s="96">
        <v>753</v>
      </c>
      <c r="N149" s="96">
        <v>193</v>
      </c>
      <c r="O149" s="96">
        <v>162</v>
      </c>
      <c r="P149" s="96">
        <v>294</v>
      </c>
      <c r="Q149" s="96">
        <v>703</v>
      </c>
      <c r="R149" s="96">
        <v>270</v>
      </c>
      <c r="S149" s="96">
        <f t="shared" si="39"/>
        <v>3978</v>
      </c>
    </row>
    <row r="150" spans="1:19" ht="26.4" x14ac:dyDescent="0.7">
      <c r="A150" s="157" t="s">
        <v>242</v>
      </c>
      <c r="B150" s="71" t="s">
        <v>167</v>
      </c>
      <c r="C150">
        <v>147</v>
      </c>
      <c r="D150">
        <v>147</v>
      </c>
      <c r="E150">
        <v>144</v>
      </c>
      <c r="F150" s="160" t="s">
        <v>186</v>
      </c>
      <c r="G150" s="96">
        <v>573</v>
      </c>
      <c r="H150" s="96">
        <v>864</v>
      </c>
      <c r="I150" s="96">
        <v>992</v>
      </c>
      <c r="J150" s="96">
        <v>1174</v>
      </c>
      <c r="K150" s="96">
        <v>802</v>
      </c>
      <c r="L150" s="96">
        <v>192</v>
      </c>
      <c r="M150" s="96">
        <v>485</v>
      </c>
      <c r="N150" s="96">
        <v>197</v>
      </c>
      <c r="O150" s="96">
        <v>568</v>
      </c>
      <c r="P150" s="96">
        <v>1881</v>
      </c>
      <c r="Q150" s="96">
        <v>1537</v>
      </c>
      <c r="R150" s="96">
        <v>895</v>
      </c>
      <c r="S150" s="96">
        <f t="shared" si="39"/>
        <v>10160</v>
      </c>
    </row>
    <row r="151" spans="1:19" ht="26.4" x14ac:dyDescent="0.7">
      <c r="A151" s="157" t="s">
        <v>242</v>
      </c>
      <c r="B151" s="71" t="s">
        <v>167</v>
      </c>
      <c r="C151">
        <v>148</v>
      </c>
      <c r="D151">
        <v>148</v>
      </c>
      <c r="E151">
        <v>140</v>
      </c>
      <c r="F151" s="160" t="s">
        <v>181</v>
      </c>
      <c r="G151" s="96">
        <v>172</v>
      </c>
      <c r="H151" s="96">
        <v>519</v>
      </c>
      <c r="I151" s="96">
        <v>577</v>
      </c>
      <c r="J151" s="96">
        <v>758</v>
      </c>
      <c r="K151" s="96">
        <v>1248</v>
      </c>
      <c r="L151" s="96">
        <v>1274</v>
      </c>
      <c r="M151" s="96">
        <v>818</v>
      </c>
      <c r="N151" s="96">
        <v>623</v>
      </c>
      <c r="O151" s="96">
        <v>675</v>
      </c>
      <c r="P151" s="96">
        <v>622</v>
      </c>
      <c r="Q151" s="96">
        <v>508</v>
      </c>
      <c r="R151" s="96">
        <v>158</v>
      </c>
      <c r="S151" s="96">
        <f t="shared" si="39"/>
        <v>7952</v>
      </c>
    </row>
    <row r="152" spans="1:19" ht="26.4" x14ac:dyDescent="0.7">
      <c r="A152" s="157" t="s">
        <v>242</v>
      </c>
      <c r="B152" s="71" t="s">
        <v>167</v>
      </c>
      <c r="C152">
        <v>149</v>
      </c>
      <c r="D152">
        <v>149</v>
      </c>
      <c r="F152" s="144">
        <v>2020</v>
      </c>
      <c r="G152" s="96">
        <f>SUM(G153:G156)+G160</f>
        <v>11012</v>
      </c>
      <c r="H152" s="96">
        <f t="shared" ref="H152:R152" si="41">SUM(H153:H156)+H160</f>
        <v>10873</v>
      </c>
      <c r="I152" s="96">
        <f t="shared" si="41"/>
        <v>10830</v>
      </c>
      <c r="J152" s="96">
        <f t="shared" si="41"/>
        <v>7247</v>
      </c>
      <c r="K152" s="96">
        <f t="shared" si="41"/>
        <v>9324</v>
      </c>
      <c r="L152" s="96">
        <f t="shared" si="41"/>
        <v>12281</v>
      </c>
      <c r="M152" s="96">
        <f t="shared" si="41"/>
        <v>12033</v>
      </c>
      <c r="N152" s="96">
        <f t="shared" si="41"/>
        <v>10386</v>
      </c>
      <c r="O152" s="96">
        <f t="shared" si="41"/>
        <v>9600</v>
      </c>
      <c r="P152" s="96">
        <f t="shared" si="41"/>
        <v>11733</v>
      </c>
      <c r="Q152" s="96">
        <f t="shared" si="41"/>
        <v>18212</v>
      </c>
      <c r="R152" s="96">
        <f t="shared" si="41"/>
        <v>13356</v>
      </c>
      <c r="S152" s="96">
        <f>SUM(G152:R152)</f>
        <v>136887</v>
      </c>
    </row>
    <row r="153" spans="1:19" ht="26.4" x14ac:dyDescent="0.7">
      <c r="A153" s="157" t="s">
        <v>242</v>
      </c>
      <c r="B153" s="71" t="s">
        <v>167</v>
      </c>
      <c r="C153">
        <v>150</v>
      </c>
      <c r="D153">
        <v>150</v>
      </c>
      <c r="E153">
        <v>149</v>
      </c>
      <c r="F153" s="158" t="s">
        <v>178</v>
      </c>
      <c r="G153" s="96">
        <v>1566</v>
      </c>
      <c r="H153" s="96">
        <v>1623</v>
      </c>
      <c r="I153" s="96">
        <v>2152</v>
      </c>
      <c r="J153" s="96">
        <v>1459</v>
      </c>
      <c r="K153" s="96">
        <v>2796</v>
      </c>
      <c r="L153" s="96">
        <v>2488</v>
      </c>
      <c r="M153" s="96">
        <v>1513</v>
      </c>
      <c r="N153" s="96">
        <v>1141</v>
      </c>
      <c r="O153" s="96">
        <v>1507</v>
      </c>
      <c r="P153" s="96">
        <v>1759</v>
      </c>
      <c r="Q153" s="96">
        <v>1483</v>
      </c>
      <c r="R153" s="96">
        <v>1690</v>
      </c>
      <c r="S153" s="96">
        <f t="shared" ref="S153:S160" si="42">SUM(G153:R153)</f>
        <v>21177</v>
      </c>
    </row>
    <row r="154" spans="1:19" ht="26.4" x14ac:dyDescent="0.7">
      <c r="A154" s="157" t="s">
        <v>242</v>
      </c>
      <c r="B154" s="71" t="s">
        <v>167</v>
      </c>
      <c r="C154">
        <v>151</v>
      </c>
      <c r="D154">
        <v>151</v>
      </c>
      <c r="E154">
        <v>149</v>
      </c>
      <c r="F154" s="159" t="s">
        <v>179</v>
      </c>
      <c r="G154" s="96">
        <v>4412</v>
      </c>
      <c r="H154" s="96">
        <v>4429</v>
      </c>
      <c r="I154" s="96">
        <v>4695</v>
      </c>
      <c r="J154" s="96">
        <v>3940</v>
      </c>
      <c r="K154" s="96">
        <v>4346</v>
      </c>
      <c r="L154" s="96">
        <v>4739</v>
      </c>
      <c r="M154" s="96">
        <v>7493</v>
      </c>
      <c r="N154" s="96">
        <v>4108</v>
      </c>
      <c r="O154" s="96">
        <v>3182</v>
      </c>
      <c r="P154" s="96">
        <v>4348</v>
      </c>
      <c r="Q154" s="96">
        <v>14399</v>
      </c>
      <c r="R154" s="96">
        <v>9628</v>
      </c>
      <c r="S154" s="96">
        <f t="shared" si="42"/>
        <v>69719</v>
      </c>
    </row>
    <row r="155" spans="1:19" ht="26.4" x14ac:dyDescent="0.7">
      <c r="A155" s="157" t="s">
        <v>242</v>
      </c>
      <c r="B155" s="71" t="s">
        <v>167</v>
      </c>
      <c r="C155">
        <v>152</v>
      </c>
      <c r="D155">
        <v>152</v>
      </c>
      <c r="E155">
        <v>149</v>
      </c>
      <c r="F155" s="159" t="s">
        <v>180</v>
      </c>
      <c r="G155" s="96">
        <v>14</v>
      </c>
      <c r="H155" s="96">
        <v>123</v>
      </c>
      <c r="I155" s="96">
        <v>33</v>
      </c>
      <c r="J155" s="96">
        <v>44</v>
      </c>
      <c r="K155" s="96">
        <v>43</v>
      </c>
      <c r="L155" s="96">
        <v>33</v>
      </c>
      <c r="M155" s="96">
        <v>97</v>
      </c>
      <c r="N155" s="96">
        <v>55</v>
      </c>
      <c r="O155" s="96">
        <v>109</v>
      </c>
      <c r="P155" s="96">
        <v>34</v>
      </c>
      <c r="Q155" s="96">
        <v>88</v>
      </c>
      <c r="R155" s="96">
        <v>46</v>
      </c>
      <c r="S155" s="96">
        <f t="shared" si="42"/>
        <v>719</v>
      </c>
    </row>
    <row r="156" spans="1:19" ht="26.4" x14ac:dyDescent="0.7">
      <c r="A156" s="157" t="s">
        <v>242</v>
      </c>
      <c r="B156" s="71" t="s">
        <v>167</v>
      </c>
      <c r="C156">
        <v>153</v>
      </c>
      <c r="D156">
        <v>153</v>
      </c>
      <c r="E156">
        <v>149</v>
      </c>
      <c r="F156" s="158" t="s">
        <v>183</v>
      </c>
      <c r="G156" s="96">
        <v>4846</v>
      </c>
      <c r="H156" s="96">
        <v>4428</v>
      </c>
      <c r="I156" s="96">
        <v>3495</v>
      </c>
      <c r="J156" s="96">
        <v>1381</v>
      </c>
      <c r="K156" s="96">
        <v>1616</v>
      </c>
      <c r="L156" s="96">
        <v>3922</v>
      </c>
      <c r="M156" s="96">
        <v>2497</v>
      </c>
      <c r="N156" s="96">
        <v>4921</v>
      </c>
      <c r="O156" s="96">
        <v>4416</v>
      </c>
      <c r="P156" s="96">
        <v>5327</v>
      </c>
      <c r="Q156" s="96">
        <v>1825</v>
      </c>
      <c r="R156" s="96">
        <v>1900</v>
      </c>
      <c r="S156" s="96">
        <f t="shared" si="42"/>
        <v>40574</v>
      </c>
    </row>
    <row r="157" spans="1:19" ht="26.4" x14ac:dyDescent="0.7">
      <c r="A157" s="157" t="s">
        <v>242</v>
      </c>
      <c r="B157" s="71" t="s">
        <v>167</v>
      </c>
      <c r="C157">
        <v>154</v>
      </c>
      <c r="D157">
        <v>154</v>
      </c>
      <c r="E157">
        <v>153</v>
      </c>
      <c r="F157" s="160" t="s">
        <v>184</v>
      </c>
      <c r="G157" s="96">
        <v>3722</v>
      </c>
      <c r="H157" s="96">
        <v>2774</v>
      </c>
      <c r="I157" s="96">
        <v>2797</v>
      </c>
      <c r="J157" s="96">
        <v>852</v>
      </c>
      <c r="K157" s="96">
        <v>728</v>
      </c>
      <c r="L157" s="96">
        <v>3195</v>
      </c>
      <c r="M157" s="96">
        <v>2015</v>
      </c>
      <c r="N157" s="96">
        <v>4583</v>
      </c>
      <c r="O157" s="96">
        <v>4008</v>
      </c>
      <c r="P157" s="96">
        <v>4186</v>
      </c>
      <c r="Q157" s="96">
        <v>853</v>
      </c>
      <c r="R157" s="96">
        <v>1451</v>
      </c>
      <c r="S157" s="96">
        <f t="shared" si="42"/>
        <v>31164</v>
      </c>
    </row>
    <row r="158" spans="1:19" ht="26.4" x14ac:dyDescent="0.7">
      <c r="A158" s="157" t="s">
        <v>242</v>
      </c>
      <c r="B158" s="71" t="s">
        <v>167</v>
      </c>
      <c r="C158">
        <v>155</v>
      </c>
      <c r="D158">
        <v>155</v>
      </c>
      <c r="E158">
        <v>153</v>
      </c>
      <c r="F158" s="160" t="s">
        <v>185</v>
      </c>
      <c r="G158" s="96">
        <v>158</v>
      </c>
      <c r="H158" s="96">
        <v>760</v>
      </c>
      <c r="I158" s="96">
        <v>235</v>
      </c>
      <c r="J158" s="96">
        <v>409</v>
      </c>
      <c r="K158" s="96">
        <v>751</v>
      </c>
      <c r="L158" s="96">
        <v>537</v>
      </c>
      <c r="M158" s="96">
        <v>280</v>
      </c>
      <c r="N158" s="96">
        <v>128</v>
      </c>
      <c r="O158" s="96">
        <v>109</v>
      </c>
      <c r="P158" s="96">
        <v>429</v>
      </c>
      <c r="Q158" s="96">
        <v>719</v>
      </c>
      <c r="R158" s="96">
        <v>201</v>
      </c>
      <c r="S158" s="96">
        <f t="shared" si="42"/>
        <v>4716</v>
      </c>
    </row>
    <row r="159" spans="1:19" ht="26.4" x14ac:dyDescent="0.7">
      <c r="A159" s="157" t="s">
        <v>242</v>
      </c>
      <c r="B159" s="71" t="s">
        <v>167</v>
      </c>
      <c r="C159">
        <v>156</v>
      </c>
      <c r="D159">
        <v>156</v>
      </c>
      <c r="E159">
        <v>153</v>
      </c>
      <c r="F159" s="160" t="s">
        <v>186</v>
      </c>
      <c r="G159" s="96">
        <v>3012.6582278481014</v>
      </c>
      <c r="H159" s="96">
        <v>2959.2105263157891</v>
      </c>
      <c r="I159" s="96">
        <v>2859.5744680851067</v>
      </c>
      <c r="J159" s="96">
        <v>2941.3202933985331</v>
      </c>
      <c r="K159" s="96">
        <v>2936.0852197070571</v>
      </c>
      <c r="L159" s="96">
        <v>3027.9329608938547</v>
      </c>
      <c r="M159" s="96">
        <v>3146.4285714285716</v>
      </c>
      <c r="N159" s="96">
        <v>3500</v>
      </c>
      <c r="O159" s="96">
        <v>3385.3211009174311</v>
      </c>
      <c r="P159" s="96">
        <v>3053.6130536130536</v>
      </c>
      <c r="Q159" s="96">
        <v>2692.6286509040333</v>
      </c>
      <c r="R159" s="96">
        <v>2935.3233830845775</v>
      </c>
      <c r="S159" s="96">
        <f t="shared" si="42"/>
        <v>36450.096456196108</v>
      </c>
    </row>
    <row r="160" spans="1:19" ht="26.4" x14ac:dyDescent="0.7">
      <c r="A160" s="157" t="s">
        <v>242</v>
      </c>
      <c r="B160" s="71" t="s">
        <v>167</v>
      </c>
      <c r="C160">
        <v>157</v>
      </c>
      <c r="D160">
        <v>157</v>
      </c>
      <c r="E160">
        <v>149</v>
      </c>
      <c r="F160" s="160" t="s">
        <v>181</v>
      </c>
      <c r="G160" s="96">
        <v>174</v>
      </c>
      <c r="H160" s="96">
        <v>270</v>
      </c>
      <c r="I160" s="96">
        <v>455</v>
      </c>
      <c r="J160" s="96">
        <v>423</v>
      </c>
      <c r="K160" s="96">
        <v>523</v>
      </c>
      <c r="L160" s="96">
        <v>1099</v>
      </c>
      <c r="M160" s="96">
        <v>433</v>
      </c>
      <c r="N160" s="96">
        <v>161</v>
      </c>
      <c r="O160" s="96">
        <v>386</v>
      </c>
      <c r="P160" s="96">
        <v>265</v>
      </c>
      <c r="Q160" s="96">
        <v>417</v>
      </c>
      <c r="R160" s="96">
        <v>92</v>
      </c>
      <c r="S160" s="96">
        <f t="shared" si="42"/>
        <v>4698</v>
      </c>
    </row>
    <row r="161" spans="1:19" ht="26.4" x14ac:dyDescent="0.7">
      <c r="A161" s="157" t="s">
        <v>242</v>
      </c>
      <c r="B161" s="71" t="s">
        <v>167</v>
      </c>
      <c r="C161">
        <v>158</v>
      </c>
      <c r="D161">
        <v>158</v>
      </c>
      <c r="F161" s="160">
        <v>2021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</row>
    <row r="162" spans="1:19" ht="26.4" x14ac:dyDescent="0.7">
      <c r="A162" s="157" t="s">
        <v>242</v>
      </c>
      <c r="B162" s="71" t="s">
        <v>167</v>
      </c>
      <c r="C162">
        <v>159</v>
      </c>
      <c r="D162">
        <v>159</v>
      </c>
      <c r="E162">
        <v>158</v>
      </c>
      <c r="F162" s="158" t="s">
        <v>178</v>
      </c>
      <c r="G162" s="96">
        <v>2036</v>
      </c>
      <c r="H162" s="96">
        <v>2521</v>
      </c>
      <c r="I162" s="96">
        <v>2898</v>
      </c>
      <c r="J162" s="96">
        <v>2701</v>
      </c>
      <c r="K162" s="96">
        <v>2391</v>
      </c>
      <c r="L162" s="96">
        <v>2336</v>
      </c>
      <c r="M162" s="96">
        <v>1262</v>
      </c>
      <c r="N162" s="96">
        <v>2188</v>
      </c>
      <c r="O162" s="96">
        <v>2801</v>
      </c>
      <c r="P162" s="96">
        <v>2459</v>
      </c>
      <c r="Q162" s="96">
        <v>2051</v>
      </c>
      <c r="R162" s="96">
        <v>1743</v>
      </c>
      <c r="S162" s="96">
        <v>27393</v>
      </c>
    </row>
    <row r="163" spans="1:19" ht="26.4" x14ac:dyDescent="0.7">
      <c r="A163" s="157" t="s">
        <v>242</v>
      </c>
      <c r="B163" s="71" t="s">
        <v>167</v>
      </c>
      <c r="C163">
        <v>160</v>
      </c>
      <c r="D163">
        <v>160</v>
      </c>
      <c r="E163">
        <v>158</v>
      </c>
      <c r="F163" s="159" t="s">
        <v>179</v>
      </c>
      <c r="G163" s="96">
        <v>9060</v>
      </c>
      <c r="H163" s="96">
        <v>6213</v>
      </c>
      <c r="I163" s="96">
        <v>6606</v>
      </c>
      <c r="J163" s="96">
        <v>7822</v>
      </c>
      <c r="K163" s="96">
        <v>5755</v>
      </c>
      <c r="L163" s="96">
        <v>7245</v>
      </c>
      <c r="M163" s="96">
        <v>5960</v>
      </c>
      <c r="N163" s="96">
        <v>5313</v>
      </c>
      <c r="O163" s="96">
        <v>5900</v>
      </c>
      <c r="P163" s="96">
        <v>9915</v>
      </c>
      <c r="Q163" s="96">
        <v>12850</v>
      </c>
      <c r="R163" s="96">
        <v>11462</v>
      </c>
      <c r="S163" s="96">
        <v>94101</v>
      </c>
    </row>
    <row r="164" spans="1:19" ht="26.4" x14ac:dyDescent="0.7">
      <c r="A164" s="157" t="s">
        <v>242</v>
      </c>
      <c r="B164" s="71" t="s">
        <v>167</v>
      </c>
      <c r="C164">
        <v>161</v>
      </c>
      <c r="D164">
        <v>161</v>
      </c>
      <c r="E164">
        <v>158</v>
      </c>
      <c r="F164" s="159" t="s">
        <v>180</v>
      </c>
      <c r="G164" s="96">
        <v>64</v>
      </c>
      <c r="H164" s="96">
        <v>7</v>
      </c>
      <c r="I164" s="96">
        <v>79</v>
      </c>
      <c r="J164" s="96">
        <v>49</v>
      </c>
      <c r="K164" s="96">
        <v>75</v>
      </c>
      <c r="L164" s="96">
        <v>70</v>
      </c>
      <c r="M164" s="96">
        <v>74</v>
      </c>
      <c r="N164" s="96">
        <v>83</v>
      </c>
      <c r="O164" s="96">
        <v>21</v>
      </c>
      <c r="P164" s="96">
        <v>88</v>
      </c>
      <c r="Q164" s="96">
        <v>84</v>
      </c>
      <c r="R164" s="96">
        <v>30</v>
      </c>
      <c r="S164" s="96">
        <v>724</v>
      </c>
    </row>
    <row r="165" spans="1:19" ht="26.4" x14ac:dyDescent="0.7">
      <c r="A165" s="157" t="s">
        <v>242</v>
      </c>
      <c r="B165" s="71" t="s">
        <v>167</v>
      </c>
      <c r="C165">
        <v>162</v>
      </c>
      <c r="D165">
        <v>162</v>
      </c>
      <c r="E165">
        <v>158</v>
      </c>
      <c r="F165" s="158" t="s">
        <v>183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</row>
    <row r="166" spans="1:19" ht="26.4" x14ac:dyDescent="0.7">
      <c r="A166" s="157" t="s">
        <v>242</v>
      </c>
      <c r="B166" s="71" t="s">
        <v>167</v>
      </c>
      <c r="C166">
        <v>163</v>
      </c>
      <c r="D166">
        <v>163</v>
      </c>
      <c r="E166">
        <v>162</v>
      </c>
      <c r="F166" s="160" t="s">
        <v>184</v>
      </c>
      <c r="G166" s="96">
        <v>1945</v>
      </c>
      <c r="H166" s="96">
        <v>1592</v>
      </c>
      <c r="I166" s="96">
        <v>1581</v>
      </c>
      <c r="J166" s="96">
        <v>1941</v>
      </c>
      <c r="K166" s="96">
        <v>1125</v>
      </c>
      <c r="L166" s="96">
        <v>170</v>
      </c>
      <c r="M166" s="96">
        <v>826</v>
      </c>
      <c r="N166" s="96">
        <v>3995</v>
      </c>
      <c r="O166" s="96">
        <v>3686</v>
      </c>
      <c r="P166" s="96">
        <v>2818</v>
      </c>
      <c r="Q166" s="96">
        <v>1886</v>
      </c>
      <c r="R166" s="96">
        <v>3645</v>
      </c>
      <c r="S166" s="96">
        <v>25210</v>
      </c>
    </row>
    <row r="167" spans="1:19" ht="26.4" x14ac:dyDescent="0.7">
      <c r="A167" s="157" t="s">
        <v>242</v>
      </c>
      <c r="B167" s="71" t="s">
        <v>167</v>
      </c>
      <c r="C167">
        <v>164</v>
      </c>
      <c r="D167">
        <v>164</v>
      </c>
      <c r="E167">
        <v>162</v>
      </c>
      <c r="F167" s="160" t="s">
        <v>185</v>
      </c>
      <c r="G167" s="96">
        <v>100</v>
      </c>
      <c r="H167" s="96">
        <v>510</v>
      </c>
      <c r="I167" s="96">
        <v>320</v>
      </c>
      <c r="J167" s="96">
        <v>653</v>
      </c>
      <c r="K167" s="96">
        <v>427</v>
      </c>
      <c r="L167" s="96">
        <v>267</v>
      </c>
      <c r="M167" s="96">
        <v>28</v>
      </c>
      <c r="N167" s="96">
        <v>14</v>
      </c>
      <c r="O167" s="96">
        <v>45</v>
      </c>
      <c r="P167" s="96">
        <v>157</v>
      </c>
      <c r="Q167" s="96">
        <v>72</v>
      </c>
      <c r="R167" s="96">
        <v>16</v>
      </c>
      <c r="S167" s="96">
        <v>2609</v>
      </c>
    </row>
    <row r="168" spans="1:19" ht="26.4" x14ac:dyDescent="0.7">
      <c r="A168" s="157" t="s">
        <v>242</v>
      </c>
      <c r="B168" s="71" t="s">
        <v>167</v>
      </c>
      <c r="C168">
        <v>165</v>
      </c>
      <c r="D168">
        <v>165</v>
      </c>
      <c r="E168">
        <v>162</v>
      </c>
      <c r="F168" s="160" t="s">
        <v>186</v>
      </c>
      <c r="G168" s="96">
        <v>552</v>
      </c>
      <c r="H168" s="96">
        <v>1179</v>
      </c>
      <c r="I168" s="96">
        <v>539</v>
      </c>
      <c r="J168" s="96">
        <v>436</v>
      </c>
      <c r="K168" s="96">
        <v>279</v>
      </c>
      <c r="L168" s="96">
        <v>137</v>
      </c>
      <c r="M168" s="96">
        <v>74</v>
      </c>
      <c r="N168" s="96">
        <v>238</v>
      </c>
      <c r="O168" s="96">
        <v>140</v>
      </c>
      <c r="P168" s="96">
        <v>277</v>
      </c>
      <c r="Q168" s="96">
        <v>72</v>
      </c>
      <c r="R168" s="96">
        <v>57</v>
      </c>
      <c r="S168" s="96">
        <v>3980</v>
      </c>
    </row>
    <row r="169" spans="1:19" ht="26.4" x14ac:dyDescent="0.7">
      <c r="A169" s="157" t="s">
        <v>242</v>
      </c>
      <c r="B169" s="71" t="s">
        <v>167</v>
      </c>
      <c r="C169">
        <v>166</v>
      </c>
      <c r="D169">
        <v>166</v>
      </c>
      <c r="E169">
        <v>158</v>
      </c>
      <c r="F169" s="160" t="s">
        <v>181</v>
      </c>
      <c r="G169" s="96">
        <v>389</v>
      </c>
      <c r="H169" s="96">
        <v>286</v>
      </c>
      <c r="I169" s="96">
        <v>476</v>
      </c>
      <c r="J169" s="96">
        <v>924</v>
      </c>
      <c r="K169" s="96">
        <v>706</v>
      </c>
      <c r="L169" s="96">
        <v>1648</v>
      </c>
      <c r="M169" s="96">
        <v>703</v>
      </c>
      <c r="N169" s="96">
        <v>260</v>
      </c>
      <c r="O169" s="96">
        <v>733</v>
      </c>
      <c r="P169" s="96">
        <v>1130</v>
      </c>
      <c r="Q169" s="96">
        <v>373</v>
      </c>
      <c r="R169" s="96">
        <v>392</v>
      </c>
      <c r="S169" s="96">
        <v>8020</v>
      </c>
    </row>
    <row r="170" spans="1:19" ht="26.4" x14ac:dyDescent="0.7">
      <c r="A170" s="157" t="s">
        <v>242</v>
      </c>
      <c r="B170" s="71" t="s">
        <v>167</v>
      </c>
      <c r="C170">
        <v>167</v>
      </c>
      <c r="D170">
        <v>167</v>
      </c>
      <c r="F170" s="160">
        <v>2022</v>
      </c>
      <c r="G170" s="96">
        <v>23333</v>
      </c>
      <c r="H170" s="96">
        <v>17714</v>
      </c>
      <c r="I170" s="96">
        <v>14181</v>
      </c>
      <c r="J170" s="96">
        <v>16408</v>
      </c>
      <c r="K170" s="96">
        <v>17476</v>
      </c>
      <c r="L170" s="96">
        <v>19456</v>
      </c>
      <c r="M170" s="160">
        <v>16378</v>
      </c>
      <c r="N170" s="96">
        <v>23399</v>
      </c>
      <c r="O170" s="96">
        <v>23684</v>
      </c>
      <c r="P170" s="96">
        <v>27065</v>
      </c>
      <c r="Q170" s="96">
        <v>31417</v>
      </c>
      <c r="R170" s="96">
        <v>34195</v>
      </c>
      <c r="S170" s="96">
        <v>264706</v>
      </c>
    </row>
    <row r="171" spans="1:19" ht="26.4" x14ac:dyDescent="0.7">
      <c r="A171" s="157" t="s">
        <v>242</v>
      </c>
      <c r="B171" s="71" t="s">
        <v>167</v>
      </c>
      <c r="C171">
        <v>168</v>
      </c>
      <c r="D171">
        <v>168</v>
      </c>
      <c r="E171">
        <v>167</v>
      </c>
      <c r="F171" s="158" t="s">
        <v>178</v>
      </c>
      <c r="G171" s="96">
        <v>2187</v>
      </c>
      <c r="H171" s="96">
        <v>2405</v>
      </c>
      <c r="I171" s="96">
        <v>2211</v>
      </c>
      <c r="J171" s="96">
        <v>2040</v>
      </c>
      <c r="K171" s="96">
        <v>2285</v>
      </c>
      <c r="L171" s="96">
        <v>1833</v>
      </c>
      <c r="M171" s="160">
        <v>1361</v>
      </c>
      <c r="N171" s="96">
        <v>1573</v>
      </c>
      <c r="O171" s="96">
        <v>1899</v>
      </c>
      <c r="P171" s="96">
        <v>1869</v>
      </c>
      <c r="Q171" s="96">
        <v>2000</v>
      </c>
      <c r="R171" s="96">
        <v>1494</v>
      </c>
      <c r="S171" s="96">
        <v>23157</v>
      </c>
    </row>
    <row r="172" spans="1:19" ht="26.4" x14ac:dyDescent="0.7">
      <c r="A172" s="157" t="s">
        <v>242</v>
      </c>
      <c r="B172" s="71" t="s">
        <v>167</v>
      </c>
      <c r="C172">
        <v>169</v>
      </c>
      <c r="D172">
        <v>169</v>
      </c>
      <c r="E172">
        <v>167</v>
      </c>
      <c r="F172" s="159" t="s">
        <v>179</v>
      </c>
      <c r="G172" s="96">
        <v>8950</v>
      </c>
      <c r="H172" s="96">
        <v>5827</v>
      </c>
      <c r="I172" s="96">
        <v>4262</v>
      </c>
      <c r="J172" s="96">
        <v>5126</v>
      </c>
      <c r="K172" s="96">
        <v>5387</v>
      </c>
      <c r="L172" s="96">
        <v>6824</v>
      </c>
      <c r="M172" s="160">
        <v>5753</v>
      </c>
      <c r="N172" s="96">
        <v>7765</v>
      </c>
      <c r="O172" s="96">
        <v>7585</v>
      </c>
      <c r="P172" s="96">
        <v>10316</v>
      </c>
      <c r="Q172" s="96">
        <v>12738</v>
      </c>
      <c r="R172" s="96">
        <v>14959</v>
      </c>
      <c r="S172" s="96">
        <v>95492</v>
      </c>
    </row>
    <row r="173" spans="1:19" ht="26.4" x14ac:dyDescent="0.7">
      <c r="A173" s="157" t="s">
        <v>242</v>
      </c>
      <c r="B173" s="71" t="s">
        <v>167</v>
      </c>
      <c r="C173">
        <v>170</v>
      </c>
      <c r="D173">
        <v>170</v>
      </c>
      <c r="E173">
        <v>167</v>
      </c>
      <c r="F173" s="159" t="s">
        <v>180</v>
      </c>
      <c r="G173" s="96">
        <v>58</v>
      </c>
      <c r="H173" s="96">
        <v>78</v>
      </c>
      <c r="I173" s="96">
        <v>104</v>
      </c>
      <c r="J173" s="96">
        <v>139</v>
      </c>
      <c r="K173" s="96">
        <v>73</v>
      </c>
      <c r="L173" s="96">
        <v>80</v>
      </c>
      <c r="M173" s="160">
        <v>85</v>
      </c>
      <c r="N173" s="96">
        <v>41</v>
      </c>
      <c r="O173" s="96">
        <v>32</v>
      </c>
      <c r="P173" s="96">
        <v>68</v>
      </c>
      <c r="Q173" s="96">
        <v>21</v>
      </c>
      <c r="R173" s="96">
        <v>2</v>
      </c>
      <c r="S173" s="96">
        <v>781</v>
      </c>
    </row>
    <row r="174" spans="1:19" ht="26.4" x14ac:dyDescent="0.7">
      <c r="A174" s="157" t="s">
        <v>242</v>
      </c>
      <c r="B174" s="71" t="s">
        <v>167</v>
      </c>
      <c r="C174">
        <v>171</v>
      </c>
      <c r="D174">
        <v>171</v>
      </c>
      <c r="E174">
        <v>167</v>
      </c>
      <c r="F174" s="158" t="s">
        <v>183</v>
      </c>
      <c r="G174" s="96"/>
      <c r="H174" s="96"/>
      <c r="I174" s="96"/>
      <c r="J174" s="96"/>
      <c r="K174" s="96"/>
      <c r="L174" s="96"/>
      <c r="M174" s="160"/>
      <c r="N174" s="96"/>
      <c r="O174" s="96"/>
      <c r="P174" s="96"/>
      <c r="Q174" s="96"/>
      <c r="R174" s="96"/>
      <c r="S174" s="96"/>
    </row>
    <row r="175" spans="1:19" ht="26.4" x14ac:dyDescent="0.7">
      <c r="A175" s="157" t="s">
        <v>242</v>
      </c>
      <c r="B175" s="71" t="s">
        <v>167</v>
      </c>
      <c r="C175">
        <v>172</v>
      </c>
      <c r="D175">
        <v>172</v>
      </c>
      <c r="E175">
        <v>171</v>
      </c>
      <c r="F175" s="160" t="s">
        <v>184</v>
      </c>
      <c r="G175" s="96">
        <v>2954</v>
      </c>
      <c r="H175" s="96">
        <v>2768</v>
      </c>
      <c r="I175" s="96">
        <v>2778</v>
      </c>
      <c r="J175" s="96">
        <v>2364</v>
      </c>
      <c r="K175" s="96">
        <v>2767</v>
      </c>
      <c r="L175" s="96">
        <v>2497</v>
      </c>
      <c r="M175" s="160">
        <v>2588</v>
      </c>
      <c r="N175" s="96">
        <v>5738</v>
      </c>
      <c r="O175" s="96">
        <v>5836</v>
      </c>
      <c r="P175" s="96">
        <v>3020</v>
      </c>
      <c r="Q175" s="96">
        <v>3274</v>
      </c>
      <c r="R175" s="96">
        <v>2325</v>
      </c>
      <c r="S175" s="96">
        <v>38909</v>
      </c>
    </row>
    <row r="176" spans="1:19" ht="26.4" x14ac:dyDescent="0.7">
      <c r="A176" s="157" t="s">
        <v>242</v>
      </c>
      <c r="B176" s="71" t="s">
        <v>167</v>
      </c>
      <c r="C176">
        <v>173</v>
      </c>
      <c r="D176">
        <v>173</v>
      </c>
      <c r="E176">
        <v>171</v>
      </c>
      <c r="F176" s="160" t="s">
        <v>185</v>
      </c>
      <c r="G176" s="96">
        <v>85</v>
      </c>
      <c r="H176" s="96">
        <v>421</v>
      </c>
      <c r="I176" s="96">
        <v>174</v>
      </c>
      <c r="J176" s="96">
        <v>225</v>
      </c>
      <c r="K176" s="96">
        <v>399</v>
      </c>
      <c r="L176" s="96">
        <v>132</v>
      </c>
      <c r="M176" s="160">
        <v>152</v>
      </c>
      <c r="N176" s="96">
        <v>54</v>
      </c>
      <c r="O176" s="96">
        <v>115</v>
      </c>
      <c r="P176" s="96">
        <v>242</v>
      </c>
      <c r="Q176" s="96">
        <v>73</v>
      </c>
      <c r="R176" s="96">
        <v>7</v>
      </c>
      <c r="S176" s="96">
        <v>2079</v>
      </c>
    </row>
    <row r="177" spans="1:19" ht="26.4" x14ac:dyDescent="0.7">
      <c r="A177" s="157" t="s">
        <v>242</v>
      </c>
      <c r="B177" s="71" t="s">
        <v>167</v>
      </c>
      <c r="C177">
        <v>174</v>
      </c>
      <c r="D177">
        <v>174</v>
      </c>
      <c r="E177">
        <v>171</v>
      </c>
      <c r="F177" s="160" t="s">
        <v>186</v>
      </c>
      <c r="G177" s="96">
        <v>8950</v>
      </c>
      <c r="H177" s="96">
        <v>5827</v>
      </c>
      <c r="I177" s="96">
        <v>4262</v>
      </c>
      <c r="J177" s="96">
        <v>5126</v>
      </c>
      <c r="K177" s="96">
        <v>5387</v>
      </c>
      <c r="L177" s="96">
        <v>6824</v>
      </c>
      <c r="M177" s="160">
        <v>5753</v>
      </c>
      <c r="N177" s="96">
        <v>7765</v>
      </c>
      <c r="O177" s="96">
        <v>7585</v>
      </c>
      <c r="P177" s="96">
        <v>10316</v>
      </c>
      <c r="Q177" s="96">
        <v>12738</v>
      </c>
      <c r="R177" s="96">
        <v>14959</v>
      </c>
      <c r="S177" s="96">
        <v>95492</v>
      </c>
    </row>
    <row r="178" spans="1:19" ht="26.4" x14ac:dyDescent="0.7">
      <c r="A178" s="157" t="s">
        <v>242</v>
      </c>
      <c r="B178" s="71" t="s">
        <v>167</v>
      </c>
      <c r="C178">
        <v>175</v>
      </c>
      <c r="D178">
        <v>175</v>
      </c>
      <c r="E178">
        <v>167</v>
      </c>
      <c r="F178" s="160" t="s">
        <v>181</v>
      </c>
      <c r="G178" s="96">
        <v>149</v>
      </c>
      <c r="H178" s="96">
        <v>388</v>
      </c>
      <c r="I178" s="96">
        <v>390</v>
      </c>
      <c r="J178" s="96">
        <v>1388</v>
      </c>
      <c r="K178" s="96">
        <v>1178</v>
      </c>
      <c r="L178" s="96">
        <v>1266</v>
      </c>
      <c r="M178" s="160">
        <v>686</v>
      </c>
      <c r="N178" s="96">
        <v>463</v>
      </c>
      <c r="O178" s="96">
        <v>632</v>
      </c>
      <c r="P178" s="96">
        <v>1234</v>
      </c>
      <c r="Q178" s="96">
        <v>573</v>
      </c>
      <c r="R178" s="96">
        <v>449</v>
      </c>
      <c r="S178" s="96">
        <v>8796</v>
      </c>
    </row>
    <row r="179" spans="1:19" ht="26.4" x14ac:dyDescent="0.7">
      <c r="A179" s="157" t="s">
        <v>242</v>
      </c>
      <c r="B179" s="71" t="s">
        <v>167</v>
      </c>
      <c r="C179">
        <v>176</v>
      </c>
      <c r="D179">
        <v>176</v>
      </c>
      <c r="F179" s="160">
        <v>2023</v>
      </c>
      <c r="G179" s="96">
        <v>20581</v>
      </c>
      <c r="H179" s="96">
        <v>16523</v>
      </c>
      <c r="I179" s="96">
        <v>16679</v>
      </c>
      <c r="J179" s="96">
        <v>11814</v>
      </c>
      <c r="K179" s="96">
        <v>13498</v>
      </c>
      <c r="L179" s="96">
        <v>14216</v>
      </c>
      <c r="M179" s="161">
        <v>9617</v>
      </c>
      <c r="N179" s="96">
        <v>15845</v>
      </c>
      <c r="O179" s="96">
        <v>10602</v>
      </c>
      <c r="P179" s="96">
        <v>13225</v>
      </c>
      <c r="Q179" s="96">
        <v>12899</v>
      </c>
      <c r="R179" s="96">
        <v>15826</v>
      </c>
      <c r="S179" s="96">
        <v>171325</v>
      </c>
    </row>
    <row r="180" spans="1:19" ht="26.4" x14ac:dyDescent="0.7">
      <c r="A180" s="157" t="s">
        <v>242</v>
      </c>
      <c r="B180" s="71" t="s">
        <v>167</v>
      </c>
      <c r="C180">
        <v>177</v>
      </c>
      <c r="D180">
        <v>177</v>
      </c>
      <c r="E180">
        <v>176</v>
      </c>
      <c r="F180" s="158" t="s">
        <v>178</v>
      </c>
      <c r="G180" s="96">
        <v>1607</v>
      </c>
      <c r="H180" s="96">
        <v>1928</v>
      </c>
      <c r="I180" s="96">
        <v>2264</v>
      </c>
      <c r="J180" s="96">
        <v>1820</v>
      </c>
      <c r="K180" s="96">
        <v>2310</v>
      </c>
      <c r="L180" s="96">
        <v>1950</v>
      </c>
      <c r="M180" s="161">
        <v>1166</v>
      </c>
      <c r="N180" s="96">
        <v>1554</v>
      </c>
      <c r="O180" s="96">
        <v>1225</v>
      </c>
      <c r="P180" s="96">
        <v>1549</v>
      </c>
      <c r="Q180" s="96">
        <v>1612</v>
      </c>
      <c r="R180" s="96">
        <v>1144</v>
      </c>
      <c r="S180" s="96">
        <v>20129</v>
      </c>
    </row>
    <row r="181" spans="1:19" ht="26.4" x14ac:dyDescent="0.7">
      <c r="A181" s="157" t="s">
        <v>242</v>
      </c>
      <c r="B181" s="71" t="s">
        <v>167</v>
      </c>
      <c r="C181">
        <v>178</v>
      </c>
      <c r="D181">
        <v>178</v>
      </c>
      <c r="E181">
        <v>176</v>
      </c>
      <c r="F181" s="159" t="s">
        <v>179</v>
      </c>
      <c r="G181" s="96">
        <v>12024</v>
      </c>
      <c r="H181" s="96">
        <v>9810</v>
      </c>
      <c r="I181" s="96">
        <v>10172</v>
      </c>
      <c r="J181" s="96">
        <v>6458</v>
      </c>
      <c r="K181" s="96">
        <v>5615</v>
      </c>
      <c r="L181" s="96">
        <v>6926</v>
      </c>
      <c r="M181" s="161">
        <v>5219</v>
      </c>
      <c r="N181" s="96">
        <v>7393</v>
      </c>
      <c r="O181" s="96">
        <v>4766</v>
      </c>
      <c r="P181" s="96">
        <v>8044</v>
      </c>
      <c r="Q181" s="96">
        <v>9755</v>
      </c>
      <c r="R181" s="96">
        <v>12258</v>
      </c>
      <c r="S181" s="96">
        <v>98440</v>
      </c>
    </row>
    <row r="182" spans="1:19" ht="26.4" x14ac:dyDescent="0.7">
      <c r="A182" s="157" t="s">
        <v>242</v>
      </c>
      <c r="B182" s="71" t="s">
        <v>167</v>
      </c>
      <c r="C182">
        <v>179</v>
      </c>
      <c r="D182">
        <v>179</v>
      </c>
      <c r="E182">
        <v>176</v>
      </c>
      <c r="F182" s="159" t="s">
        <v>180</v>
      </c>
      <c r="G182" s="96">
        <v>28</v>
      </c>
      <c r="H182" s="96">
        <v>28</v>
      </c>
      <c r="I182" s="96">
        <v>80</v>
      </c>
      <c r="J182" s="96">
        <v>35</v>
      </c>
      <c r="K182" s="96">
        <v>75</v>
      </c>
      <c r="L182" s="96">
        <v>36</v>
      </c>
      <c r="M182" s="160">
        <v>33</v>
      </c>
      <c r="N182" s="96">
        <v>79</v>
      </c>
      <c r="O182" s="96">
        <v>47</v>
      </c>
      <c r="P182" s="96">
        <v>38</v>
      </c>
      <c r="Q182" s="96">
        <v>23</v>
      </c>
      <c r="R182" s="96">
        <v>54</v>
      </c>
      <c r="S182" s="96">
        <v>556</v>
      </c>
    </row>
    <row r="183" spans="1:19" ht="26.4" x14ac:dyDescent="0.7">
      <c r="A183" s="157" t="s">
        <v>242</v>
      </c>
      <c r="B183" s="71" t="s">
        <v>167</v>
      </c>
      <c r="C183">
        <v>180</v>
      </c>
      <c r="D183">
        <v>180</v>
      </c>
      <c r="E183">
        <v>176</v>
      </c>
      <c r="F183" s="158" t="s">
        <v>183</v>
      </c>
      <c r="G183" s="96">
        <v>6392</v>
      </c>
      <c r="H183" s="96">
        <v>3989</v>
      </c>
      <c r="I183" s="96">
        <v>2921</v>
      </c>
      <c r="J183" s="96">
        <v>2351</v>
      </c>
      <c r="K183" s="96">
        <v>2574</v>
      </c>
      <c r="L183" s="96">
        <v>1377</v>
      </c>
      <c r="M183" s="161">
        <v>1437</v>
      </c>
      <c r="N183" s="96">
        <v>4931</v>
      </c>
      <c r="O183" s="96">
        <v>3597</v>
      </c>
      <c r="P183" s="96">
        <v>3118</v>
      </c>
      <c r="Q183" s="96">
        <v>1198</v>
      </c>
      <c r="R183" s="96">
        <v>2158</v>
      </c>
      <c r="S183" s="96">
        <v>36043</v>
      </c>
    </row>
    <row r="184" spans="1:19" ht="26.4" x14ac:dyDescent="0.7">
      <c r="A184" s="157" t="s">
        <v>242</v>
      </c>
      <c r="B184" s="71" t="s">
        <v>167</v>
      </c>
      <c r="C184">
        <v>181</v>
      </c>
      <c r="D184">
        <v>181</v>
      </c>
      <c r="E184">
        <v>180</v>
      </c>
      <c r="F184" s="160" t="s">
        <v>184</v>
      </c>
      <c r="G184" s="96">
        <v>5986</v>
      </c>
      <c r="H184" s="96">
        <v>3086</v>
      </c>
      <c r="I184" s="96">
        <v>1840</v>
      </c>
      <c r="J184" s="96">
        <v>1573</v>
      </c>
      <c r="K184" s="96">
        <v>1674</v>
      </c>
      <c r="L184" s="96">
        <v>759</v>
      </c>
      <c r="M184" s="161">
        <v>1246</v>
      </c>
      <c r="N184" s="96">
        <v>4596</v>
      </c>
      <c r="O184" s="96">
        <v>3171</v>
      </c>
      <c r="P184" s="96">
        <v>2641</v>
      </c>
      <c r="Q184" s="96">
        <v>1023</v>
      </c>
      <c r="R184" s="96">
        <v>2106</v>
      </c>
      <c r="S184" s="96">
        <v>29701</v>
      </c>
    </row>
    <row r="185" spans="1:19" ht="26.4" x14ac:dyDescent="0.7">
      <c r="A185" s="157" t="s">
        <v>242</v>
      </c>
      <c r="B185" s="71" t="s">
        <v>167</v>
      </c>
      <c r="C185">
        <v>182</v>
      </c>
      <c r="D185">
        <v>182</v>
      </c>
      <c r="E185">
        <v>180</v>
      </c>
      <c r="F185" s="160" t="s">
        <v>185</v>
      </c>
      <c r="G185" s="96">
        <v>119</v>
      </c>
      <c r="H185" s="96">
        <v>521</v>
      </c>
      <c r="I185" s="96">
        <v>654</v>
      </c>
      <c r="J185" s="96">
        <v>578</v>
      </c>
      <c r="K185" s="96">
        <v>624</v>
      </c>
      <c r="L185" s="96">
        <v>445</v>
      </c>
      <c r="M185" s="160">
        <v>111</v>
      </c>
      <c r="N185" s="96">
        <v>127</v>
      </c>
      <c r="O185" s="96">
        <v>224</v>
      </c>
      <c r="P185" s="96">
        <v>253</v>
      </c>
      <c r="Q185" s="96">
        <v>98</v>
      </c>
      <c r="R185" s="96">
        <v>19</v>
      </c>
      <c r="S185" s="96">
        <v>3773</v>
      </c>
    </row>
    <row r="186" spans="1:19" ht="26.4" x14ac:dyDescent="0.7">
      <c r="A186" s="157" t="s">
        <v>242</v>
      </c>
      <c r="B186" s="71" t="s">
        <v>167</v>
      </c>
      <c r="C186">
        <v>183</v>
      </c>
      <c r="D186">
        <v>183</v>
      </c>
      <c r="E186">
        <v>180</v>
      </c>
      <c r="F186" s="160" t="s">
        <v>186</v>
      </c>
      <c r="G186" s="96">
        <v>287</v>
      </c>
      <c r="H186" s="96">
        <v>382</v>
      </c>
      <c r="I186" s="96">
        <v>427</v>
      </c>
      <c r="J186" s="96">
        <v>200</v>
      </c>
      <c r="K186" s="96">
        <v>276</v>
      </c>
      <c r="L186" s="96">
        <v>173</v>
      </c>
      <c r="M186" s="160">
        <v>80</v>
      </c>
      <c r="N186" s="96">
        <v>208</v>
      </c>
      <c r="O186" s="96">
        <v>202</v>
      </c>
      <c r="P186" s="96">
        <v>224</v>
      </c>
      <c r="Q186" s="96">
        <v>77</v>
      </c>
      <c r="R186" s="96">
        <v>33</v>
      </c>
      <c r="S186" s="96">
        <v>2569</v>
      </c>
    </row>
    <row r="187" spans="1:19" ht="26.4" x14ac:dyDescent="0.7">
      <c r="A187" s="157" t="s">
        <v>242</v>
      </c>
      <c r="B187" s="71" t="s">
        <v>167</v>
      </c>
      <c r="C187">
        <v>184</v>
      </c>
      <c r="D187">
        <v>184</v>
      </c>
      <c r="E187">
        <v>176</v>
      </c>
      <c r="F187" s="160" t="s">
        <v>181</v>
      </c>
      <c r="G187" s="96">
        <v>530</v>
      </c>
      <c r="H187" s="96">
        <v>768</v>
      </c>
      <c r="I187" s="96">
        <v>1242</v>
      </c>
      <c r="J187" s="96">
        <v>1150</v>
      </c>
      <c r="K187" s="96">
        <v>2924</v>
      </c>
      <c r="L187" s="96">
        <v>3927</v>
      </c>
      <c r="M187" s="161">
        <v>1762</v>
      </c>
      <c r="N187" s="96">
        <v>1888</v>
      </c>
      <c r="O187" s="96">
        <v>967</v>
      </c>
      <c r="P187" s="96">
        <v>476</v>
      </c>
      <c r="Q187" s="96">
        <v>311</v>
      </c>
      <c r="R187" s="96">
        <v>212</v>
      </c>
      <c r="S187" s="96">
        <v>16157</v>
      </c>
    </row>
    <row r="188" spans="1:19" ht="26.4" x14ac:dyDescent="0.7">
      <c r="A188" s="157" t="s">
        <v>242</v>
      </c>
      <c r="B188" s="71" t="s">
        <v>167</v>
      </c>
      <c r="C188">
        <v>185</v>
      </c>
      <c r="D188">
        <v>185</v>
      </c>
      <c r="F188" s="160">
        <v>2024</v>
      </c>
      <c r="G188" s="96">
        <v>19370</v>
      </c>
      <c r="H188" s="96">
        <v>22814</v>
      </c>
      <c r="I188" s="96">
        <v>15014</v>
      </c>
      <c r="J188" s="96">
        <v>11378</v>
      </c>
      <c r="K188" s="96">
        <v>17087</v>
      </c>
      <c r="L188" s="96">
        <v>9924</v>
      </c>
      <c r="M188" s="96">
        <v>13760</v>
      </c>
      <c r="N188" s="96">
        <v>13952</v>
      </c>
      <c r="O188" s="96">
        <v>12650</v>
      </c>
      <c r="P188" s="96">
        <v>20335</v>
      </c>
      <c r="Q188" s="96">
        <v>15284</v>
      </c>
      <c r="R188" s="96">
        <v>14541</v>
      </c>
      <c r="S188" s="96">
        <v>186109</v>
      </c>
    </row>
    <row r="189" spans="1:19" ht="26.4" x14ac:dyDescent="0.7">
      <c r="A189" s="157" t="s">
        <v>242</v>
      </c>
      <c r="B189" s="71" t="s">
        <v>167</v>
      </c>
      <c r="C189">
        <v>186</v>
      </c>
      <c r="D189">
        <v>186</v>
      </c>
      <c r="E189">
        <v>185</v>
      </c>
      <c r="F189" s="158" t="s">
        <v>178</v>
      </c>
      <c r="G189" s="96">
        <v>1724</v>
      </c>
      <c r="H189" s="96">
        <v>2468</v>
      </c>
      <c r="I189" s="96">
        <v>2034</v>
      </c>
      <c r="J189" s="96">
        <v>1809</v>
      </c>
      <c r="K189" s="96">
        <v>2602</v>
      </c>
      <c r="L189" s="96">
        <v>1460</v>
      </c>
      <c r="M189" s="96">
        <v>1483</v>
      </c>
      <c r="N189" s="96">
        <v>1531</v>
      </c>
      <c r="O189" s="96">
        <v>1577</v>
      </c>
      <c r="P189" s="96">
        <v>1866</v>
      </c>
      <c r="Q189" s="96">
        <v>1615</v>
      </c>
      <c r="R189" s="96">
        <v>1217</v>
      </c>
      <c r="S189" s="96">
        <v>21386</v>
      </c>
    </row>
    <row r="190" spans="1:19" ht="26.4" x14ac:dyDescent="0.7">
      <c r="A190" s="157" t="s">
        <v>242</v>
      </c>
      <c r="B190" s="71" t="s">
        <v>167</v>
      </c>
      <c r="C190">
        <v>187</v>
      </c>
      <c r="D190">
        <v>187</v>
      </c>
      <c r="E190">
        <v>185</v>
      </c>
      <c r="F190" s="159" t="s">
        <v>179</v>
      </c>
      <c r="G190" s="96">
        <v>12442</v>
      </c>
      <c r="H190" s="96">
        <v>10095</v>
      </c>
      <c r="I190" s="96">
        <v>7914</v>
      </c>
      <c r="J190" s="96">
        <v>5938</v>
      </c>
      <c r="K190" s="96">
        <v>7901</v>
      </c>
      <c r="L190" s="96">
        <v>5601</v>
      </c>
      <c r="M190" s="96">
        <v>8145</v>
      </c>
      <c r="N190" s="96">
        <v>6437</v>
      </c>
      <c r="O190" s="96">
        <v>5153</v>
      </c>
      <c r="P190" s="96">
        <v>12593</v>
      </c>
      <c r="Q190" s="96">
        <v>12648</v>
      </c>
      <c r="R190" s="96">
        <v>10154</v>
      </c>
      <c r="S190" s="96">
        <v>105021</v>
      </c>
    </row>
    <row r="191" spans="1:19" ht="26.4" x14ac:dyDescent="0.7">
      <c r="A191" s="157" t="s">
        <v>242</v>
      </c>
      <c r="B191" s="71" t="s">
        <v>167</v>
      </c>
      <c r="C191">
        <v>188</v>
      </c>
      <c r="D191">
        <v>188</v>
      </c>
      <c r="E191">
        <v>185</v>
      </c>
      <c r="F191" s="159" t="s">
        <v>180</v>
      </c>
      <c r="G191" s="96">
        <v>3</v>
      </c>
      <c r="H191" s="96">
        <v>42</v>
      </c>
      <c r="I191" s="96">
        <v>26</v>
      </c>
      <c r="J191" s="96">
        <v>19</v>
      </c>
      <c r="K191" s="96">
        <v>81</v>
      </c>
      <c r="L191" s="96">
        <v>12</v>
      </c>
      <c r="M191" s="96">
        <v>70</v>
      </c>
      <c r="N191" s="96">
        <v>36</v>
      </c>
      <c r="O191" s="96">
        <v>21</v>
      </c>
      <c r="P191" s="96">
        <v>31</v>
      </c>
      <c r="Q191" s="96">
        <v>42</v>
      </c>
      <c r="R191" s="96">
        <v>7</v>
      </c>
      <c r="S191" s="96">
        <v>390</v>
      </c>
    </row>
    <row r="192" spans="1:19" ht="26.4" x14ac:dyDescent="0.7">
      <c r="A192" s="157" t="s">
        <v>242</v>
      </c>
      <c r="B192" s="71" t="s">
        <v>167</v>
      </c>
      <c r="C192">
        <v>189</v>
      </c>
      <c r="D192">
        <v>189</v>
      </c>
      <c r="E192">
        <v>185</v>
      </c>
      <c r="F192" s="158" t="s">
        <v>183</v>
      </c>
      <c r="G192" s="96">
        <v>5018</v>
      </c>
      <c r="H192" s="96">
        <v>6548</v>
      </c>
      <c r="I192" s="96">
        <v>4195</v>
      </c>
      <c r="J192" s="96">
        <v>2631</v>
      </c>
      <c r="K192" s="96">
        <v>2839</v>
      </c>
      <c r="L192" s="96">
        <v>438</v>
      </c>
      <c r="M192" s="96">
        <v>2577</v>
      </c>
      <c r="N192" s="96">
        <v>5040</v>
      </c>
      <c r="O192" s="96">
        <v>5376</v>
      </c>
      <c r="P192" s="96">
        <v>4993</v>
      </c>
      <c r="Q192" s="96">
        <v>493</v>
      </c>
      <c r="R192" s="96">
        <v>2816</v>
      </c>
      <c r="S192" s="96">
        <v>42964</v>
      </c>
    </row>
    <row r="193" spans="1:19" ht="26.4" x14ac:dyDescent="0.7">
      <c r="A193" s="157" t="s">
        <v>242</v>
      </c>
      <c r="B193" s="71" t="s">
        <v>167</v>
      </c>
      <c r="C193">
        <v>190</v>
      </c>
      <c r="D193">
        <v>190</v>
      </c>
      <c r="E193">
        <v>189</v>
      </c>
      <c r="F193" s="160" t="s">
        <v>184</v>
      </c>
      <c r="G193" s="96">
        <v>4144</v>
      </c>
      <c r="H193" s="96">
        <v>5558</v>
      </c>
      <c r="I193" s="96">
        <v>3219</v>
      </c>
      <c r="J193" s="96">
        <v>1846</v>
      </c>
      <c r="K193" s="96">
        <v>2127</v>
      </c>
      <c r="L193" s="96">
        <v>187</v>
      </c>
      <c r="M193" s="96">
        <v>2262</v>
      </c>
      <c r="N193" s="96">
        <v>4752</v>
      </c>
      <c r="O193" s="96">
        <v>5040</v>
      </c>
      <c r="P193" s="96">
        <v>4567</v>
      </c>
      <c r="Q193" s="96">
        <v>416</v>
      </c>
      <c r="R193" s="96">
        <v>2589</v>
      </c>
      <c r="S193" s="96">
        <v>36707</v>
      </c>
    </row>
    <row r="194" spans="1:19" ht="26.4" x14ac:dyDescent="0.7">
      <c r="A194" s="157" t="s">
        <v>242</v>
      </c>
      <c r="B194" s="71" t="s">
        <v>167</v>
      </c>
      <c r="C194">
        <v>191</v>
      </c>
      <c r="D194">
        <v>191</v>
      </c>
      <c r="E194">
        <v>189</v>
      </c>
      <c r="F194" s="160" t="s">
        <v>185</v>
      </c>
      <c r="G194" s="96">
        <v>186</v>
      </c>
      <c r="H194" s="96">
        <v>458</v>
      </c>
      <c r="I194" s="96">
        <v>518</v>
      </c>
      <c r="J194" s="96">
        <v>539</v>
      </c>
      <c r="K194" s="96">
        <v>482</v>
      </c>
      <c r="L194" s="96">
        <v>147</v>
      </c>
      <c r="M194" s="96">
        <v>265</v>
      </c>
      <c r="N194" s="96">
        <v>115</v>
      </c>
      <c r="O194" s="96">
        <v>104</v>
      </c>
      <c r="P194" s="96">
        <v>102</v>
      </c>
      <c r="Q194" s="96">
        <v>12</v>
      </c>
      <c r="R194" s="96">
        <v>45</v>
      </c>
      <c r="S194" s="96">
        <v>2973</v>
      </c>
    </row>
    <row r="195" spans="1:19" ht="26.4" x14ac:dyDescent="0.7">
      <c r="A195" s="157" t="s">
        <v>242</v>
      </c>
      <c r="B195" s="71" t="s">
        <v>167</v>
      </c>
      <c r="C195">
        <v>192</v>
      </c>
      <c r="D195">
        <v>192</v>
      </c>
      <c r="E195">
        <v>189</v>
      </c>
      <c r="F195" s="160" t="s">
        <v>186</v>
      </c>
      <c r="G195" s="96">
        <v>688</v>
      </c>
      <c r="H195" s="96">
        <v>532</v>
      </c>
      <c r="I195" s="96">
        <v>458</v>
      </c>
      <c r="J195" s="96">
        <v>246</v>
      </c>
      <c r="K195" s="96">
        <v>230</v>
      </c>
      <c r="L195" s="96">
        <v>104</v>
      </c>
      <c r="M195" s="96">
        <v>50</v>
      </c>
      <c r="N195" s="96">
        <v>173</v>
      </c>
      <c r="O195" s="96">
        <v>232</v>
      </c>
      <c r="P195" s="96">
        <v>324</v>
      </c>
      <c r="Q195" s="96">
        <v>65</v>
      </c>
      <c r="R195" s="96">
        <v>182</v>
      </c>
      <c r="S195" s="96">
        <v>3284</v>
      </c>
    </row>
    <row r="196" spans="1:19" ht="26.4" x14ac:dyDescent="0.7">
      <c r="A196" s="157" t="s">
        <v>242</v>
      </c>
      <c r="B196" s="71" t="s">
        <v>167</v>
      </c>
      <c r="C196">
        <v>193</v>
      </c>
      <c r="D196">
        <v>193</v>
      </c>
      <c r="E196">
        <v>185</v>
      </c>
      <c r="F196" s="160" t="s">
        <v>181</v>
      </c>
      <c r="G196" s="96">
        <v>183</v>
      </c>
      <c r="H196" s="96">
        <v>3661</v>
      </c>
      <c r="I196" s="96">
        <v>845</v>
      </c>
      <c r="J196" s="96">
        <v>981</v>
      </c>
      <c r="K196" s="96">
        <v>3664</v>
      </c>
      <c r="L196" s="96">
        <v>2413</v>
      </c>
      <c r="M196" s="96">
        <v>1485</v>
      </c>
      <c r="N196" s="96">
        <v>908</v>
      </c>
      <c r="O196" s="96">
        <v>523</v>
      </c>
      <c r="P196" s="96">
        <v>852</v>
      </c>
      <c r="Q196" s="96">
        <v>486</v>
      </c>
      <c r="R196" s="96">
        <v>347</v>
      </c>
      <c r="S196" s="96">
        <v>16348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5750-99C8-47F1-AA09-B680C73325BD}">
  <sheetPr>
    <tabColor rgb="FFFFFF00"/>
  </sheetPr>
  <dimension ref="A1:S198"/>
  <sheetViews>
    <sheetView topLeftCell="A136" zoomScale="58" workbookViewId="0">
      <selection activeCell="H188" sqref="H188"/>
    </sheetView>
  </sheetViews>
  <sheetFormatPr baseColWidth="10" defaultRowHeight="14.4" x14ac:dyDescent="0.3"/>
  <cols>
    <col min="6" max="6" width="38.5546875" customWidth="1"/>
    <col min="7" max="7" width="13.5546875" customWidth="1"/>
    <col min="8" max="8" width="13.44140625" customWidth="1"/>
    <col min="9" max="9" width="13.88671875" customWidth="1"/>
    <col min="14" max="14" width="13.5546875" customWidth="1"/>
    <col min="15" max="15" width="15.6640625" customWidth="1"/>
    <col min="16" max="16" width="13.77734375" customWidth="1"/>
    <col min="17" max="17" width="15.44140625" customWidth="1"/>
    <col min="18" max="18" width="15.5546875" customWidth="1"/>
    <col min="19" max="19" width="14" customWidth="1"/>
  </cols>
  <sheetData>
    <row r="1" spans="1:19" ht="27" customHeight="1" thickBot="1" x14ac:dyDescent="0.35">
      <c r="A1" s="13" t="s">
        <v>3</v>
      </c>
      <c r="B1" s="13" t="s">
        <v>4</v>
      </c>
      <c r="C1" s="13" t="s">
        <v>6</v>
      </c>
      <c r="D1" s="13" t="s">
        <v>7</v>
      </c>
      <c r="E1" s="13" t="s">
        <v>8</v>
      </c>
      <c r="F1" s="206" t="s">
        <v>209</v>
      </c>
      <c r="G1" s="2" t="s">
        <v>14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162" t="s">
        <v>22</v>
      </c>
      <c r="O1" s="2" t="s">
        <v>23</v>
      </c>
      <c r="P1" s="2" t="s">
        <v>24</v>
      </c>
      <c r="Q1" s="2" t="s">
        <v>25</v>
      </c>
      <c r="R1" s="162" t="s">
        <v>26</v>
      </c>
      <c r="S1" s="2" t="s">
        <v>177</v>
      </c>
    </row>
    <row r="2" spans="1:19" ht="26.4" x14ac:dyDescent="0.7">
      <c r="A2" t="s">
        <v>245</v>
      </c>
      <c r="B2" s="173" t="s">
        <v>210</v>
      </c>
      <c r="C2">
        <v>1</v>
      </c>
      <c r="D2">
        <v>1</v>
      </c>
      <c r="F2" s="163">
        <v>2000</v>
      </c>
      <c r="G2" s="164">
        <f t="shared" ref="G2:S2" si="0">SUM(G3:G6)</f>
        <v>3183</v>
      </c>
      <c r="H2" s="164">
        <f t="shared" si="0"/>
        <v>8894</v>
      </c>
      <c r="I2" s="164">
        <f t="shared" si="0"/>
        <v>14251</v>
      </c>
      <c r="J2" s="164">
        <f t="shared" si="0"/>
        <v>5299</v>
      </c>
      <c r="K2" s="164">
        <f t="shared" si="0"/>
        <v>9968</v>
      </c>
      <c r="L2" s="164">
        <f t="shared" si="0"/>
        <v>4086</v>
      </c>
      <c r="M2" s="164">
        <f t="shared" si="0"/>
        <v>12437</v>
      </c>
      <c r="N2" s="164">
        <f t="shared" si="0"/>
        <v>11119</v>
      </c>
      <c r="O2" s="164">
        <f t="shared" si="0"/>
        <v>15345</v>
      </c>
      <c r="P2" s="164">
        <f t="shared" si="0"/>
        <v>1925</v>
      </c>
      <c r="Q2" s="164">
        <f t="shared" si="0"/>
        <v>349</v>
      </c>
      <c r="R2" s="164">
        <f t="shared" si="0"/>
        <v>3255</v>
      </c>
      <c r="S2" s="164">
        <f t="shared" si="0"/>
        <v>90111</v>
      </c>
    </row>
    <row r="3" spans="1:19" ht="26.4" x14ac:dyDescent="0.7">
      <c r="A3" t="s">
        <v>245</v>
      </c>
      <c r="B3" s="173" t="s">
        <v>210</v>
      </c>
      <c r="C3">
        <v>2</v>
      </c>
      <c r="D3">
        <v>2</v>
      </c>
      <c r="E3">
        <v>1</v>
      </c>
      <c r="F3" s="165" t="s">
        <v>178</v>
      </c>
      <c r="G3" s="96">
        <v>661</v>
      </c>
      <c r="H3" s="96">
        <v>1634</v>
      </c>
      <c r="I3" s="96">
        <v>1378</v>
      </c>
      <c r="J3" s="96">
        <v>1526</v>
      </c>
      <c r="K3" s="96">
        <v>997</v>
      </c>
      <c r="L3" s="96">
        <v>1382</v>
      </c>
      <c r="M3" s="96">
        <v>2216</v>
      </c>
      <c r="N3" s="96">
        <v>1722</v>
      </c>
      <c r="O3" s="96">
        <v>805</v>
      </c>
      <c r="P3" s="96">
        <v>370</v>
      </c>
      <c r="Q3" s="96">
        <v>90</v>
      </c>
      <c r="R3" s="96">
        <v>413</v>
      </c>
      <c r="S3" s="96">
        <f t="shared" ref="S3:S9" si="1">SUM(G3:R3)</f>
        <v>13194</v>
      </c>
    </row>
    <row r="4" spans="1:19" ht="26.4" x14ac:dyDescent="0.7">
      <c r="A4" t="s">
        <v>245</v>
      </c>
      <c r="B4" s="173" t="s">
        <v>210</v>
      </c>
      <c r="C4">
        <v>3</v>
      </c>
      <c r="D4">
        <v>3</v>
      </c>
      <c r="E4">
        <v>1</v>
      </c>
      <c r="F4" s="166" t="s">
        <v>179</v>
      </c>
      <c r="G4" s="96">
        <v>53</v>
      </c>
      <c r="H4" s="96">
        <v>248</v>
      </c>
      <c r="I4" s="96">
        <v>136</v>
      </c>
      <c r="J4" s="96">
        <v>235</v>
      </c>
      <c r="K4" s="96">
        <v>122</v>
      </c>
      <c r="L4" s="96">
        <v>66</v>
      </c>
      <c r="M4" s="96">
        <v>67</v>
      </c>
      <c r="N4" s="96">
        <v>57</v>
      </c>
      <c r="O4" s="96">
        <v>238</v>
      </c>
      <c r="P4" s="96">
        <v>115</v>
      </c>
      <c r="Q4" s="96">
        <v>1</v>
      </c>
      <c r="R4" s="96">
        <v>17</v>
      </c>
      <c r="S4" s="96">
        <f t="shared" si="1"/>
        <v>1355</v>
      </c>
    </row>
    <row r="5" spans="1:19" ht="26.4" x14ac:dyDescent="0.7">
      <c r="A5" t="s">
        <v>245</v>
      </c>
      <c r="B5" s="173" t="s">
        <v>210</v>
      </c>
      <c r="C5">
        <v>4</v>
      </c>
      <c r="D5">
        <v>4</v>
      </c>
      <c r="E5">
        <v>1</v>
      </c>
      <c r="F5" s="166" t="s">
        <v>180</v>
      </c>
      <c r="G5" s="96">
        <v>132</v>
      </c>
      <c r="H5" s="96">
        <v>402</v>
      </c>
      <c r="I5" s="96">
        <v>228</v>
      </c>
      <c r="J5" s="96">
        <v>242</v>
      </c>
      <c r="K5" s="96">
        <v>419</v>
      </c>
      <c r="L5" s="96">
        <v>167</v>
      </c>
      <c r="M5" s="96">
        <v>527</v>
      </c>
      <c r="N5" s="96">
        <v>142</v>
      </c>
      <c r="O5" s="96">
        <v>803</v>
      </c>
      <c r="P5" s="96">
        <v>25</v>
      </c>
      <c r="Q5" s="96">
        <v>52</v>
      </c>
      <c r="R5" s="96">
        <v>593</v>
      </c>
      <c r="S5" s="96">
        <f t="shared" si="1"/>
        <v>3732</v>
      </c>
    </row>
    <row r="6" spans="1:19" ht="26.4" x14ac:dyDescent="0.7">
      <c r="A6" t="s">
        <v>245</v>
      </c>
      <c r="B6" s="173" t="s">
        <v>210</v>
      </c>
      <c r="C6">
        <v>5</v>
      </c>
      <c r="D6">
        <v>5</v>
      </c>
      <c r="E6">
        <v>1</v>
      </c>
      <c r="F6" s="165" t="s">
        <v>183</v>
      </c>
      <c r="G6" s="96">
        <f>SUM(G7:G9)</f>
        <v>2337</v>
      </c>
      <c r="H6" s="96">
        <f>SUM(H7:H9)</f>
        <v>6610</v>
      </c>
      <c r="I6" s="96">
        <f t="shared" ref="I6:R6" si="2">SUM(I7:I9)</f>
        <v>12509</v>
      </c>
      <c r="J6" s="96">
        <f t="shared" si="2"/>
        <v>3296</v>
      </c>
      <c r="K6" s="96">
        <f t="shared" si="2"/>
        <v>8430</v>
      </c>
      <c r="L6" s="96">
        <f t="shared" si="2"/>
        <v>2471</v>
      </c>
      <c r="M6" s="96">
        <f t="shared" si="2"/>
        <v>9627</v>
      </c>
      <c r="N6" s="96">
        <f t="shared" si="2"/>
        <v>9198</v>
      </c>
      <c r="O6" s="96">
        <f t="shared" si="2"/>
        <v>13499</v>
      </c>
      <c r="P6" s="96">
        <f t="shared" si="2"/>
        <v>1415</v>
      </c>
      <c r="Q6" s="96">
        <f t="shared" si="2"/>
        <v>206</v>
      </c>
      <c r="R6" s="96">
        <f t="shared" si="2"/>
        <v>2232</v>
      </c>
      <c r="S6" s="96">
        <f t="shared" si="1"/>
        <v>71830</v>
      </c>
    </row>
    <row r="7" spans="1:19" ht="26.4" x14ac:dyDescent="0.7">
      <c r="A7" t="s">
        <v>245</v>
      </c>
      <c r="B7" s="173" t="s">
        <v>210</v>
      </c>
      <c r="C7">
        <v>6</v>
      </c>
      <c r="D7">
        <v>6</v>
      </c>
      <c r="E7">
        <v>5</v>
      </c>
      <c r="F7" s="167" t="s">
        <v>184</v>
      </c>
      <c r="G7" s="96">
        <v>342</v>
      </c>
      <c r="H7" s="96">
        <v>1723</v>
      </c>
      <c r="I7" s="96">
        <v>5920</v>
      </c>
      <c r="J7" s="96">
        <v>1208</v>
      </c>
      <c r="K7" s="96">
        <v>5951</v>
      </c>
      <c r="L7" s="96">
        <v>1668</v>
      </c>
      <c r="M7" s="96">
        <v>6788</v>
      </c>
      <c r="N7" s="96">
        <v>8254</v>
      </c>
      <c r="O7" s="96">
        <v>12643</v>
      </c>
      <c r="P7" s="96">
        <v>745</v>
      </c>
      <c r="Q7" s="96">
        <v>93</v>
      </c>
      <c r="R7" s="96">
        <v>397</v>
      </c>
      <c r="S7" s="96">
        <f t="shared" si="1"/>
        <v>45732</v>
      </c>
    </row>
    <row r="8" spans="1:19" ht="26.4" x14ac:dyDescent="0.7">
      <c r="A8" t="s">
        <v>245</v>
      </c>
      <c r="B8" s="173" t="s">
        <v>210</v>
      </c>
      <c r="C8">
        <v>7</v>
      </c>
      <c r="D8">
        <v>7</v>
      </c>
      <c r="E8">
        <v>5</v>
      </c>
      <c r="F8" s="167" t="s">
        <v>185</v>
      </c>
      <c r="G8" s="96">
        <v>1214</v>
      </c>
      <c r="H8" s="96">
        <v>1540</v>
      </c>
      <c r="I8" s="96">
        <v>2480</v>
      </c>
      <c r="J8" s="96">
        <v>796</v>
      </c>
      <c r="K8" s="96">
        <v>1249</v>
      </c>
      <c r="L8" s="96">
        <v>609</v>
      </c>
      <c r="M8" s="96">
        <v>1497</v>
      </c>
      <c r="N8" s="96">
        <v>446</v>
      </c>
      <c r="O8" s="96">
        <v>544</v>
      </c>
      <c r="P8" s="96">
        <v>275</v>
      </c>
      <c r="Q8" s="96">
        <v>107</v>
      </c>
      <c r="R8" s="96">
        <v>1200</v>
      </c>
      <c r="S8" s="96">
        <f t="shared" si="1"/>
        <v>11957</v>
      </c>
    </row>
    <row r="9" spans="1:19" ht="26.4" x14ac:dyDescent="0.7">
      <c r="A9" t="s">
        <v>245</v>
      </c>
      <c r="B9" s="173" t="s">
        <v>210</v>
      </c>
      <c r="C9">
        <v>8</v>
      </c>
      <c r="D9">
        <v>8</v>
      </c>
      <c r="E9">
        <v>5</v>
      </c>
      <c r="F9" s="167" t="s">
        <v>186</v>
      </c>
      <c r="G9" s="96">
        <v>781</v>
      </c>
      <c r="H9" s="96">
        <v>3347</v>
      </c>
      <c r="I9" s="96">
        <v>4109</v>
      </c>
      <c r="J9" s="96">
        <v>1292</v>
      </c>
      <c r="K9" s="96">
        <v>1230</v>
      </c>
      <c r="L9" s="96">
        <v>194</v>
      </c>
      <c r="M9" s="96">
        <v>1342</v>
      </c>
      <c r="N9" s="96">
        <v>498</v>
      </c>
      <c r="O9" s="96">
        <v>312</v>
      </c>
      <c r="P9" s="96">
        <v>395</v>
      </c>
      <c r="Q9" s="96">
        <v>6</v>
      </c>
      <c r="R9" s="96">
        <v>635</v>
      </c>
      <c r="S9" s="96">
        <f t="shared" si="1"/>
        <v>14141</v>
      </c>
    </row>
    <row r="10" spans="1:19" ht="26.4" x14ac:dyDescent="0.7">
      <c r="A10" t="s">
        <v>245</v>
      </c>
      <c r="B10" s="173" t="s">
        <v>210</v>
      </c>
      <c r="C10">
        <v>9</v>
      </c>
      <c r="D10">
        <v>9</v>
      </c>
      <c r="F10" s="168">
        <v>2001</v>
      </c>
      <c r="G10" s="96">
        <f t="shared" ref="G10:S10" si="3">SUM(G11:G14)</f>
        <v>9317</v>
      </c>
      <c r="H10" s="96">
        <f t="shared" si="3"/>
        <v>9830</v>
      </c>
      <c r="I10" s="96">
        <f t="shared" si="3"/>
        <v>18614</v>
      </c>
      <c r="J10" s="96">
        <f t="shared" si="3"/>
        <v>7360</v>
      </c>
      <c r="K10" s="96">
        <f t="shared" si="3"/>
        <v>6440</v>
      </c>
      <c r="L10" s="96">
        <f t="shared" si="3"/>
        <v>6425</v>
      </c>
      <c r="M10" s="96">
        <f t="shared" si="3"/>
        <v>5588</v>
      </c>
      <c r="N10" s="96">
        <f t="shared" si="3"/>
        <v>12319</v>
      </c>
      <c r="O10" s="96">
        <f t="shared" si="3"/>
        <v>19854</v>
      </c>
      <c r="P10" s="96">
        <f t="shared" si="3"/>
        <v>7599</v>
      </c>
      <c r="Q10" s="96">
        <f t="shared" si="3"/>
        <v>4113</v>
      </c>
      <c r="R10" s="96">
        <f t="shared" si="3"/>
        <v>8387</v>
      </c>
      <c r="S10" s="96">
        <f t="shared" si="3"/>
        <v>115846</v>
      </c>
    </row>
    <row r="11" spans="1:19" ht="26.4" x14ac:dyDescent="0.7">
      <c r="A11" t="s">
        <v>245</v>
      </c>
      <c r="B11" s="173" t="s">
        <v>210</v>
      </c>
      <c r="C11">
        <v>10</v>
      </c>
      <c r="D11">
        <v>10</v>
      </c>
      <c r="E11">
        <v>9</v>
      </c>
      <c r="F11" s="165" t="s">
        <v>178</v>
      </c>
      <c r="G11" s="96">
        <v>1880</v>
      </c>
      <c r="H11" s="96">
        <v>1795</v>
      </c>
      <c r="I11" s="96">
        <v>994</v>
      </c>
      <c r="J11" s="96">
        <v>1544</v>
      </c>
      <c r="K11" s="96">
        <v>1751</v>
      </c>
      <c r="L11" s="96">
        <v>2136</v>
      </c>
      <c r="M11" s="96">
        <v>1368</v>
      </c>
      <c r="N11" s="96">
        <v>974</v>
      </c>
      <c r="O11" s="96">
        <v>1392</v>
      </c>
      <c r="P11" s="96">
        <v>235</v>
      </c>
      <c r="Q11" s="96">
        <v>353</v>
      </c>
      <c r="R11" s="96">
        <v>916</v>
      </c>
      <c r="S11" s="96">
        <f t="shared" ref="S11:S17" si="4">SUM(G11:R11)</f>
        <v>15338</v>
      </c>
    </row>
    <row r="12" spans="1:19" ht="26.4" x14ac:dyDescent="0.7">
      <c r="A12" t="s">
        <v>245</v>
      </c>
      <c r="B12" s="173" t="s">
        <v>210</v>
      </c>
      <c r="C12">
        <v>11</v>
      </c>
      <c r="D12">
        <v>11</v>
      </c>
      <c r="E12">
        <v>9</v>
      </c>
      <c r="F12" s="166" t="s">
        <v>179</v>
      </c>
      <c r="G12" s="96">
        <v>165</v>
      </c>
      <c r="H12" s="96">
        <v>311</v>
      </c>
      <c r="I12" s="96">
        <v>137</v>
      </c>
      <c r="J12" s="96">
        <v>252</v>
      </c>
      <c r="K12" s="96">
        <v>109</v>
      </c>
      <c r="L12" s="96">
        <v>99</v>
      </c>
      <c r="M12" s="96">
        <v>321</v>
      </c>
      <c r="N12" s="96">
        <v>29</v>
      </c>
      <c r="O12" s="96">
        <v>223</v>
      </c>
      <c r="P12" s="96">
        <v>16</v>
      </c>
      <c r="Q12" s="96">
        <v>15</v>
      </c>
      <c r="R12" s="96">
        <v>48</v>
      </c>
      <c r="S12" s="96">
        <f t="shared" si="4"/>
        <v>1725</v>
      </c>
    </row>
    <row r="13" spans="1:19" ht="26.4" x14ac:dyDescent="0.7">
      <c r="A13" t="s">
        <v>245</v>
      </c>
      <c r="B13" s="173" t="s">
        <v>210</v>
      </c>
      <c r="C13">
        <v>12</v>
      </c>
      <c r="D13">
        <v>12</v>
      </c>
      <c r="E13">
        <v>9</v>
      </c>
      <c r="F13" s="166" t="s">
        <v>180</v>
      </c>
      <c r="G13" s="96">
        <v>117</v>
      </c>
      <c r="H13" s="96">
        <v>555</v>
      </c>
      <c r="I13" s="96">
        <v>143</v>
      </c>
      <c r="J13" s="96">
        <v>725</v>
      </c>
      <c r="K13" s="96">
        <v>190</v>
      </c>
      <c r="L13" s="96">
        <v>607</v>
      </c>
      <c r="M13" s="96">
        <v>239</v>
      </c>
      <c r="N13" s="96">
        <v>153</v>
      </c>
      <c r="O13" s="96">
        <v>848</v>
      </c>
      <c r="P13" s="96">
        <v>63</v>
      </c>
      <c r="Q13" s="96">
        <v>1874</v>
      </c>
      <c r="R13" s="96">
        <v>7</v>
      </c>
      <c r="S13" s="96">
        <f t="shared" si="4"/>
        <v>5521</v>
      </c>
    </row>
    <row r="14" spans="1:19" ht="26.4" x14ac:dyDescent="0.7">
      <c r="A14" t="s">
        <v>245</v>
      </c>
      <c r="B14" s="173" t="s">
        <v>210</v>
      </c>
      <c r="C14">
        <v>13</v>
      </c>
      <c r="D14">
        <v>13</v>
      </c>
      <c r="E14">
        <v>9</v>
      </c>
      <c r="F14" s="165" t="s">
        <v>183</v>
      </c>
      <c r="G14" s="96">
        <f t="shared" ref="G14:R14" si="5">SUM(G15:G17)</f>
        <v>7155</v>
      </c>
      <c r="H14" s="96">
        <f t="shared" si="5"/>
        <v>7169</v>
      </c>
      <c r="I14" s="96">
        <f t="shared" si="5"/>
        <v>17340</v>
      </c>
      <c r="J14" s="96">
        <f t="shared" si="5"/>
        <v>4839</v>
      </c>
      <c r="K14" s="96">
        <f t="shared" si="5"/>
        <v>4390</v>
      </c>
      <c r="L14" s="96">
        <f t="shared" si="5"/>
        <v>3583</v>
      </c>
      <c r="M14" s="96">
        <f t="shared" si="5"/>
        <v>3660</v>
      </c>
      <c r="N14" s="96">
        <f t="shared" si="5"/>
        <v>11163</v>
      </c>
      <c r="O14" s="96">
        <f t="shared" si="5"/>
        <v>17391</v>
      </c>
      <c r="P14" s="96">
        <f t="shared" si="5"/>
        <v>7285</v>
      </c>
      <c r="Q14" s="96">
        <f t="shared" si="5"/>
        <v>1871</v>
      </c>
      <c r="R14" s="96">
        <f t="shared" si="5"/>
        <v>7416</v>
      </c>
      <c r="S14" s="96">
        <f t="shared" si="4"/>
        <v>93262</v>
      </c>
    </row>
    <row r="15" spans="1:19" ht="26.4" x14ac:dyDescent="0.7">
      <c r="A15" t="s">
        <v>245</v>
      </c>
      <c r="B15" s="173" t="s">
        <v>210</v>
      </c>
      <c r="C15">
        <v>14</v>
      </c>
      <c r="D15">
        <v>14</v>
      </c>
      <c r="E15">
        <v>13</v>
      </c>
      <c r="F15" s="167" t="s">
        <v>184</v>
      </c>
      <c r="G15" s="96">
        <v>3506</v>
      </c>
      <c r="H15" s="96">
        <v>2381</v>
      </c>
      <c r="I15" s="96">
        <v>13590</v>
      </c>
      <c r="J15" s="96">
        <v>3179</v>
      </c>
      <c r="K15" s="96">
        <v>2410</v>
      </c>
      <c r="L15" s="96">
        <v>1566</v>
      </c>
      <c r="M15" s="96">
        <v>2491</v>
      </c>
      <c r="N15" s="96">
        <v>10242</v>
      </c>
      <c r="O15" s="96">
        <v>16030</v>
      </c>
      <c r="P15" s="96">
        <v>5661</v>
      </c>
      <c r="Q15" s="96">
        <v>849</v>
      </c>
      <c r="R15" s="96">
        <v>3899</v>
      </c>
      <c r="S15" s="96">
        <f t="shared" si="4"/>
        <v>65804</v>
      </c>
    </row>
    <row r="16" spans="1:19" ht="26.4" x14ac:dyDescent="0.7">
      <c r="A16" t="s">
        <v>245</v>
      </c>
      <c r="B16" s="173" t="s">
        <v>210</v>
      </c>
      <c r="C16">
        <v>15</v>
      </c>
      <c r="D16">
        <v>15</v>
      </c>
      <c r="E16">
        <v>13</v>
      </c>
      <c r="F16" s="167" t="s">
        <v>185</v>
      </c>
      <c r="G16" s="96">
        <v>1428</v>
      </c>
      <c r="H16" s="96">
        <v>1458</v>
      </c>
      <c r="I16" s="96">
        <v>2736</v>
      </c>
      <c r="J16" s="96">
        <v>817</v>
      </c>
      <c r="K16" s="96">
        <v>1457</v>
      </c>
      <c r="L16" s="96">
        <v>1537</v>
      </c>
      <c r="M16" s="96">
        <v>709</v>
      </c>
      <c r="N16" s="96">
        <v>339</v>
      </c>
      <c r="O16" s="96">
        <v>454</v>
      </c>
      <c r="P16" s="96">
        <v>628</v>
      </c>
      <c r="Q16" s="96">
        <v>521</v>
      </c>
      <c r="R16" s="96">
        <v>2022</v>
      </c>
      <c r="S16" s="96">
        <f t="shared" si="4"/>
        <v>14106</v>
      </c>
    </row>
    <row r="17" spans="1:19" ht="26.4" x14ac:dyDescent="0.7">
      <c r="A17" t="s">
        <v>245</v>
      </c>
      <c r="B17" s="173" t="s">
        <v>210</v>
      </c>
      <c r="C17">
        <v>16</v>
      </c>
      <c r="D17">
        <v>16</v>
      </c>
      <c r="E17">
        <v>13</v>
      </c>
      <c r="F17" s="167" t="s">
        <v>186</v>
      </c>
      <c r="G17" s="96">
        <v>2221</v>
      </c>
      <c r="H17" s="96">
        <v>3330</v>
      </c>
      <c r="I17" s="96">
        <v>1014</v>
      </c>
      <c r="J17" s="96">
        <v>843</v>
      </c>
      <c r="K17" s="96">
        <v>523</v>
      </c>
      <c r="L17" s="96">
        <v>480</v>
      </c>
      <c r="M17" s="96">
        <v>460</v>
      </c>
      <c r="N17" s="96">
        <v>582</v>
      </c>
      <c r="O17" s="96">
        <v>907</v>
      </c>
      <c r="P17" s="96">
        <v>996</v>
      </c>
      <c r="Q17" s="96">
        <v>501</v>
      </c>
      <c r="R17" s="96">
        <v>1495</v>
      </c>
      <c r="S17" s="96">
        <f t="shared" si="4"/>
        <v>13352</v>
      </c>
    </row>
    <row r="18" spans="1:19" ht="26.4" x14ac:dyDescent="0.7">
      <c r="A18" t="s">
        <v>245</v>
      </c>
      <c r="B18" s="173" t="s">
        <v>210</v>
      </c>
      <c r="C18">
        <v>17</v>
      </c>
      <c r="D18">
        <v>17</v>
      </c>
      <c r="F18" s="168">
        <v>2002</v>
      </c>
      <c r="G18" s="96">
        <f t="shared" ref="G18:S18" si="6">SUM(G19:G22)</f>
        <v>13070</v>
      </c>
      <c r="H18" s="96">
        <f t="shared" si="6"/>
        <v>7262</v>
      </c>
      <c r="I18" s="96">
        <f t="shared" si="6"/>
        <v>7514</v>
      </c>
      <c r="J18" s="96">
        <f t="shared" si="6"/>
        <v>7162</v>
      </c>
      <c r="K18" s="96">
        <f t="shared" si="6"/>
        <v>9226</v>
      </c>
      <c r="L18" s="96">
        <f t="shared" si="6"/>
        <v>4628</v>
      </c>
      <c r="M18" s="96">
        <f t="shared" si="6"/>
        <v>10899</v>
      </c>
      <c r="N18" s="96">
        <f t="shared" si="6"/>
        <v>8678</v>
      </c>
      <c r="O18" s="96">
        <f t="shared" si="6"/>
        <v>14444</v>
      </c>
      <c r="P18" s="96">
        <f t="shared" si="6"/>
        <v>3935</v>
      </c>
      <c r="Q18" s="96">
        <f t="shared" si="6"/>
        <v>2387</v>
      </c>
      <c r="R18" s="96">
        <f t="shared" si="6"/>
        <v>28983</v>
      </c>
      <c r="S18" s="96">
        <f t="shared" si="6"/>
        <v>118188</v>
      </c>
    </row>
    <row r="19" spans="1:19" ht="26.4" x14ac:dyDescent="0.7">
      <c r="A19" t="s">
        <v>245</v>
      </c>
      <c r="B19" s="173" t="s">
        <v>210</v>
      </c>
      <c r="C19">
        <v>18</v>
      </c>
      <c r="D19">
        <v>18</v>
      </c>
      <c r="E19">
        <v>17</v>
      </c>
      <c r="F19" s="165" t="s">
        <v>178</v>
      </c>
      <c r="G19" s="96">
        <v>1003</v>
      </c>
      <c r="H19" s="96">
        <v>916</v>
      </c>
      <c r="I19" s="96">
        <v>1313</v>
      </c>
      <c r="J19" s="96">
        <v>1572</v>
      </c>
      <c r="K19" s="96">
        <v>3046</v>
      </c>
      <c r="L19" s="96">
        <v>1084</v>
      </c>
      <c r="M19" s="96">
        <v>2179</v>
      </c>
      <c r="N19" s="96">
        <v>750</v>
      </c>
      <c r="O19" s="96">
        <v>1349</v>
      </c>
      <c r="P19" s="96">
        <v>215</v>
      </c>
      <c r="Q19" s="96">
        <v>82</v>
      </c>
      <c r="R19" s="96">
        <v>520</v>
      </c>
      <c r="S19" s="96">
        <f t="shared" ref="S19:S25" si="7">SUM(G19:R19)</f>
        <v>14029</v>
      </c>
    </row>
    <row r="20" spans="1:19" ht="26.4" x14ac:dyDescent="0.7">
      <c r="A20" t="s">
        <v>245</v>
      </c>
      <c r="B20" s="173" t="s">
        <v>210</v>
      </c>
      <c r="C20">
        <v>19</v>
      </c>
      <c r="D20">
        <v>19</v>
      </c>
      <c r="E20">
        <v>17</v>
      </c>
      <c r="F20" s="166" t="s">
        <v>179</v>
      </c>
      <c r="G20" s="96">
        <v>114</v>
      </c>
      <c r="H20" s="96">
        <v>215</v>
      </c>
      <c r="I20" s="96">
        <v>411</v>
      </c>
      <c r="J20" s="96">
        <v>221</v>
      </c>
      <c r="K20" s="96">
        <v>140</v>
      </c>
      <c r="L20" s="96">
        <v>127</v>
      </c>
      <c r="M20" s="96">
        <v>263</v>
      </c>
      <c r="N20" s="96">
        <v>92</v>
      </c>
      <c r="O20" s="96">
        <v>128</v>
      </c>
      <c r="P20" s="96">
        <v>67</v>
      </c>
      <c r="Q20" s="96">
        <v>20</v>
      </c>
      <c r="R20" s="96">
        <v>42</v>
      </c>
      <c r="S20" s="96">
        <f t="shared" si="7"/>
        <v>1840</v>
      </c>
    </row>
    <row r="21" spans="1:19" ht="26.4" x14ac:dyDescent="0.7">
      <c r="A21" t="s">
        <v>245</v>
      </c>
      <c r="B21" s="173" t="s">
        <v>210</v>
      </c>
      <c r="C21">
        <v>20</v>
      </c>
      <c r="D21">
        <v>20</v>
      </c>
      <c r="E21">
        <v>17</v>
      </c>
      <c r="F21" s="166" t="s">
        <v>180</v>
      </c>
      <c r="G21" s="96">
        <v>1101</v>
      </c>
      <c r="H21" s="96">
        <v>15</v>
      </c>
      <c r="I21" s="96">
        <v>476</v>
      </c>
      <c r="J21" s="96">
        <v>507</v>
      </c>
      <c r="K21" s="96">
        <v>925</v>
      </c>
      <c r="L21" s="96">
        <v>407</v>
      </c>
      <c r="M21" s="96">
        <v>729</v>
      </c>
      <c r="N21" s="96">
        <v>137</v>
      </c>
      <c r="O21" s="96">
        <v>1161</v>
      </c>
      <c r="P21" s="96">
        <v>103</v>
      </c>
      <c r="Q21" s="96">
        <v>304</v>
      </c>
      <c r="R21" s="96">
        <v>586</v>
      </c>
      <c r="S21" s="96">
        <f t="shared" si="7"/>
        <v>6451</v>
      </c>
    </row>
    <row r="22" spans="1:19" ht="26.4" x14ac:dyDescent="0.7">
      <c r="A22" t="s">
        <v>245</v>
      </c>
      <c r="B22" s="173" t="s">
        <v>210</v>
      </c>
      <c r="C22">
        <v>21</v>
      </c>
      <c r="D22">
        <v>21</v>
      </c>
      <c r="E22">
        <v>17</v>
      </c>
      <c r="F22" s="165" t="s">
        <v>183</v>
      </c>
      <c r="G22" s="96">
        <f t="shared" ref="G22:R22" si="8">SUM(G23:G25)</f>
        <v>10852</v>
      </c>
      <c r="H22" s="96">
        <f t="shared" si="8"/>
        <v>6116</v>
      </c>
      <c r="I22" s="96">
        <f t="shared" si="8"/>
        <v>5314</v>
      </c>
      <c r="J22" s="96">
        <f t="shared" si="8"/>
        <v>4862</v>
      </c>
      <c r="K22" s="96">
        <f t="shared" si="8"/>
        <v>5115</v>
      </c>
      <c r="L22" s="96">
        <f t="shared" si="8"/>
        <v>3010</v>
      </c>
      <c r="M22" s="96">
        <f t="shared" si="8"/>
        <v>7728</v>
      </c>
      <c r="N22" s="96">
        <f t="shared" si="8"/>
        <v>7699</v>
      </c>
      <c r="O22" s="96">
        <f t="shared" si="8"/>
        <v>11806</v>
      </c>
      <c r="P22" s="96">
        <f t="shared" si="8"/>
        <v>3550</v>
      </c>
      <c r="Q22" s="96">
        <f t="shared" si="8"/>
        <v>1981</v>
      </c>
      <c r="R22" s="96">
        <f t="shared" si="8"/>
        <v>27835</v>
      </c>
      <c r="S22" s="96">
        <f t="shared" si="7"/>
        <v>95868</v>
      </c>
    </row>
    <row r="23" spans="1:19" ht="26.4" x14ac:dyDescent="0.7">
      <c r="A23" t="s">
        <v>245</v>
      </c>
      <c r="B23" s="173" t="s">
        <v>210</v>
      </c>
      <c r="C23">
        <v>22</v>
      </c>
      <c r="D23">
        <v>22</v>
      </c>
      <c r="E23">
        <v>21</v>
      </c>
      <c r="F23" s="167" t="s">
        <v>184</v>
      </c>
      <c r="G23" s="96">
        <v>7439</v>
      </c>
      <c r="H23" s="96">
        <v>4430</v>
      </c>
      <c r="I23" s="96">
        <v>3431</v>
      </c>
      <c r="J23" s="96">
        <v>3949</v>
      </c>
      <c r="K23" s="96">
        <v>3491</v>
      </c>
      <c r="L23" s="96">
        <v>2321</v>
      </c>
      <c r="M23" s="96">
        <v>6204</v>
      </c>
      <c r="N23" s="96">
        <v>7350</v>
      </c>
      <c r="O23" s="96">
        <v>10972</v>
      </c>
      <c r="P23" s="96">
        <v>3532</v>
      </c>
      <c r="Q23" s="96">
        <v>1812</v>
      </c>
      <c r="R23" s="96">
        <v>26296</v>
      </c>
      <c r="S23" s="96">
        <f t="shared" si="7"/>
        <v>81227</v>
      </c>
    </row>
    <row r="24" spans="1:19" ht="26.4" x14ac:dyDescent="0.7">
      <c r="A24" t="s">
        <v>245</v>
      </c>
      <c r="B24" s="173" t="s">
        <v>210</v>
      </c>
      <c r="C24">
        <v>23</v>
      </c>
      <c r="D24">
        <v>23</v>
      </c>
      <c r="E24">
        <v>21</v>
      </c>
      <c r="F24" s="167" t="s">
        <v>185</v>
      </c>
      <c r="G24" s="96">
        <v>1926</v>
      </c>
      <c r="H24" s="96">
        <v>1316</v>
      </c>
      <c r="I24" s="96">
        <v>1285</v>
      </c>
      <c r="J24" s="96">
        <v>568</v>
      </c>
      <c r="K24" s="96">
        <v>1043</v>
      </c>
      <c r="L24" s="96">
        <v>363</v>
      </c>
      <c r="M24" s="96">
        <v>675</v>
      </c>
      <c r="N24" s="96">
        <v>107</v>
      </c>
      <c r="O24" s="96">
        <v>199</v>
      </c>
      <c r="P24" s="96">
        <v>7</v>
      </c>
      <c r="Q24" s="96">
        <v>120</v>
      </c>
      <c r="R24" s="96">
        <v>828</v>
      </c>
      <c r="S24" s="96">
        <f t="shared" si="7"/>
        <v>8437</v>
      </c>
    </row>
    <row r="25" spans="1:19" ht="26.4" x14ac:dyDescent="0.7">
      <c r="A25" t="s">
        <v>245</v>
      </c>
      <c r="B25" s="173" t="s">
        <v>210</v>
      </c>
      <c r="C25">
        <v>24</v>
      </c>
      <c r="D25">
        <v>24</v>
      </c>
      <c r="E25">
        <v>21</v>
      </c>
      <c r="F25" s="167" t="s">
        <v>186</v>
      </c>
      <c r="G25" s="96">
        <v>1487</v>
      </c>
      <c r="H25" s="96">
        <v>370</v>
      </c>
      <c r="I25" s="96">
        <v>598</v>
      </c>
      <c r="J25" s="96">
        <v>345</v>
      </c>
      <c r="K25" s="96">
        <v>581</v>
      </c>
      <c r="L25" s="96">
        <v>326</v>
      </c>
      <c r="M25" s="96">
        <v>849</v>
      </c>
      <c r="N25" s="96">
        <v>242</v>
      </c>
      <c r="O25" s="96">
        <v>635</v>
      </c>
      <c r="P25" s="96">
        <v>11</v>
      </c>
      <c r="Q25" s="96">
        <v>49</v>
      </c>
      <c r="R25" s="96">
        <v>711</v>
      </c>
      <c r="S25" s="96">
        <f t="shared" si="7"/>
        <v>6204</v>
      </c>
    </row>
    <row r="26" spans="1:19" ht="26.4" x14ac:dyDescent="0.7">
      <c r="A26" t="s">
        <v>245</v>
      </c>
      <c r="B26" s="173" t="s">
        <v>210</v>
      </c>
      <c r="C26">
        <v>25</v>
      </c>
      <c r="D26">
        <v>25</v>
      </c>
      <c r="F26" s="168">
        <v>2003</v>
      </c>
      <c r="G26" s="96">
        <f t="shared" ref="G26:S26" si="9">SUM(G27:G30)</f>
        <v>8994</v>
      </c>
      <c r="H26" s="96">
        <f t="shared" si="9"/>
        <v>12304</v>
      </c>
      <c r="I26" s="96">
        <f t="shared" si="9"/>
        <v>15369</v>
      </c>
      <c r="J26" s="96">
        <f t="shared" si="9"/>
        <v>10110</v>
      </c>
      <c r="K26" s="96">
        <f t="shared" si="9"/>
        <v>7936</v>
      </c>
      <c r="L26" s="96">
        <f t="shared" si="9"/>
        <v>8956</v>
      </c>
      <c r="M26" s="96">
        <f t="shared" si="9"/>
        <v>8040</v>
      </c>
      <c r="N26" s="96">
        <f t="shared" si="9"/>
        <v>4202</v>
      </c>
      <c r="O26" s="96">
        <f t="shared" si="9"/>
        <v>18537</v>
      </c>
      <c r="P26" s="96">
        <f t="shared" si="9"/>
        <v>2380</v>
      </c>
      <c r="Q26" s="96">
        <f t="shared" si="9"/>
        <v>564</v>
      </c>
      <c r="R26" s="96">
        <f t="shared" si="9"/>
        <v>16836</v>
      </c>
      <c r="S26" s="96">
        <f t="shared" si="9"/>
        <v>114228</v>
      </c>
    </row>
    <row r="27" spans="1:19" ht="26.4" x14ac:dyDescent="0.7">
      <c r="A27" t="s">
        <v>245</v>
      </c>
      <c r="B27" s="173" t="s">
        <v>210</v>
      </c>
      <c r="C27">
        <v>26</v>
      </c>
      <c r="D27">
        <v>26</v>
      </c>
      <c r="E27">
        <v>25</v>
      </c>
      <c r="F27" s="165" t="s">
        <v>178</v>
      </c>
      <c r="G27" s="96">
        <v>265</v>
      </c>
      <c r="H27" s="96">
        <v>716</v>
      </c>
      <c r="I27" s="96">
        <v>553</v>
      </c>
      <c r="J27" s="96">
        <v>918</v>
      </c>
      <c r="K27" s="96">
        <v>629</v>
      </c>
      <c r="L27" s="96">
        <v>1166</v>
      </c>
      <c r="M27" s="96">
        <v>1129</v>
      </c>
      <c r="N27" s="96">
        <v>616</v>
      </c>
      <c r="O27" s="96">
        <v>1111</v>
      </c>
      <c r="P27" s="96">
        <v>271</v>
      </c>
      <c r="Q27" s="96">
        <v>93</v>
      </c>
      <c r="R27" s="96">
        <v>1201</v>
      </c>
      <c r="S27" s="96">
        <f t="shared" ref="S27:S33" si="10">SUM(G27:R27)</f>
        <v>8668</v>
      </c>
    </row>
    <row r="28" spans="1:19" ht="26.4" x14ac:dyDescent="0.7">
      <c r="A28" t="s">
        <v>245</v>
      </c>
      <c r="B28" s="173" t="s">
        <v>210</v>
      </c>
      <c r="C28">
        <v>27</v>
      </c>
      <c r="D28">
        <v>27</v>
      </c>
      <c r="E28">
        <v>25</v>
      </c>
      <c r="F28" s="166" t="s">
        <v>179</v>
      </c>
      <c r="G28" s="96">
        <v>64</v>
      </c>
      <c r="H28" s="96">
        <v>179</v>
      </c>
      <c r="I28" s="96">
        <v>99</v>
      </c>
      <c r="J28" s="96">
        <v>125</v>
      </c>
      <c r="K28" s="96">
        <v>214</v>
      </c>
      <c r="L28" s="96">
        <v>415</v>
      </c>
      <c r="M28" s="96">
        <v>174</v>
      </c>
      <c r="N28" s="96">
        <v>223</v>
      </c>
      <c r="O28" s="96">
        <v>248</v>
      </c>
      <c r="P28" s="96">
        <v>19</v>
      </c>
      <c r="Q28" s="96">
        <v>39</v>
      </c>
      <c r="R28" s="96">
        <v>363</v>
      </c>
      <c r="S28" s="96">
        <f t="shared" si="10"/>
        <v>2162</v>
      </c>
    </row>
    <row r="29" spans="1:19" ht="26.4" x14ac:dyDescent="0.7">
      <c r="A29" t="s">
        <v>245</v>
      </c>
      <c r="B29" s="173" t="s">
        <v>210</v>
      </c>
      <c r="C29">
        <v>28</v>
      </c>
      <c r="D29">
        <v>28</v>
      </c>
      <c r="E29">
        <v>25</v>
      </c>
      <c r="F29" s="166" t="s">
        <v>180</v>
      </c>
      <c r="G29" s="96">
        <v>984</v>
      </c>
      <c r="H29" s="96">
        <v>394</v>
      </c>
      <c r="I29" s="96">
        <v>1075</v>
      </c>
      <c r="J29" s="96">
        <v>94</v>
      </c>
      <c r="K29" s="96">
        <v>1445</v>
      </c>
      <c r="L29" s="96">
        <v>87</v>
      </c>
      <c r="M29" s="96">
        <v>406</v>
      </c>
      <c r="N29" s="96">
        <v>356</v>
      </c>
      <c r="O29" s="96">
        <v>417</v>
      </c>
      <c r="P29" s="96">
        <v>118</v>
      </c>
      <c r="Q29" s="96">
        <v>12</v>
      </c>
      <c r="R29" s="96">
        <v>651</v>
      </c>
      <c r="S29" s="96">
        <f t="shared" si="10"/>
        <v>6039</v>
      </c>
    </row>
    <row r="30" spans="1:19" ht="26.4" x14ac:dyDescent="0.7">
      <c r="A30" t="s">
        <v>245</v>
      </c>
      <c r="B30" s="173" t="s">
        <v>210</v>
      </c>
      <c r="C30">
        <v>29</v>
      </c>
      <c r="D30">
        <v>29</v>
      </c>
      <c r="E30">
        <v>25</v>
      </c>
      <c r="F30" s="165" t="s">
        <v>183</v>
      </c>
      <c r="G30" s="96">
        <f t="shared" ref="G30:R30" si="11">SUM(G31:G33)</f>
        <v>7681</v>
      </c>
      <c r="H30" s="96">
        <f t="shared" si="11"/>
        <v>11015</v>
      </c>
      <c r="I30" s="96">
        <f t="shared" si="11"/>
        <v>13642</v>
      </c>
      <c r="J30" s="96">
        <f t="shared" si="11"/>
        <v>8973</v>
      </c>
      <c r="K30" s="96">
        <f t="shared" si="11"/>
        <v>5648</v>
      </c>
      <c r="L30" s="96">
        <f t="shared" si="11"/>
        <v>7288</v>
      </c>
      <c r="M30" s="96">
        <f t="shared" si="11"/>
        <v>6331</v>
      </c>
      <c r="N30" s="96">
        <f t="shared" si="11"/>
        <v>3007</v>
      </c>
      <c r="O30" s="96">
        <f t="shared" si="11"/>
        <v>16761</v>
      </c>
      <c r="P30" s="96">
        <f t="shared" si="11"/>
        <v>1972</v>
      </c>
      <c r="Q30" s="96">
        <f t="shared" si="11"/>
        <v>420</v>
      </c>
      <c r="R30" s="96">
        <f t="shared" si="11"/>
        <v>14621</v>
      </c>
      <c r="S30" s="96">
        <f t="shared" si="10"/>
        <v>97359</v>
      </c>
    </row>
    <row r="31" spans="1:19" ht="26.4" x14ac:dyDescent="0.7">
      <c r="A31" t="s">
        <v>245</v>
      </c>
      <c r="B31" s="173" t="s">
        <v>210</v>
      </c>
      <c r="C31">
        <v>30</v>
      </c>
      <c r="D31">
        <v>30</v>
      </c>
      <c r="E31">
        <v>29</v>
      </c>
      <c r="F31" s="167" t="s">
        <v>184</v>
      </c>
      <c r="G31" s="96">
        <v>6515</v>
      </c>
      <c r="H31" s="96">
        <v>10291</v>
      </c>
      <c r="I31" s="96">
        <v>12526</v>
      </c>
      <c r="J31" s="96">
        <v>8190</v>
      </c>
      <c r="K31" s="96">
        <v>5009</v>
      </c>
      <c r="L31" s="96">
        <v>6621</v>
      </c>
      <c r="M31" s="96">
        <v>3223</v>
      </c>
      <c r="N31" s="96">
        <v>2634</v>
      </c>
      <c r="O31" s="96">
        <v>15756</v>
      </c>
      <c r="P31" s="96">
        <v>1775</v>
      </c>
      <c r="Q31" s="96">
        <v>388</v>
      </c>
      <c r="R31" s="96">
        <v>11764</v>
      </c>
      <c r="S31" s="96">
        <f t="shared" si="10"/>
        <v>84692</v>
      </c>
    </row>
    <row r="32" spans="1:19" ht="26.4" x14ac:dyDescent="0.7">
      <c r="A32" t="s">
        <v>245</v>
      </c>
      <c r="B32" s="173" t="s">
        <v>210</v>
      </c>
      <c r="C32">
        <v>31</v>
      </c>
      <c r="D32">
        <v>31</v>
      </c>
      <c r="E32">
        <v>29</v>
      </c>
      <c r="F32" s="167" t="s">
        <v>185</v>
      </c>
      <c r="G32" s="96">
        <v>715</v>
      </c>
      <c r="H32" s="96">
        <v>521</v>
      </c>
      <c r="I32" s="96">
        <v>822</v>
      </c>
      <c r="J32" s="96">
        <v>604</v>
      </c>
      <c r="K32" s="96">
        <v>494</v>
      </c>
      <c r="L32" s="96">
        <v>505</v>
      </c>
      <c r="M32" s="96">
        <v>2713</v>
      </c>
      <c r="N32" s="96">
        <v>245</v>
      </c>
      <c r="O32" s="96">
        <v>544</v>
      </c>
      <c r="P32" s="96">
        <v>139</v>
      </c>
      <c r="Q32" s="96">
        <v>19</v>
      </c>
      <c r="R32" s="96">
        <v>2349</v>
      </c>
      <c r="S32" s="96">
        <f t="shared" si="10"/>
        <v>9670</v>
      </c>
    </row>
    <row r="33" spans="1:19" ht="26.4" x14ac:dyDescent="0.7">
      <c r="A33" t="s">
        <v>245</v>
      </c>
      <c r="B33" s="173" t="s">
        <v>210</v>
      </c>
      <c r="C33">
        <v>32</v>
      </c>
      <c r="D33">
        <v>32</v>
      </c>
      <c r="E33">
        <v>29</v>
      </c>
      <c r="F33" s="167" t="s">
        <v>186</v>
      </c>
      <c r="G33" s="96">
        <v>451</v>
      </c>
      <c r="H33" s="96">
        <v>203</v>
      </c>
      <c r="I33" s="96">
        <v>294</v>
      </c>
      <c r="J33" s="96">
        <v>179</v>
      </c>
      <c r="K33" s="96">
        <v>145</v>
      </c>
      <c r="L33" s="96">
        <v>162</v>
      </c>
      <c r="M33" s="96">
        <v>395</v>
      </c>
      <c r="N33" s="96">
        <v>128</v>
      </c>
      <c r="O33" s="96">
        <v>461</v>
      </c>
      <c r="P33" s="96">
        <v>58</v>
      </c>
      <c r="Q33" s="96">
        <v>13</v>
      </c>
      <c r="R33" s="96">
        <v>508</v>
      </c>
      <c r="S33" s="96">
        <f t="shared" si="10"/>
        <v>2997</v>
      </c>
    </row>
    <row r="34" spans="1:19" ht="26.4" x14ac:dyDescent="0.7">
      <c r="A34" t="s">
        <v>245</v>
      </c>
      <c r="B34" s="173" t="s">
        <v>210</v>
      </c>
      <c r="C34">
        <v>33</v>
      </c>
      <c r="D34">
        <v>33</v>
      </c>
      <c r="F34" s="168">
        <v>2004</v>
      </c>
      <c r="G34" s="96">
        <f t="shared" ref="G34:S34" si="12">SUM(G35:G38)</f>
        <v>16772</v>
      </c>
      <c r="H34" s="96">
        <f t="shared" si="12"/>
        <v>15695</v>
      </c>
      <c r="I34" s="96">
        <f t="shared" si="12"/>
        <v>7566</v>
      </c>
      <c r="J34" s="96">
        <f t="shared" si="12"/>
        <v>7777</v>
      </c>
      <c r="K34" s="96">
        <f t="shared" si="12"/>
        <v>10485</v>
      </c>
      <c r="L34" s="96">
        <f t="shared" si="12"/>
        <v>10228</v>
      </c>
      <c r="M34" s="96">
        <f t="shared" si="12"/>
        <v>12186</v>
      </c>
      <c r="N34" s="96">
        <f t="shared" si="12"/>
        <v>14091</v>
      </c>
      <c r="O34" s="96">
        <f t="shared" si="12"/>
        <v>23648</v>
      </c>
      <c r="P34" s="96">
        <f t="shared" si="12"/>
        <v>7179</v>
      </c>
      <c r="Q34" s="96">
        <f t="shared" si="12"/>
        <v>6364</v>
      </c>
      <c r="R34" s="96">
        <f t="shared" si="12"/>
        <v>20003</v>
      </c>
      <c r="S34" s="96">
        <f t="shared" si="12"/>
        <v>151994</v>
      </c>
    </row>
    <row r="35" spans="1:19" ht="26.4" x14ac:dyDescent="0.7">
      <c r="A35" t="s">
        <v>245</v>
      </c>
      <c r="B35" s="173" t="s">
        <v>210</v>
      </c>
      <c r="C35">
        <v>34</v>
      </c>
      <c r="D35">
        <v>34</v>
      </c>
      <c r="E35">
        <v>33</v>
      </c>
      <c r="F35" s="165" t="s">
        <v>178</v>
      </c>
      <c r="G35" s="96">
        <v>171</v>
      </c>
      <c r="H35" s="96">
        <v>1095</v>
      </c>
      <c r="I35" s="96">
        <v>553</v>
      </c>
      <c r="J35" s="96">
        <v>606</v>
      </c>
      <c r="K35" s="96">
        <v>873</v>
      </c>
      <c r="L35" s="96">
        <v>779</v>
      </c>
      <c r="M35" s="96">
        <v>1189</v>
      </c>
      <c r="N35" s="96">
        <v>641</v>
      </c>
      <c r="O35" s="96">
        <v>1099</v>
      </c>
      <c r="P35" s="96">
        <v>184</v>
      </c>
      <c r="Q35" s="96">
        <v>301</v>
      </c>
      <c r="R35" s="96">
        <v>323</v>
      </c>
      <c r="S35" s="96">
        <f t="shared" ref="S35:S41" si="13">SUM(G35:R35)</f>
        <v>7814</v>
      </c>
    </row>
    <row r="36" spans="1:19" ht="26.4" x14ac:dyDescent="0.7">
      <c r="A36" t="s">
        <v>245</v>
      </c>
      <c r="B36" s="173" t="s">
        <v>210</v>
      </c>
      <c r="C36">
        <v>35</v>
      </c>
      <c r="D36">
        <v>35</v>
      </c>
      <c r="E36">
        <v>33</v>
      </c>
      <c r="F36" s="166" t="s">
        <v>179</v>
      </c>
      <c r="G36" s="96">
        <v>119</v>
      </c>
      <c r="H36" s="96">
        <v>163</v>
      </c>
      <c r="I36" s="96">
        <v>65</v>
      </c>
      <c r="J36" s="96">
        <v>139</v>
      </c>
      <c r="K36" s="96">
        <v>187</v>
      </c>
      <c r="L36" s="96">
        <v>128</v>
      </c>
      <c r="M36" s="96">
        <v>321</v>
      </c>
      <c r="N36" s="96">
        <v>103</v>
      </c>
      <c r="O36" s="96">
        <v>352</v>
      </c>
      <c r="P36" s="96">
        <v>189</v>
      </c>
      <c r="Q36" s="96">
        <v>34</v>
      </c>
      <c r="R36" s="96">
        <v>284</v>
      </c>
      <c r="S36" s="96">
        <f t="shared" si="13"/>
        <v>2084</v>
      </c>
    </row>
    <row r="37" spans="1:19" ht="26.4" x14ac:dyDescent="0.7">
      <c r="A37" t="s">
        <v>245</v>
      </c>
      <c r="B37" s="173" t="s">
        <v>210</v>
      </c>
      <c r="C37">
        <v>36</v>
      </c>
      <c r="D37">
        <v>36</v>
      </c>
      <c r="E37">
        <v>33</v>
      </c>
      <c r="F37" s="166" t="s">
        <v>180</v>
      </c>
      <c r="G37" s="96">
        <v>652</v>
      </c>
      <c r="H37" s="96">
        <v>10</v>
      </c>
      <c r="I37" s="96">
        <v>1001</v>
      </c>
      <c r="J37" s="96">
        <v>310</v>
      </c>
      <c r="K37" s="96">
        <v>535</v>
      </c>
      <c r="L37" s="96">
        <v>27</v>
      </c>
      <c r="M37" s="96">
        <v>504</v>
      </c>
      <c r="N37" s="96">
        <v>15</v>
      </c>
      <c r="O37" s="96">
        <v>204</v>
      </c>
      <c r="P37" s="96">
        <v>14</v>
      </c>
      <c r="Q37" s="96">
        <v>431</v>
      </c>
      <c r="R37" s="96">
        <v>223</v>
      </c>
      <c r="S37" s="96">
        <f t="shared" si="13"/>
        <v>3926</v>
      </c>
    </row>
    <row r="38" spans="1:19" ht="26.4" x14ac:dyDescent="0.7">
      <c r="A38" t="s">
        <v>245</v>
      </c>
      <c r="B38" s="173" t="s">
        <v>210</v>
      </c>
      <c r="C38">
        <v>37</v>
      </c>
      <c r="D38">
        <v>37</v>
      </c>
      <c r="E38">
        <v>33</v>
      </c>
      <c r="F38" s="165" t="s">
        <v>183</v>
      </c>
      <c r="G38" s="96">
        <f t="shared" ref="G38:R38" si="14">SUM(G39:G41)</f>
        <v>15830</v>
      </c>
      <c r="H38" s="96">
        <f t="shared" si="14"/>
        <v>14427</v>
      </c>
      <c r="I38" s="96">
        <f t="shared" si="14"/>
        <v>5947</v>
      </c>
      <c r="J38" s="96">
        <f t="shared" si="14"/>
        <v>6722</v>
      </c>
      <c r="K38" s="96">
        <f t="shared" si="14"/>
        <v>8890</v>
      </c>
      <c r="L38" s="96">
        <f t="shared" si="14"/>
        <v>9294</v>
      </c>
      <c r="M38" s="96">
        <f t="shared" si="14"/>
        <v>10172</v>
      </c>
      <c r="N38" s="96">
        <f t="shared" si="14"/>
        <v>13332</v>
      </c>
      <c r="O38" s="96">
        <f t="shared" si="14"/>
        <v>21993</v>
      </c>
      <c r="P38" s="96">
        <f t="shared" si="14"/>
        <v>6792</v>
      </c>
      <c r="Q38" s="96">
        <f t="shared" si="14"/>
        <v>5598</v>
      </c>
      <c r="R38" s="96">
        <f t="shared" si="14"/>
        <v>19173</v>
      </c>
      <c r="S38" s="96">
        <f t="shared" si="13"/>
        <v>138170</v>
      </c>
    </row>
    <row r="39" spans="1:19" ht="26.4" x14ac:dyDescent="0.7">
      <c r="A39" t="s">
        <v>245</v>
      </c>
      <c r="B39" s="173" t="s">
        <v>210</v>
      </c>
      <c r="C39">
        <v>38</v>
      </c>
      <c r="D39">
        <v>38</v>
      </c>
      <c r="E39">
        <v>37</v>
      </c>
      <c r="F39" s="167" t="s">
        <v>184</v>
      </c>
      <c r="G39" s="96">
        <v>14922</v>
      </c>
      <c r="H39" s="96">
        <v>12936</v>
      </c>
      <c r="I39" s="96">
        <v>5092</v>
      </c>
      <c r="J39" s="96">
        <v>5646</v>
      </c>
      <c r="K39" s="96">
        <v>7678</v>
      </c>
      <c r="L39" s="96">
        <v>8075</v>
      </c>
      <c r="M39" s="96">
        <v>8503</v>
      </c>
      <c r="N39" s="96">
        <v>12127</v>
      </c>
      <c r="O39" s="96">
        <v>20396</v>
      </c>
      <c r="P39" s="96">
        <v>6752</v>
      </c>
      <c r="Q39" s="96">
        <v>5407</v>
      </c>
      <c r="R39" s="96">
        <v>17605</v>
      </c>
      <c r="S39" s="96">
        <f t="shared" si="13"/>
        <v>125139</v>
      </c>
    </row>
    <row r="40" spans="1:19" ht="26.4" x14ac:dyDescent="0.7">
      <c r="A40" t="s">
        <v>245</v>
      </c>
      <c r="B40" s="173" t="s">
        <v>210</v>
      </c>
      <c r="C40">
        <v>39</v>
      </c>
      <c r="D40">
        <v>39</v>
      </c>
      <c r="E40">
        <v>37</v>
      </c>
      <c r="F40" s="167" t="s">
        <v>185</v>
      </c>
      <c r="G40" s="96">
        <v>789</v>
      </c>
      <c r="H40" s="96">
        <v>1285</v>
      </c>
      <c r="I40" s="96">
        <v>769</v>
      </c>
      <c r="J40" s="96">
        <v>965</v>
      </c>
      <c r="K40" s="96">
        <v>1075</v>
      </c>
      <c r="L40" s="96">
        <v>1097</v>
      </c>
      <c r="M40" s="96">
        <v>1153</v>
      </c>
      <c r="N40" s="96">
        <v>750</v>
      </c>
      <c r="O40" s="96">
        <v>894</v>
      </c>
      <c r="P40" s="96">
        <v>39</v>
      </c>
      <c r="Q40" s="96">
        <v>170</v>
      </c>
      <c r="R40" s="96">
        <v>958</v>
      </c>
      <c r="S40" s="96">
        <f t="shared" si="13"/>
        <v>9944</v>
      </c>
    </row>
    <row r="41" spans="1:19" ht="26.4" x14ac:dyDescent="0.7">
      <c r="A41" t="s">
        <v>245</v>
      </c>
      <c r="B41" s="173" t="s">
        <v>210</v>
      </c>
      <c r="C41">
        <v>40</v>
      </c>
      <c r="D41">
        <v>40</v>
      </c>
      <c r="E41">
        <v>37</v>
      </c>
      <c r="F41" s="167" t="s">
        <v>186</v>
      </c>
      <c r="G41" s="96">
        <v>119</v>
      </c>
      <c r="H41" s="96">
        <v>206</v>
      </c>
      <c r="I41" s="96">
        <v>86</v>
      </c>
      <c r="J41" s="96">
        <v>111</v>
      </c>
      <c r="K41" s="96">
        <v>137</v>
      </c>
      <c r="L41" s="96">
        <v>122</v>
      </c>
      <c r="M41" s="96">
        <v>516</v>
      </c>
      <c r="N41" s="96">
        <v>455</v>
      </c>
      <c r="O41" s="96">
        <v>703</v>
      </c>
      <c r="P41" s="96">
        <v>1</v>
      </c>
      <c r="Q41" s="96">
        <v>21</v>
      </c>
      <c r="R41" s="96">
        <v>610</v>
      </c>
      <c r="S41" s="96">
        <f t="shared" si="13"/>
        <v>3087</v>
      </c>
    </row>
    <row r="42" spans="1:19" ht="26.4" x14ac:dyDescent="0.7">
      <c r="A42" t="s">
        <v>245</v>
      </c>
      <c r="B42" s="173" t="s">
        <v>210</v>
      </c>
      <c r="C42">
        <v>41</v>
      </c>
      <c r="D42">
        <v>41</v>
      </c>
      <c r="F42" s="168">
        <v>2005</v>
      </c>
      <c r="G42" s="96">
        <f t="shared" ref="G42:S42" si="15">SUM(G43:G46)</f>
        <v>10508</v>
      </c>
      <c r="H42" s="96">
        <f t="shared" si="15"/>
        <v>13280</v>
      </c>
      <c r="I42" s="96">
        <f t="shared" si="15"/>
        <v>11330</v>
      </c>
      <c r="J42" s="96">
        <f t="shared" si="15"/>
        <v>17176</v>
      </c>
      <c r="K42" s="96">
        <f t="shared" si="15"/>
        <v>7319</v>
      </c>
      <c r="L42" s="96">
        <f t="shared" si="15"/>
        <v>17020</v>
      </c>
      <c r="M42" s="96">
        <f t="shared" si="15"/>
        <v>18700</v>
      </c>
      <c r="N42" s="96">
        <f t="shared" si="15"/>
        <v>9926</v>
      </c>
      <c r="O42" s="96">
        <f t="shared" si="15"/>
        <v>9513</v>
      </c>
      <c r="P42" s="96">
        <f t="shared" si="15"/>
        <v>15509</v>
      </c>
      <c r="Q42" s="96">
        <f t="shared" si="15"/>
        <v>10626</v>
      </c>
      <c r="R42" s="96">
        <f t="shared" si="15"/>
        <v>2124</v>
      </c>
      <c r="S42" s="96">
        <f t="shared" si="15"/>
        <v>143031</v>
      </c>
    </row>
    <row r="43" spans="1:19" ht="26.4" x14ac:dyDescent="0.7">
      <c r="A43" t="s">
        <v>245</v>
      </c>
      <c r="B43" s="173" t="s">
        <v>210</v>
      </c>
      <c r="C43">
        <v>42</v>
      </c>
      <c r="D43">
        <v>42</v>
      </c>
      <c r="E43">
        <v>41</v>
      </c>
      <c r="F43" s="165" t="s">
        <v>178</v>
      </c>
      <c r="G43" s="96">
        <v>335</v>
      </c>
      <c r="H43" s="96">
        <v>646</v>
      </c>
      <c r="I43" s="96">
        <v>618</v>
      </c>
      <c r="J43" s="96">
        <v>519</v>
      </c>
      <c r="K43" s="96">
        <v>1145</v>
      </c>
      <c r="L43" s="96">
        <v>642</v>
      </c>
      <c r="M43" s="96">
        <v>843</v>
      </c>
      <c r="N43" s="96">
        <v>778</v>
      </c>
      <c r="O43" s="96">
        <v>868</v>
      </c>
      <c r="P43" s="96">
        <v>257</v>
      </c>
      <c r="Q43" s="96">
        <v>229</v>
      </c>
      <c r="R43" s="96">
        <v>270</v>
      </c>
      <c r="S43" s="96">
        <f t="shared" ref="S43:S49" si="16">SUM(G43:R43)</f>
        <v>7150</v>
      </c>
    </row>
    <row r="44" spans="1:19" ht="26.4" x14ac:dyDescent="0.7">
      <c r="A44" t="s">
        <v>245</v>
      </c>
      <c r="B44" s="173" t="s">
        <v>210</v>
      </c>
      <c r="C44">
        <v>43</v>
      </c>
      <c r="D44">
        <v>43</v>
      </c>
      <c r="E44">
        <v>41</v>
      </c>
      <c r="F44" s="166" t="s">
        <v>179</v>
      </c>
      <c r="G44" s="96">
        <v>91</v>
      </c>
      <c r="H44" s="96">
        <v>363</v>
      </c>
      <c r="I44" s="96">
        <v>314</v>
      </c>
      <c r="J44" s="96">
        <v>179</v>
      </c>
      <c r="K44" s="96">
        <v>449</v>
      </c>
      <c r="L44" s="96">
        <v>138</v>
      </c>
      <c r="M44" s="96">
        <v>269</v>
      </c>
      <c r="N44" s="96">
        <v>421</v>
      </c>
      <c r="O44" s="96">
        <v>264</v>
      </c>
      <c r="P44" s="96">
        <v>176</v>
      </c>
      <c r="Q44" s="96">
        <v>24</v>
      </c>
      <c r="R44" s="96">
        <v>29</v>
      </c>
      <c r="S44" s="96">
        <f t="shared" si="16"/>
        <v>2717</v>
      </c>
    </row>
    <row r="45" spans="1:19" ht="26.4" x14ac:dyDescent="0.7">
      <c r="A45" t="s">
        <v>245</v>
      </c>
      <c r="B45" s="173" t="s">
        <v>210</v>
      </c>
      <c r="C45">
        <v>44</v>
      </c>
      <c r="D45">
        <v>44</v>
      </c>
      <c r="E45">
        <v>41</v>
      </c>
      <c r="F45" s="166" t="s">
        <v>180</v>
      </c>
      <c r="G45" s="96">
        <v>614</v>
      </c>
      <c r="H45" s="96">
        <v>5</v>
      </c>
      <c r="I45" s="96">
        <v>518</v>
      </c>
      <c r="J45" s="96">
        <v>275</v>
      </c>
      <c r="K45" s="96">
        <v>100</v>
      </c>
      <c r="L45" s="96">
        <v>180</v>
      </c>
      <c r="M45" s="96">
        <v>302</v>
      </c>
      <c r="N45" s="96">
        <v>354</v>
      </c>
      <c r="O45" s="96">
        <v>470</v>
      </c>
      <c r="P45" s="96">
        <v>12</v>
      </c>
      <c r="Q45" s="96">
        <v>566</v>
      </c>
      <c r="R45" s="96">
        <v>210</v>
      </c>
      <c r="S45" s="96">
        <f t="shared" si="16"/>
        <v>3606</v>
      </c>
    </row>
    <row r="46" spans="1:19" ht="26.4" x14ac:dyDescent="0.7">
      <c r="A46" t="s">
        <v>245</v>
      </c>
      <c r="B46" s="173" t="s">
        <v>210</v>
      </c>
      <c r="C46">
        <v>45</v>
      </c>
      <c r="D46">
        <v>45</v>
      </c>
      <c r="E46">
        <v>41</v>
      </c>
      <c r="F46" s="165" t="s">
        <v>183</v>
      </c>
      <c r="G46" s="96">
        <f t="shared" ref="G46:R46" si="17">SUM(G47:G49)</f>
        <v>9468</v>
      </c>
      <c r="H46" s="96">
        <f t="shared" si="17"/>
        <v>12266</v>
      </c>
      <c r="I46" s="96">
        <f t="shared" si="17"/>
        <v>9880</v>
      </c>
      <c r="J46" s="96">
        <f t="shared" si="17"/>
        <v>16203</v>
      </c>
      <c r="K46" s="96">
        <f t="shared" si="17"/>
        <v>5625</v>
      </c>
      <c r="L46" s="96">
        <f t="shared" si="17"/>
        <v>16060</v>
      </c>
      <c r="M46" s="96">
        <f t="shared" si="17"/>
        <v>17286</v>
      </c>
      <c r="N46" s="96">
        <f t="shared" si="17"/>
        <v>8373</v>
      </c>
      <c r="O46" s="96">
        <f t="shared" si="17"/>
        <v>7911</v>
      </c>
      <c r="P46" s="96">
        <f t="shared" si="17"/>
        <v>15064</v>
      </c>
      <c r="Q46" s="96">
        <f t="shared" si="17"/>
        <v>9807</v>
      </c>
      <c r="R46" s="96">
        <f t="shared" si="17"/>
        <v>1615</v>
      </c>
      <c r="S46" s="96">
        <f t="shared" si="16"/>
        <v>129558</v>
      </c>
    </row>
    <row r="47" spans="1:19" ht="26.4" x14ac:dyDescent="0.7">
      <c r="A47" t="s">
        <v>245</v>
      </c>
      <c r="B47" s="173" t="s">
        <v>210</v>
      </c>
      <c r="C47">
        <v>46</v>
      </c>
      <c r="D47">
        <v>46</v>
      </c>
      <c r="E47">
        <v>45</v>
      </c>
      <c r="F47" s="167" t="s">
        <v>184</v>
      </c>
      <c r="G47" s="96">
        <v>7256</v>
      </c>
      <c r="H47" s="96">
        <v>9898</v>
      </c>
      <c r="I47" s="96">
        <v>8114</v>
      </c>
      <c r="J47" s="96">
        <v>14862</v>
      </c>
      <c r="K47" s="96">
        <v>4222</v>
      </c>
      <c r="L47" s="96">
        <v>14854</v>
      </c>
      <c r="M47" s="96">
        <v>16073</v>
      </c>
      <c r="N47" s="96">
        <v>7007</v>
      </c>
      <c r="O47" s="96">
        <v>6315</v>
      </c>
      <c r="P47" s="96">
        <v>14701</v>
      </c>
      <c r="Q47" s="96">
        <v>9552</v>
      </c>
      <c r="R47" s="96">
        <v>1274</v>
      </c>
      <c r="S47" s="96">
        <f t="shared" si="16"/>
        <v>114128</v>
      </c>
    </row>
    <row r="48" spans="1:19" ht="26.4" x14ac:dyDescent="0.7">
      <c r="A48" t="s">
        <v>245</v>
      </c>
      <c r="B48" s="173" t="s">
        <v>210</v>
      </c>
      <c r="C48">
        <v>47</v>
      </c>
      <c r="D48">
        <v>47</v>
      </c>
      <c r="E48">
        <v>45</v>
      </c>
      <c r="F48" s="167" t="s">
        <v>185</v>
      </c>
      <c r="G48" s="96">
        <v>1548</v>
      </c>
      <c r="H48" s="96">
        <v>1595</v>
      </c>
      <c r="I48" s="96">
        <v>1242</v>
      </c>
      <c r="J48" s="96">
        <v>1064</v>
      </c>
      <c r="K48" s="96">
        <v>1045</v>
      </c>
      <c r="L48" s="96">
        <v>943</v>
      </c>
      <c r="M48" s="96">
        <v>859</v>
      </c>
      <c r="N48" s="96">
        <v>1105</v>
      </c>
      <c r="O48" s="96">
        <v>881</v>
      </c>
      <c r="P48" s="96">
        <v>226</v>
      </c>
      <c r="Q48" s="96">
        <v>238</v>
      </c>
      <c r="R48" s="96">
        <v>268</v>
      </c>
      <c r="S48" s="96">
        <f t="shared" si="16"/>
        <v>11014</v>
      </c>
    </row>
    <row r="49" spans="1:19" ht="26.4" x14ac:dyDescent="0.7">
      <c r="A49" t="s">
        <v>245</v>
      </c>
      <c r="B49" s="173" t="s">
        <v>210</v>
      </c>
      <c r="C49">
        <v>48</v>
      </c>
      <c r="D49">
        <v>48</v>
      </c>
      <c r="E49">
        <v>45</v>
      </c>
      <c r="F49" s="167" t="s">
        <v>186</v>
      </c>
      <c r="G49" s="96">
        <v>664</v>
      </c>
      <c r="H49" s="96">
        <v>773</v>
      </c>
      <c r="I49" s="96">
        <v>524</v>
      </c>
      <c r="J49" s="96">
        <v>277</v>
      </c>
      <c r="K49" s="96">
        <v>358</v>
      </c>
      <c r="L49" s="96">
        <v>263</v>
      </c>
      <c r="M49" s="96">
        <v>354</v>
      </c>
      <c r="N49" s="96">
        <v>261</v>
      </c>
      <c r="O49" s="96">
        <v>715</v>
      </c>
      <c r="P49" s="96">
        <v>137</v>
      </c>
      <c r="Q49" s="96">
        <v>17</v>
      </c>
      <c r="R49" s="96">
        <v>73</v>
      </c>
      <c r="S49" s="96">
        <f t="shared" si="16"/>
        <v>4416</v>
      </c>
    </row>
    <row r="50" spans="1:19" ht="26.4" x14ac:dyDescent="0.7">
      <c r="A50" t="s">
        <v>245</v>
      </c>
      <c r="B50" s="173" t="s">
        <v>210</v>
      </c>
      <c r="C50">
        <v>49</v>
      </c>
      <c r="D50">
        <v>49</v>
      </c>
      <c r="F50" s="168">
        <v>2006</v>
      </c>
      <c r="G50" s="88">
        <f t="shared" ref="G50:S50" si="18">SUM(G51:G54)</f>
        <v>11077</v>
      </c>
      <c r="H50" s="88">
        <f t="shared" si="18"/>
        <v>19131</v>
      </c>
      <c r="I50" s="88">
        <f t="shared" si="18"/>
        <v>50947</v>
      </c>
      <c r="J50" s="88">
        <f t="shared" si="18"/>
        <v>19701</v>
      </c>
      <c r="K50" s="88">
        <f t="shared" si="18"/>
        <v>18216</v>
      </c>
      <c r="L50" s="88">
        <f t="shared" si="18"/>
        <v>34835</v>
      </c>
      <c r="M50" s="88">
        <f t="shared" si="18"/>
        <v>21018</v>
      </c>
      <c r="N50" s="88">
        <f t="shared" si="18"/>
        <v>21569</v>
      </c>
      <c r="O50" s="88">
        <f t="shared" si="18"/>
        <v>44087</v>
      </c>
      <c r="P50" s="88">
        <f t="shared" si="18"/>
        <v>3543</v>
      </c>
      <c r="Q50" s="88">
        <f t="shared" si="18"/>
        <v>10620</v>
      </c>
      <c r="R50" s="88">
        <f t="shared" si="18"/>
        <v>13756</v>
      </c>
      <c r="S50" s="88">
        <f t="shared" si="18"/>
        <v>268500</v>
      </c>
    </row>
    <row r="51" spans="1:19" ht="26.4" x14ac:dyDescent="0.7">
      <c r="A51" t="s">
        <v>245</v>
      </c>
      <c r="B51" s="173" t="s">
        <v>210</v>
      </c>
      <c r="C51">
        <v>50</v>
      </c>
      <c r="D51">
        <v>50</v>
      </c>
      <c r="E51">
        <v>49</v>
      </c>
      <c r="F51" s="165" t="s">
        <v>178</v>
      </c>
      <c r="G51" s="88">
        <v>5260</v>
      </c>
      <c r="H51" s="88">
        <v>9111</v>
      </c>
      <c r="I51" s="88">
        <v>25099</v>
      </c>
      <c r="J51" s="88">
        <v>9548</v>
      </c>
      <c r="K51" s="88">
        <v>8287</v>
      </c>
      <c r="L51" s="88">
        <v>16723</v>
      </c>
      <c r="M51" s="88">
        <v>9824</v>
      </c>
      <c r="N51" s="88">
        <v>10230</v>
      </c>
      <c r="O51" s="88">
        <v>21245</v>
      </c>
      <c r="P51" s="88">
        <v>144</v>
      </c>
      <c r="Q51" s="88">
        <v>83</v>
      </c>
      <c r="R51" s="88">
        <v>292</v>
      </c>
      <c r="S51" s="88">
        <f t="shared" ref="S51:S65" si="19">SUM(G51:R51)</f>
        <v>115846</v>
      </c>
    </row>
    <row r="52" spans="1:19" ht="26.4" x14ac:dyDescent="0.7">
      <c r="A52" t="s">
        <v>245</v>
      </c>
      <c r="B52" s="173" t="s">
        <v>210</v>
      </c>
      <c r="C52">
        <v>51</v>
      </c>
      <c r="D52">
        <v>51</v>
      </c>
      <c r="E52">
        <v>49</v>
      </c>
      <c r="F52" s="166" t="s">
        <v>179</v>
      </c>
      <c r="G52" s="88">
        <v>409</v>
      </c>
      <c r="H52" s="88">
        <v>466</v>
      </c>
      <c r="I52" s="88">
        <v>461</v>
      </c>
      <c r="J52" s="88">
        <v>476</v>
      </c>
      <c r="K52" s="88">
        <v>1356</v>
      </c>
      <c r="L52" s="88">
        <v>1258</v>
      </c>
      <c r="M52" s="88">
        <v>1054</v>
      </c>
      <c r="N52" s="88">
        <v>919</v>
      </c>
      <c r="O52" s="88">
        <v>1309</v>
      </c>
      <c r="P52" s="88">
        <v>21</v>
      </c>
      <c r="Q52" s="88">
        <v>116</v>
      </c>
      <c r="R52" s="88">
        <v>262</v>
      </c>
      <c r="S52" s="88">
        <f t="shared" si="19"/>
        <v>8107</v>
      </c>
    </row>
    <row r="53" spans="1:19" ht="26.4" x14ac:dyDescent="0.7">
      <c r="A53" t="s">
        <v>245</v>
      </c>
      <c r="B53" s="173" t="s">
        <v>210</v>
      </c>
      <c r="C53">
        <v>52</v>
      </c>
      <c r="D53">
        <v>52</v>
      </c>
      <c r="E53">
        <v>49</v>
      </c>
      <c r="F53" s="166" t="s">
        <v>180</v>
      </c>
      <c r="G53" s="88">
        <v>148</v>
      </c>
      <c r="H53" s="88">
        <v>443</v>
      </c>
      <c r="I53" s="88">
        <v>288</v>
      </c>
      <c r="J53" s="88">
        <v>129</v>
      </c>
      <c r="K53" s="88">
        <v>286</v>
      </c>
      <c r="L53" s="88">
        <v>131</v>
      </c>
      <c r="M53" s="88">
        <v>316</v>
      </c>
      <c r="N53" s="88">
        <v>190</v>
      </c>
      <c r="O53" s="88">
        <v>288</v>
      </c>
      <c r="P53" s="88">
        <v>19</v>
      </c>
      <c r="Q53" s="88">
        <v>9</v>
      </c>
      <c r="R53" s="88">
        <v>98</v>
      </c>
      <c r="S53" s="88">
        <f t="shared" si="19"/>
        <v>2345</v>
      </c>
    </row>
    <row r="54" spans="1:19" ht="26.4" x14ac:dyDescent="0.7">
      <c r="A54" t="s">
        <v>245</v>
      </c>
      <c r="B54" s="173" t="s">
        <v>210</v>
      </c>
      <c r="C54">
        <v>53</v>
      </c>
      <c r="D54">
        <v>53</v>
      </c>
      <c r="E54">
        <v>49</v>
      </c>
      <c r="F54" s="165" t="s">
        <v>183</v>
      </c>
      <c r="G54" s="88">
        <f t="shared" ref="G54:R54" si="20">SUM(G55:G57)</f>
        <v>5260</v>
      </c>
      <c r="H54" s="88">
        <f t="shared" si="20"/>
        <v>9111</v>
      </c>
      <c r="I54" s="88">
        <f t="shared" si="20"/>
        <v>25099</v>
      </c>
      <c r="J54" s="88">
        <f t="shared" si="20"/>
        <v>9548</v>
      </c>
      <c r="K54" s="88">
        <f t="shared" si="20"/>
        <v>8287</v>
      </c>
      <c r="L54" s="88">
        <f t="shared" si="20"/>
        <v>16723</v>
      </c>
      <c r="M54" s="88">
        <f t="shared" si="20"/>
        <v>9824</v>
      </c>
      <c r="N54" s="88">
        <f t="shared" si="20"/>
        <v>10230</v>
      </c>
      <c r="O54" s="88">
        <f t="shared" si="20"/>
        <v>21245</v>
      </c>
      <c r="P54" s="88">
        <f t="shared" si="20"/>
        <v>3359</v>
      </c>
      <c r="Q54" s="88">
        <f t="shared" si="20"/>
        <v>10412</v>
      </c>
      <c r="R54" s="88">
        <f t="shared" si="20"/>
        <v>13104</v>
      </c>
      <c r="S54" s="88">
        <f t="shared" si="19"/>
        <v>142202</v>
      </c>
    </row>
    <row r="55" spans="1:19" ht="26.4" x14ac:dyDescent="0.7">
      <c r="A55" t="s">
        <v>245</v>
      </c>
      <c r="B55" s="173" t="s">
        <v>210</v>
      </c>
      <c r="C55">
        <v>54</v>
      </c>
      <c r="D55">
        <v>54</v>
      </c>
      <c r="E55">
        <v>53</v>
      </c>
      <c r="F55" s="167" t="s">
        <v>184</v>
      </c>
      <c r="G55" s="90">
        <v>2564</v>
      </c>
      <c r="H55" s="90">
        <v>8005</v>
      </c>
      <c r="I55" s="90">
        <v>23991</v>
      </c>
      <c r="J55" s="90">
        <v>8651</v>
      </c>
      <c r="K55" s="90">
        <v>6468</v>
      </c>
      <c r="L55" s="90">
        <v>14976</v>
      </c>
      <c r="M55" s="90">
        <v>9365</v>
      </c>
      <c r="N55" s="90">
        <v>9671</v>
      </c>
      <c r="O55" s="90">
        <v>20323</v>
      </c>
      <c r="P55" s="90">
        <v>3289</v>
      </c>
      <c r="Q55" s="90">
        <v>10203</v>
      </c>
      <c r="R55" s="90">
        <v>12264</v>
      </c>
      <c r="S55" s="88">
        <f t="shared" si="19"/>
        <v>129770</v>
      </c>
    </row>
    <row r="56" spans="1:19" ht="26.4" x14ac:dyDescent="0.7">
      <c r="A56" t="s">
        <v>245</v>
      </c>
      <c r="B56" s="173" t="s">
        <v>210</v>
      </c>
      <c r="C56">
        <v>55</v>
      </c>
      <c r="D56">
        <v>55</v>
      </c>
      <c r="E56">
        <v>53</v>
      </c>
      <c r="F56" s="167" t="s">
        <v>185</v>
      </c>
      <c r="G56" s="90">
        <v>2117</v>
      </c>
      <c r="H56" s="90">
        <v>988</v>
      </c>
      <c r="I56" s="90">
        <v>926</v>
      </c>
      <c r="J56" s="90">
        <v>817</v>
      </c>
      <c r="K56" s="90">
        <v>1358</v>
      </c>
      <c r="L56" s="90">
        <v>1618</v>
      </c>
      <c r="M56" s="90">
        <v>317</v>
      </c>
      <c r="N56" s="90">
        <v>216</v>
      </c>
      <c r="O56" s="90">
        <v>784</v>
      </c>
      <c r="P56" s="90">
        <v>42</v>
      </c>
      <c r="Q56" s="90">
        <v>169</v>
      </c>
      <c r="R56" s="90">
        <v>730</v>
      </c>
      <c r="S56" s="88">
        <f t="shared" si="19"/>
        <v>10082</v>
      </c>
    </row>
    <row r="57" spans="1:19" ht="26.4" x14ac:dyDescent="0.7">
      <c r="A57" t="s">
        <v>245</v>
      </c>
      <c r="B57" s="173" t="s">
        <v>210</v>
      </c>
      <c r="C57">
        <v>56</v>
      </c>
      <c r="D57">
        <v>56</v>
      </c>
      <c r="E57">
        <v>53</v>
      </c>
      <c r="F57" s="167" t="s">
        <v>186</v>
      </c>
      <c r="G57" s="90">
        <v>579</v>
      </c>
      <c r="H57" s="90">
        <v>118</v>
      </c>
      <c r="I57" s="90">
        <v>182</v>
      </c>
      <c r="J57" s="90">
        <v>80</v>
      </c>
      <c r="K57" s="90">
        <v>461</v>
      </c>
      <c r="L57" s="90">
        <v>129</v>
      </c>
      <c r="M57" s="90">
        <v>142</v>
      </c>
      <c r="N57" s="90">
        <v>343</v>
      </c>
      <c r="O57" s="90">
        <v>138</v>
      </c>
      <c r="P57" s="90">
        <v>28</v>
      </c>
      <c r="Q57" s="90">
        <v>40</v>
      </c>
      <c r="R57" s="90">
        <v>110</v>
      </c>
      <c r="S57" s="88">
        <f t="shared" si="19"/>
        <v>2350</v>
      </c>
    </row>
    <row r="58" spans="1:19" ht="26.4" x14ac:dyDescent="0.7">
      <c r="A58" t="s">
        <v>245</v>
      </c>
      <c r="B58" s="173" t="s">
        <v>210</v>
      </c>
      <c r="C58">
        <v>57</v>
      </c>
      <c r="D58">
        <v>57</v>
      </c>
      <c r="F58" s="168">
        <v>2007</v>
      </c>
      <c r="G58" s="88">
        <f t="shared" ref="G58:S58" si="21">SUM(G59:G62)</f>
        <v>16549</v>
      </c>
      <c r="H58" s="88">
        <f t="shared" si="21"/>
        <v>10638</v>
      </c>
      <c r="I58" s="88">
        <f t="shared" si="21"/>
        <v>23408</v>
      </c>
      <c r="J58" s="88">
        <f t="shared" si="21"/>
        <v>12599</v>
      </c>
      <c r="K58" s="88">
        <f t="shared" si="21"/>
        <v>15124</v>
      </c>
      <c r="L58" s="88">
        <f t="shared" si="21"/>
        <v>13754</v>
      </c>
      <c r="M58" s="88">
        <f t="shared" si="21"/>
        <v>12300</v>
      </c>
      <c r="N58" s="88">
        <f t="shared" si="21"/>
        <v>27780</v>
      </c>
      <c r="O58" s="88">
        <f t="shared" si="21"/>
        <v>25225</v>
      </c>
      <c r="P58" s="88">
        <f t="shared" si="21"/>
        <v>7592</v>
      </c>
      <c r="Q58" s="88">
        <f t="shared" si="21"/>
        <v>15825</v>
      </c>
      <c r="R58" s="88">
        <f t="shared" si="21"/>
        <v>17193</v>
      </c>
      <c r="S58" s="88">
        <f t="shared" si="21"/>
        <v>197987</v>
      </c>
    </row>
    <row r="59" spans="1:19" ht="26.4" x14ac:dyDescent="0.7">
      <c r="A59" t="s">
        <v>245</v>
      </c>
      <c r="B59" s="173" t="s">
        <v>210</v>
      </c>
      <c r="C59">
        <v>58</v>
      </c>
      <c r="D59">
        <v>58</v>
      </c>
      <c r="E59">
        <v>57</v>
      </c>
      <c r="F59" s="165" t="s">
        <v>178</v>
      </c>
      <c r="G59" s="88">
        <v>562</v>
      </c>
      <c r="H59" s="88">
        <v>543</v>
      </c>
      <c r="I59" s="88">
        <v>961</v>
      </c>
      <c r="J59" s="88">
        <v>907</v>
      </c>
      <c r="K59" s="88">
        <v>3113</v>
      </c>
      <c r="L59" s="88">
        <v>2369</v>
      </c>
      <c r="M59" s="88">
        <v>2759</v>
      </c>
      <c r="N59" s="88">
        <v>2800</v>
      </c>
      <c r="O59" s="88">
        <v>2042</v>
      </c>
      <c r="P59" s="88">
        <v>979</v>
      </c>
      <c r="Q59" s="88">
        <v>841</v>
      </c>
      <c r="R59" s="88">
        <v>783</v>
      </c>
      <c r="S59" s="88">
        <f t="shared" si="19"/>
        <v>18659</v>
      </c>
    </row>
    <row r="60" spans="1:19" ht="26.4" x14ac:dyDescent="0.7">
      <c r="A60" t="s">
        <v>245</v>
      </c>
      <c r="B60" s="173" t="s">
        <v>210</v>
      </c>
      <c r="C60">
        <v>59</v>
      </c>
      <c r="D60">
        <v>59</v>
      </c>
      <c r="E60">
        <v>57</v>
      </c>
      <c r="F60" s="166" t="s">
        <v>179</v>
      </c>
      <c r="G60" s="88">
        <v>283</v>
      </c>
      <c r="H60" s="88">
        <v>248</v>
      </c>
      <c r="I60" s="88">
        <v>564</v>
      </c>
      <c r="J60" s="88">
        <v>567</v>
      </c>
      <c r="K60" s="88">
        <v>501</v>
      </c>
      <c r="L60" s="88">
        <v>555</v>
      </c>
      <c r="M60" s="88">
        <v>350</v>
      </c>
      <c r="N60" s="88">
        <v>347</v>
      </c>
      <c r="O60" s="88">
        <v>317</v>
      </c>
      <c r="P60" s="88">
        <v>319</v>
      </c>
      <c r="Q60" s="88">
        <v>37</v>
      </c>
      <c r="R60" s="88">
        <v>239</v>
      </c>
      <c r="S60" s="88">
        <f t="shared" si="19"/>
        <v>4327</v>
      </c>
    </row>
    <row r="61" spans="1:19" ht="26.4" x14ac:dyDescent="0.7">
      <c r="A61" t="s">
        <v>245</v>
      </c>
      <c r="B61" s="173" t="s">
        <v>210</v>
      </c>
      <c r="C61">
        <v>60</v>
      </c>
      <c r="D61">
        <v>60</v>
      </c>
      <c r="E61">
        <v>57</v>
      </c>
      <c r="F61" s="166" t="s">
        <v>180</v>
      </c>
      <c r="G61" s="88">
        <v>345</v>
      </c>
      <c r="H61" s="88">
        <v>533</v>
      </c>
      <c r="I61" s="88">
        <v>1324</v>
      </c>
      <c r="J61" s="88">
        <v>800</v>
      </c>
      <c r="K61" s="88">
        <v>300</v>
      </c>
      <c r="L61" s="88">
        <v>333</v>
      </c>
      <c r="M61" s="88">
        <v>182</v>
      </c>
      <c r="N61" s="88">
        <v>774</v>
      </c>
      <c r="O61" s="88">
        <v>697</v>
      </c>
      <c r="P61" s="88">
        <v>15</v>
      </c>
      <c r="Q61" s="88">
        <v>124</v>
      </c>
      <c r="R61" s="88">
        <v>218</v>
      </c>
      <c r="S61" s="88">
        <f t="shared" si="19"/>
        <v>5645</v>
      </c>
    </row>
    <row r="62" spans="1:19" ht="26.4" x14ac:dyDescent="0.7">
      <c r="A62" t="s">
        <v>245</v>
      </c>
      <c r="B62" s="173" t="s">
        <v>210</v>
      </c>
      <c r="C62">
        <v>61</v>
      </c>
      <c r="D62">
        <v>61</v>
      </c>
      <c r="E62">
        <v>57</v>
      </c>
      <c r="F62" s="165" t="s">
        <v>183</v>
      </c>
      <c r="G62" s="88">
        <v>15359</v>
      </c>
      <c r="H62" s="88">
        <v>9314</v>
      </c>
      <c r="I62" s="88">
        <v>20559</v>
      </c>
      <c r="J62" s="88">
        <v>10325</v>
      </c>
      <c r="K62" s="88">
        <v>11210</v>
      </c>
      <c r="L62" s="88">
        <v>10497</v>
      </c>
      <c r="M62" s="88">
        <v>9009</v>
      </c>
      <c r="N62" s="88">
        <v>23859</v>
      </c>
      <c r="O62" s="88">
        <v>22169</v>
      </c>
      <c r="P62" s="88">
        <v>6279</v>
      </c>
      <c r="Q62" s="88">
        <v>14823</v>
      </c>
      <c r="R62" s="88">
        <v>15953</v>
      </c>
      <c r="S62" s="88">
        <f t="shared" si="19"/>
        <v>169356</v>
      </c>
    </row>
    <row r="63" spans="1:19" ht="26.4" x14ac:dyDescent="0.7">
      <c r="A63" t="s">
        <v>245</v>
      </c>
      <c r="B63" s="173" t="s">
        <v>210</v>
      </c>
      <c r="C63">
        <v>62</v>
      </c>
      <c r="D63">
        <v>62</v>
      </c>
      <c r="E63">
        <v>61</v>
      </c>
      <c r="F63" s="167" t="s">
        <v>184</v>
      </c>
      <c r="G63" s="88">
        <v>12613</v>
      </c>
      <c r="H63" s="88">
        <v>8462</v>
      </c>
      <c r="I63" s="88">
        <v>17910</v>
      </c>
      <c r="J63" s="88">
        <v>8182</v>
      </c>
      <c r="K63" s="88">
        <v>8937</v>
      </c>
      <c r="L63" s="88">
        <v>8156</v>
      </c>
      <c r="M63" s="88">
        <v>7438</v>
      </c>
      <c r="N63" s="88">
        <v>21083</v>
      </c>
      <c r="O63" s="88">
        <v>20568</v>
      </c>
      <c r="P63" s="88">
        <v>5725</v>
      </c>
      <c r="Q63" s="88">
        <v>14512</v>
      </c>
      <c r="R63" s="88">
        <v>13564</v>
      </c>
      <c r="S63" s="88">
        <f t="shared" si="19"/>
        <v>147150</v>
      </c>
    </row>
    <row r="64" spans="1:19" ht="26.4" x14ac:dyDescent="0.7">
      <c r="A64" t="s">
        <v>245</v>
      </c>
      <c r="B64" s="173" t="s">
        <v>210</v>
      </c>
      <c r="C64">
        <v>63</v>
      </c>
      <c r="D64">
        <v>63</v>
      </c>
      <c r="E64">
        <v>61</v>
      </c>
      <c r="F64" s="167" t="s">
        <v>185</v>
      </c>
      <c r="G64" s="88">
        <v>2367</v>
      </c>
      <c r="H64" s="88">
        <v>700</v>
      </c>
      <c r="I64" s="88">
        <v>2342</v>
      </c>
      <c r="J64" s="88">
        <v>1928</v>
      </c>
      <c r="K64" s="88">
        <v>2039</v>
      </c>
      <c r="L64" s="88">
        <v>2239</v>
      </c>
      <c r="M64" s="88">
        <v>1406</v>
      </c>
      <c r="N64" s="88">
        <v>1365</v>
      </c>
      <c r="O64" s="88">
        <v>604</v>
      </c>
      <c r="P64" s="88">
        <v>207</v>
      </c>
      <c r="Q64" s="88">
        <v>218</v>
      </c>
      <c r="R64" s="88">
        <v>804</v>
      </c>
      <c r="S64" s="88">
        <f t="shared" si="19"/>
        <v>16219</v>
      </c>
    </row>
    <row r="65" spans="1:19" ht="26.4" x14ac:dyDescent="0.7">
      <c r="A65" t="s">
        <v>245</v>
      </c>
      <c r="B65" s="173" t="s">
        <v>210</v>
      </c>
      <c r="C65">
        <v>64</v>
      </c>
      <c r="D65">
        <v>64</v>
      </c>
      <c r="E65">
        <v>61</v>
      </c>
      <c r="F65" s="167" t="s">
        <v>186</v>
      </c>
      <c r="G65" s="88">
        <v>379</v>
      </c>
      <c r="H65" s="88">
        <v>152</v>
      </c>
      <c r="I65" s="88">
        <v>307</v>
      </c>
      <c r="J65" s="88">
        <v>215</v>
      </c>
      <c r="K65" s="88">
        <v>234</v>
      </c>
      <c r="L65" s="88">
        <v>102</v>
      </c>
      <c r="M65" s="88">
        <v>165</v>
      </c>
      <c r="N65" s="88">
        <v>1411</v>
      </c>
      <c r="O65" s="88">
        <v>997</v>
      </c>
      <c r="P65" s="88">
        <v>347</v>
      </c>
      <c r="Q65" s="88">
        <v>93</v>
      </c>
      <c r="R65" s="88">
        <v>1585</v>
      </c>
      <c r="S65" s="88">
        <f t="shared" si="19"/>
        <v>5987</v>
      </c>
    </row>
    <row r="66" spans="1:19" ht="26.4" x14ac:dyDescent="0.7">
      <c r="A66" t="s">
        <v>245</v>
      </c>
      <c r="B66" s="173" t="s">
        <v>210</v>
      </c>
      <c r="C66">
        <v>65</v>
      </c>
      <c r="D66">
        <v>65</v>
      </c>
      <c r="F66" s="168">
        <v>2008</v>
      </c>
      <c r="G66" s="96">
        <f t="shared" ref="G66:R66" si="22">SUM(G67:G70)</f>
        <v>30420</v>
      </c>
      <c r="H66" s="96">
        <f t="shared" si="22"/>
        <v>22632</v>
      </c>
      <c r="I66" s="96">
        <f t="shared" si="22"/>
        <v>20487</v>
      </c>
      <c r="J66" s="96">
        <f t="shared" si="22"/>
        <v>31345</v>
      </c>
      <c r="K66" s="96">
        <f t="shared" si="22"/>
        <v>11779</v>
      </c>
      <c r="L66" s="96">
        <f t="shared" si="22"/>
        <v>5075</v>
      </c>
      <c r="M66" s="96">
        <f t="shared" si="22"/>
        <v>15716</v>
      </c>
      <c r="N66" s="96">
        <f t="shared" si="22"/>
        <v>5827</v>
      </c>
      <c r="O66" s="96">
        <f t="shared" si="22"/>
        <v>5798</v>
      </c>
      <c r="P66" s="96">
        <f t="shared" si="22"/>
        <v>34749</v>
      </c>
      <c r="Q66" s="96">
        <f t="shared" si="22"/>
        <v>6548</v>
      </c>
      <c r="R66" s="96">
        <f t="shared" si="22"/>
        <v>28655</v>
      </c>
      <c r="S66" s="96">
        <f>SUM(S67:S70)</f>
        <v>219031</v>
      </c>
    </row>
    <row r="67" spans="1:19" ht="26.4" x14ac:dyDescent="0.7">
      <c r="A67" t="s">
        <v>245</v>
      </c>
      <c r="B67" s="173" t="s">
        <v>210</v>
      </c>
      <c r="C67">
        <v>66</v>
      </c>
      <c r="D67">
        <v>66</v>
      </c>
      <c r="E67">
        <v>65</v>
      </c>
      <c r="F67" s="165" t="s">
        <v>178</v>
      </c>
      <c r="G67" s="96">
        <v>900</v>
      </c>
      <c r="H67" s="96">
        <v>1312</v>
      </c>
      <c r="I67" s="96">
        <v>1890</v>
      </c>
      <c r="J67" s="96">
        <v>1518</v>
      </c>
      <c r="K67" s="96">
        <v>1529</v>
      </c>
      <c r="L67" s="96">
        <v>731</v>
      </c>
      <c r="M67" s="96">
        <v>1190</v>
      </c>
      <c r="N67" s="96">
        <v>445</v>
      </c>
      <c r="O67" s="96">
        <v>337</v>
      </c>
      <c r="P67" s="96">
        <v>311</v>
      </c>
      <c r="Q67" s="96">
        <v>323</v>
      </c>
      <c r="R67" s="96">
        <v>237</v>
      </c>
      <c r="S67" s="96">
        <f t="shared" ref="S67:S73" si="23">SUM(G67:R67)</f>
        <v>10723</v>
      </c>
    </row>
    <row r="68" spans="1:19" ht="26.4" x14ac:dyDescent="0.7">
      <c r="A68" t="s">
        <v>245</v>
      </c>
      <c r="B68" s="173" t="s">
        <v>210</v>
      </c>
      <c r="C68">
        <v>67</v>
      </c>
      <c r="D68">
        <v>67</v>
      </c>
      <c r="E68">
        <v>65</v>
      </c>
      <c r="F68" s="166" t="s">
        <v>179</v>
      </c>
      <c r="G68" s="96">
        <v>245</v>
      </c>
      <c r="H68" s="96">
        <v>367</v>
      </c>
      <c r="I68" s="96">
        <v>216</v>
      </c>
      <c r="J68" s="96">
        <v>760</v>
      </c>
      <c r="K68" s="96">
        <v>88</v>
      </c>
      <c r="L68" s="96">
        <v>230</v>
      </c>
      <c r="M68" s="96">
        <v>464</v>
      </c>
      <c r="N68" s="96">
        <v>114</v>
      </c>
      <c r="O68" s="96">
        <v>117</v>
      </c>
      <c r="P68" s="96">
        <v>119</v>
      </c>
      <c r="Q68" s="96">
        <v>56</v>
      </c>
      <c r="R68" s="96">
        <v>61</v>
      </c>
      <c r="S68" s="96">
        <f t="shared" si="23"/>
        <v>2837</v>
      </c>
    </row>
    <row r="69" spans="1:19" ht="26.4" x14ac:dyDescent="0.7">
      <c r="A69" t="s">
        <v>245</v>
      </c>
      <c r="B69" s="173" t="s">
        <v>210</v>
      </c>
      <c r="C69">
        <v>68</v>
      </c>
      <c r="D69">
        <v>68</v>
      </c>
      <c r="E69">
        <v>65</v>
      </c>
      <c r="F69" s="166" t="s">
        <v>180</v>
      </c>
      <c r="G69" s="96">
        <v>152</v>
      </c>
      <c r="H69" s="96">
        <v>273</v>
      </c>
      <c r="I69" s="96">
        <v>246</v>
      </c>
      <c r="J69" s="96">
        <v>295</v>
      </c>
      <c r="K69" s="96">
        <v>159</v>
      </c>
      <c r="L69" s="96">
        <v>385</v>
      </c>
      <c r="M69" s="96">
        <v>395</v>
      </c>
      <c r="N69" s="96">
        <v>269</v>
      </c>
      <c r="O69" s="96">
        <v>267</v>
      </c>
      <c r="P69" s="96">
        <v>56</v>
      </c>
      <c r="Q69" s="96">
        <v>92</v>
      </c>
      <c r="R69" s="96">
        <v>97</v>
      </c>
      <c r="S69" s="96">
        <f t="shared" si="23"/>
        <v>2686</v>
      </c>
    </row>
    <row r="70" spans="1:19" ht="26.4" x14ac:dyDescent="0.7">
      <c r="A70" t="s">
        <v>245</v>
      </c>
      <c r="B70" s="173" t="s">
        <v>210</v>
      </c>
      <c r="C70">
        <v>69</v>
      </c>
      <c r="D70">
        <v>69</v>
      </c>
      <c r="E70">
        <v>65</v>
      </c>
      <c r="F70" s="165" t="s">
        <v>183</v>
      </c>
      <c r="G70" s="96">
        <v>29123</v>
      </c>
      <c r="H70" s="96">
        <v>20680</v>
      </c>
      <c r="I70" s="96">
        <v>18135</v>
      </c>
      <c r="J70" s="96">
        <v>28772</v>
      </c>
      <c r="K70" s="96">
        <v>10003</v>
      </c>
      <c r="L70" s="96">
        <v>3729</v>
      </c>
      <c r="M70" s="96">
        <v>13667</v>
      </c>
      <c r="N70" s="96">
        <v>4999</v>
      </c>
      <c r="O70" s="96">
        <v>5077</v>
      </c>
      <c r="P70" s="96">
        <v>34263</v>
      </c>
      <c r="Q70" s="96">
        <v>6077</v>
      </c>
      <c r="R70" s="96">
        <v>28260</v>
      </c>
      <c r="S70" s="96">
        <f t="shared" si="23"/>
        <v>202785</v>
      </c>
    </row>
    <row r="71" spans="1:19" ht="26.4" x14ac:dyDescent="0.7">
      <c r="A71" t="s">
        <v>245</v>
      </c>
      <c r="B71" s="173" t="s">
        <v>210</v>
      </c>
      <c r="C71">
        <v>70</v>
      </c>
      <c r="D71">
        <v>70</v>
      </c>
      <c r="E71">
        <v>69</v>
      </c>
      <c r="F71" s="167" t="s">
        <v>184</v>
      </c>
      <c r="G71" s="96">
        <v>22992</v>
      </c>
      <c r="H71" s="96">
        <v>14122</v>
      </c>
      <c r="I71" s="96">
        <v>14676</v>
      </c>
      <c r="J71" s="96">
        <v>25556</v>
      </c>
      <c r="K71" s="96">
        <v>8969</v>
      </c>
      <c r="L71" s="96">
        <v>2974</v>
      </c>
      <c r="M71" s="96">
        <v>10215</v>
      </c>
      <c r="N71" s="96">
        <v>4143</v>
      </c>
      <c r="O71" s="96">
        <v>3854</v>
      </c>
      <c r="P71" s="96">
        <v>33843</v>
      </c>
      <c r="Q71" s="96">
        <v>4636</v>
      </c>
      <c r="R71" s="96">
        <v>27629</v>
      </c>
      <c r="S71" s="96">
        <f t="shared" si="23"/>
        <v>173609</v>
      </c>
    </row>
    <row r="72" spans="1:19" ht="26.4" x14ac:dyDescent="0.7">
      <c r="A72" t="s">
        <v>245</v>
      </c>
      <c r="B72" s="173" t="s">
        <v>210</v>
      </c>
      <c r="C72">
        <v>71</v>
      </c>
      <c r="D72">
        <v>71</v>
      </c>
      <c r="E72">
        <v>69</v>
      </c>
      <c r="F72" s="167" t="s">
        <v>185</v>
      </c>
      <c r="G72" s="96">
        <v>1588</v>
      </c>
      <c r="H72" s="96">
        <v>1463</v>
      </c>
      <c r="I72" s="96">
        <v>1540</v>
      </c>
      <c r="J72" s="96">
        <v>2037</v>
      </c>
      <c r="K72" s="96">
        <v>815</v>
      </c>
      <c r="L72" s="96">
        <v>691</v>
      </c>
      <c r="M72" s="96">
        <v>2821</v>
      </c>
      <c r="N72" s="96">
        <v>565</v>
      </c>
      <c r="O72" s="96">
        <v>647</v>
      </c>
      <c r="P72" s="96">
        <v>368</v>
      </c>
      <c r="Q72" s="96">
        <v>1229</v>
      </c>
      <c r="R72" s="96">
        <v>537</v>
      </c>
      <c r="S72" s="96">
        <f t="shared" si="23"/>
        <v>14301</v>
      </c>
    </row>
    <row r="73" spans="1:19" ht="26.4" x14ac:dyDescent="0.7">
      <c r="A73" t="s">
        <v>245</v>
      </c>
      <c r="B73" s="173" t="s">
        <v>210</v>
      </c>
      <c r="C73">
        <v>72</v>
      </c>
      <c r="D73">
        <v>72</v>
      </c>
      <c r="E73">
        <v>69</v>
      </c>
      <c r="F73" s="167" t="s">
        <v>186</v>
      </c>
      <c r="G73" s="96">
        <v>4543</v>
      </c>
      <c r="H73" s="96">
        <v>5095</v>
      </c>
      <c r="I73" s="96">
        <v>1919</v>
      </c>
      <c r="J73" s="96">
        <v>1179</v>
      </c>
      <c r="K73" s="96">
        <v>219</v>
      </c>
      <c r="L73" s="96">
        <v>64</v>
      </c>
      <c r="M73" s="96">
        <v>631</v>
      </c>
      <c r="N73" s="96">
        <v>291</v>
      </c>
      <c r="O73" s="96">
        <v>576</v>
      </c>
      <c r="P73" s="96">
        <v>52</v>
      </c>
      <c r="Q73" s="96">
        <v>212</v>
      </c>
      <c r="R73" s="96">
        <v>94</v>
      </c>
      <c r="S73" s="96">
        <f t="shared" si="23"/>
        <v>14875</v>
      </c>
    </row>
    <row r="74" spans="1:19" ht="26.4" x14ac:dyDescent="0.7">
      <c r="A74" t="s">
        <v>245</v>
      </c>
      <c r="B74" s="173" t="s">
        <v>210</v>
      </c>
      <c r="C74">
        <v>73</v>
      </c>
      <c r="D74">
        <v>73</v>
      </c>
      <c r="F74" s="168">
        <v>2009</v>
      </c>
      <c r="G74" s="96">
        <f t="shared" ref="G74:R74" si="24">SUM(G75:G78)</f>
        <v>8689</v>
      </c>
      <c r="H74" s="96">
        <f t="shared" si="24"/>
        <v>6779</v>
      </c>
      <c r="I74" s="96">
        <f t="shared" si="24"/>
        <v>32789</v>
      </c>
      <c r="J74" s="96">
        <f t="shared" si="24"/>
        <v>22698</v>
      </c>
      <c r="K74" s="96">
        <f t="shared" si="24"/>
        <v>28068</v>
      </c>
      <c r="L74" s="96">
        <f t="shared" si="24"/>
        <v>13957</v>
      </c>
      <c r="M74" s="96">
        <f t="shared" si="24"/>
        <v>25742</v>
      </c>
      <c r="N74" s="96">
        <f t="shared" si="24"/>
        <v>32456</v>
      </c>
      <c r="O74" s="96">
        <f t="shared" si="24"/>
        <v>23875</v>
      </c>
      <c r="P74" s="96">
        <f t="shared" si="24"/>
        <v>10671</v>
      </c>
      <c r="Q74" s="96">
        <f t="shared" si="24"/>
        <v>8984</v>
      </c>
      <c r="R74" s="96">
        <f t="shared" si="24"/>
        <v>7834</v>
      </c>
      <c r="S74" s="96">
        <f>SUM(S75:S78)</f>
        <v>222542</v>
      </c>
    </row>
    <row r="75" spans="1:19" ht="26.4" x14ac:dyDescent="0.7">
      <c r="A75" t="s">
        <v>245</v>
      </c>
      <c r="B75" s="173" t="s">
        <v>210</v>
      </c>
      <c r="C75">
        <v>74</v>
      </c>
      <c r="D75">
        <v>74</v>
      </c>
      <c r="E75">
        <v>73</v>
      </c>
      <c r="F75" s="165" t="s">
        <v>178</v>
      </c>
      <c r="G75" s="96">
        <v>750</v>
      </c>
      <c r="H75" s="96">
        <v>310</v>
      </c>
      <c r="I75" s="96">
        <v>1271</v>
      </c>
      <c r="J75" s="96">
        <v>785</v>
      </c>
      <c r="K75" s="96">
        <v>1257</v>
      </c>
      <c r="L75" s="96">
        <v>753</v>
      </c>
      <c r="M75" s="96">
        <v>325</v>
      </c>
      <c r="N75" s="96">
        <v>526</v>
      </c>
      <c r="O75" s="96">
        <v>762</v>
      </c>
      <c r="P75" s="96">
        <v>224</v>
      </c>
      <c r="Q75" s="96">
        <v>353</v>
      </c>
      <c r="R75" s="96">
        <v>449</v>
      </c>
      <c r="S75" s="96">
        <f t="shared" ref="S75:S89" si="25">SUM(G75:R75)</f>
        <v>7765</v>
      </c>
    </row>
    <row r="76" spans="1:19" ht="26.4" x14ac:dyDescent="0.7">
      <c r="A76" t="s">
        <v>245</v>
      </c>
      <c r="B76" s="173" t="s">
        <v>210</v>
      </c>
      <c r="C76">
        <v>75</v>
      </c>
      <c r="D76">
        <v>75</v>
      </c>
      <c r="E76">
        <v>73</v>
      </c>
      <c r="F76" s="166" t="s">
        <v>179</v>
      </c>
      <c r="G76" s="96">
        <v>267</v>
      </c>
      <c r="H76" s="96">
        <v>139</v>
      </c>
      <c r="I76" s="96">
        <v>321</v>
      </c>
      <c r="J76" s="96">
        <v>233</v>
      </c>
      <c r="K76" s="96">
        <v>675</v>
      </c>
      <c r="L76" s="96">
        <v>138</v>
      </c>
      <c r="M76" s="96">
        <v>78</v>
      </c>
      <c r="N76" s="96">
        <v>114</v>
      </c>
      <c r="O76" s="96">
        <v>210</v>
      </c>
      <c r="P76" s="96">
        <v>92</v>
      </c>
      <c r="Q76" s="96">
        <v>82</v>
      </c>
      <c r="R76" s="96">
        <v>234</v>
      </c>
      <c r="S76" s="96">
        <f t="shared" si="25"/>
        <v>2583</v>
      </c>
    </row>
    <row r="77" spans="1:19" ht="26.4" x14ac:dyDescent="0.7">
      <c r="A77" t="s">
        <v>245</v>
      </c>
      <c r="B77" s="173" t="s">
        <v>210</v>
      </c>
      <c r="C77">
        <v>76</v>
      </c>
      <c r="D77">
        <v>76</v>
      </c>
      <c r="E77">
        <v>73</v>
      </c>
      <c r="F77" s="166" t="s">
        <v>180</v>
      </c>
      <c r="G77" s="96">
        <v>132</v>
      </c>
      <c r="H77" s="96">
        <v>92</v>
      </c>
      <c r="I77" s="96">
        <v>67</v>
      </c>
      <c r="J77" s="96">
        <v>93</v>
      </c>
      <c r="K77" s="96">
        <v>344</v>
      </c>
      <c r="L77" s="96">
        <v>125</v>
      </c>
      <c r="M77" s="96">
        <v>143</v>
      </c>
      <c r="N77" s="96">
        <v>157</v>
      </c>
      <c r="O77" s="96">
        <v>416</v>
      </c>
      <c r="P77" s="96">
        <v>53</v>
      </c>
      <c r="Q77" s="96">
        <v>5</v>
      </c>
      <c r="R77" s="96">
        <v>143</v>
      </c>
      <c r="S77" s="96">
        <f t="shared" si="25"/>
        <v>1770</v>
      </c>
    </row>
    <row r="78" spans="1:19" ht="26.4" x14ac:dyDescent="0.7">
      <c r="A78" t="s">
        <v>245</v>
      </c>
      <c r="B78" s="173" t="s">
        <v>210</v>
      </c>
      <c r="C78">
        <v>77</v>
      </c>
      <c r="D78">
        <v>77</v>
      </c>
      <c r="E78">
        <v>73</v>
      </c>
      <c r="F78" s="165" t="s">
        <v>183</v>
      </c>
      <c r="G78" s="96">
        <v>7540</v>
      </c>
      <c r="H78" s="96">
        <v>6238</v>
      </c>
      <c r="I78" s="96">
        <v>31130</v>
      </c>
      <c r="J78" s="96">
        <v>21587</v>
      </c>
      <c r="K78" s="96">
        <v>25792</v>
      </c>
      <c r="L78" s="96">
        <v>12941</v>
      </c>
      <c r="M78" s="96">
        <v>25196</v>
      </c>
      <c r="N78" s="96">
        <v>31659</v>
      </c>
      <c r="O78" s="96">
        <v>22487</v>
      </c>
      <c r="P78" s="96">
        <v>10302</v>
      </c>
      <c r="Q78" s="96">
        <v>8544</v>
      </c>
      <c r="R78" s="96">
        <v>7008</v>
      </c>
      <c r="S78" s="96">
        <f t="shared" si="25"/>
        <v>210424</v>
      </c>
    </row>
    <row r="79" spans="1:19" ht="26.4" x14ac:dyDescent="0.7">
      <c r="A79" t="s">
        <v>245</v>
      </c>
      <c r="B79" s="173" t="s">
        <v>210</v>
      </c>
      <c r="C79">
        <v>78</v>
      </c>
      <c r="D79">
        <v>78</v>
      </c>
      <c r="E79">
        <v>77</v>
      </c>
      <c r="F79" s="167" t="s">
        <v>184</v>
      </c>
      <c r="G79" s="96">
        <v>6881</v>
      </c>
      <c r="H79" s="96">
        <v>5662</v>
      </c>
      <c r="I79" s="96">
        <v>27547</v>
      </c>
      <c r="J79" s="96">
        <v>18911</v>
      </c>
      <c r="K79" s="96">
        <v>21714</v>
      </c>
      <c r="L79" s="96">
        <v>9880</v>
      </c>
      <c r="M79" s="96">
        <v>24320</v>
      </c>
      <c r="N79" s="96">
        <v>30696</v>
      </c>
      <c r="O79" s="96">
        <v>21656</v>
      </c>
      <c r="P79" s="96">
        <v>10052</v>
      </c>
      <c r="Q79" s="96">
        <v>8457</v>
      </c>
      <c r="R79" s="96">
        <v>6460</v>
      </c>
      <c r="S79" s="96">
        <f t="shared" si="25"/>
        <v>192236</v>
      </c>
    </row>
    <row r="80" spans="1:19" ht="26.4" x14ac:dyDescent="0.7">
      <c r="A80" t="s">
        <v>245</v>
      </c>
      <c r="B80" s="173" t="s">
        <v>210</v>
      </c>
      <c r="C80">
        <v>79</v>
      </c>
      <c r="D80">
        <v>79</v>
      </c>
      <c r="E80">
        <v>77</v>
      </c>
      <c r="F80" s="167" t="s">
        <v>185</v>
      </c>
      <c r="G80" s="96">
        <v>587</v>
      </c>
      <c r="H80" s="96">
        <v>426</v>
      </c>
      <c r="I80" s="96">
        <v>2638</v>
      </c>
      <c r="J80" s="96">
        <v>1706</v>
      </c>
      <c r="K80" s="96">
        <v>3056</v>
      </c>
      <c r="L80" s="96">
        <v>2316</v>
      </c>
      <c r="M80" s="96">
        <v>705</v>
      </c>
      <c r="N80" s="96">
        <v>864</v>
      </c>
      <c r="O80" s="96">
        <v>537</v>
      </c>
      <c r="P80" s="96">
        <v>188</v>
      </c>
      <c r="Q80" s="96">
        <v>78</v>
      </c>
      <c r="R80" s="96">
        <v>522</v>
      </c>
      <c r="S80" s="96">
        <f t="shared" si="25"/>
        <v>13623</v>
      </c>
    </row>
    <row r="81" spans="1:19" ht="26.4" x14ac:dyDescent="0.7">
      <c r="A81" t="s">
        <v>245</v>
      </c>
      <c r="B81" s="173" t="s">
        <v>210</v>
      </c>
      <c r="C81">
        <v>80</v>
      </c>
      <c r="D81">
        <v>80</v>
      </c>
      <c r="E81">
        <v>77</v>
      </c>
      <c r="F81" s="167" t="s">
        <v>186</v>
      </c>
      <c r="G81" s="96">
        <v>72</v>
      </c>
      <c r="H81" s="96">
        <v>150</v>
      </c>
      <c r="I81" s="96">
        <v>945</v>
      </c>
      <c r="J81" s="96">
        <v>970</v>
      </c>
      <c r="K81" s="96">
        <v>1022</v>
      </c>
      <c r="L81" s="96">
        <v>745</v>
      </c>
      <c r="M81" s="96">
        <v>171</v>
      </c>
      <c r="N81" s="96">
        <v>99</v>
      </c>
      <c r="O81" s="96">
        <v>294</v>
      </c>
      <c r="P81" s="96">
        <v>62</v>
      </c>
      <c r="Q81" s="96">
        <v>9</v>
      </c>
      <c r="R81" s="96">
        <v>26</v>
      </c>
      <c r="S81" s="96">
        <f t="shared" si="25"/>
        <v>4565</v>
      </c>
    </row>
    <row r="82" spans="1:19" ht="26.4" x14ac:dyDescent="0.7">
      <c r="A82" t="s">
        <v>245</v>
      </c>
      <c r="B82" s="173" t="s">
        <v>210</v>
      </c>
      <c r="C82">
        <v>81</v>
      </c>
      <c r="D82">
        <v>81</v>
      </c>
      <c r="F82" s="168">
        <v>2010</v>
      </c>
      <c r="G82" s="96">
        <f t="shared" ref="G82:S82" si="26">SUM(G83:G86)</f>
        <v>13795</v>
      </c>
      <c r="H82" s="96">
        <f t="shared" si="26"/>
        <v>13648</v>
      </c>
      <c r="I82" s="96">
        <f t="shared" si="26"/>
        <v>13211</v>
      </c>
      <c r="J82" s="96">
        <f t="shared" si="26"/>
        <v>12303</v>
      </c>
      <c r="K82" s="96">
        <f t="shared" si="26"/>
        <v>16842</v>
      </c>
      <c r="L82" s="96">
        <f t="shared" si="26"/>
        <v>4002</v>
      </c>
      <c r="M82" s="96">
        <f t="shared" si="26"/>
        <v>23232</v>
      </c>
      <c r="N82" s="96">
        <f t="shared" si="26"/>
        <v>24222</v>
      </c>
      <c r="O82" s="96">
        <f t="shared" si="26"/>
        <v>18307</v>
      </c>
      <c r="P82" s="96">
        <f t="shared" si="26"/>
        <v>29921</v>
      </c>
      <c r="Q82" s="96">
        <f t="shared" si="26"/>
        <v>2688</v>
      </c>
      <c r="R82" s="96">
        <f t="shared" si="26"/>
        <v>16278</v>
      </c>
      <c r="S82" s="96">
        <f t="shared" si="26"/>
        <v>188449</v>
      </c>
    </row>
    <row r="83" spans="1:19" ht="26.4" x14ac:dyDescent="0.7">
      <c r="A83" t="s">
        <v>245</v>
      </c>
      <c r="B83" s="173" t="s">
        <v>210</v>
      </c>
      <c r="C83">
        <v>82</v>
      </c>
      <c r="D83">
        <v>82</v>
      </c>
      <c r="E83">
        <v>81</v>
      </c>
      <c r="F83" s="165" t="s">
        <v>178</v>
      </c>
      <c r="G83" s="96">
        <f>1284+429</f>
        <v>1713</v>
      </c>
      <c r="H83" s="96">
        <f>873+260</f>
        <v>1133</v>
      </c>
      <c r="I83" s="96">
        <f>950+298</f>
        <v>1248</v>
      </c>
      <c r="J83" s="96">
        <f>1208+184</f>
        <v>1392</v>
      </c>
      <c r="K83" s="96">
        <f>1486+116</f>
        <v>1602</v>
      </c>
      <c r="L83" s="96">
        <f>1241+229</f>
        <v>1470</v>
      </c>
      <c r="M83" s="96">
        <f>597+23</f>
        <v>620</v>
      </c>
      <c r="N83" s="96">
        <f>1176+150</f>
        <v>1326</v>
      </c>
      <c r="O83" s="96">
        <f>820+63</f>
        <v>883</v>
      </c>
      <c r="P83" s="96">
        <f>1293+317</f>
        <v>1610</v>
      </c>
      <c r="Q83" s="96">
        <f>276+57</f>
        <v>333</v>
      </c>
      <c r="R83" s="96">
        <f>201+35</f>
        <v>236</v>
      </c>
      <c r="S83" s="96">
        <f t="shared" si="25"/>
        <v>13566</v>
      </c>
    </row>
    <row r="84" spans="1:19" ht="26.4" x14ac:dyDescent="0.7">
      <c r="A84" t="s">
        <v>245</v>
      </c>
      <c r="B84" s="173" t="s">
        <v>210</v>
      </c>
      <c r="C84">
        <v>83</v>
      </c>
      <c r="D84">
        <v>83</v>
      </c>
      <c r="E84">
        <v>81</v>
      </c>
      <c r="F84" s="166" t="s">
        <v>179</v>
      </c>
      <c r="G84" s="96">
        <v>176</v>
      </c>
      <c r="H84" s="96">
        <v>265</v>
      </c>
      <c r="I84" s="96">
        <v>784</v>
      </c>
      <c r="J84" s="96">
        <v>316</v>
      </c>
      <c r="K84" s="96">
        <v>493</v>
      </c>
      <c r="L84" s="96">
        <v>222</v>
      </c>
      <c r="M84" s="96">
        <v>51</v>
      </c>
      <c r="N84" s="96">
        <v>121</v>
      </c>
      <c r="O84" s="96">
        <v>73</v>
      </c>
      <c r="P84" s="96">
        <v>115</v>
      </c>
      <c r="Q84" s="96">
        <v>140</v>
      </c>
      <c r="R84" s="96">
        <v>73</v>
      </c>
      <c r="S84" s="96">
        <f t="shared" si="25"/>
        <v>2829</v>
      </c>
    </row>
    <row r="85" spans="1:19" ht="26.4" x14ac:dyDescent="0.7">
      <c r="A85" t="s">
        <v>245</v>
      </c>
      <c r="B85" s="173" t="s">
        <v>210</v>
      </c>
      <c r="C85">
        <v>84</v>
      </c>
      <c r="D85">
        <v>84</v>
      </c>
      <c r="E85">
        <v>81</v>
      </c>
      <c r="F85" s="166" t="s">
        <v>180</v>
      </c>
      <c r="G85" s="96">
        <v>134</v>
      </c>
      <c r="H85" s="96">
        <v>123</v>
      </c>
      <c r="I85" s="96">
        <v>104</v>
      </c>
      <c r="J85" s="96">
        <v>185</v>
      </c>
      <c r="K85" s="96">
        <v>274</v>
      </c>
      <c r="L85" s="96">
        <v>88</v>
      </c>
      <c r="M85" s="96">
        <v>136</v>
      </c>
      <c r="N85" s="96">
        <v>494</v>
      </c>
      <c r="O85" s="96">
        <v>172</v>
      </c>
      <c r="P85" s="96">
        <v>530</v>
      </c>
      <c r="Q85" s="96">
        <v>460</v>
      </c>
      <c r="R85" s="96">
        <v>211</v>
      </c>
      <c r="S85" s="96">
        <f t="shared" si="25"/>
        <v>2911</v>
      </c>
    </row>
    <row r="86" spans="1:19" ht="26.4" x14ac:dyDescent="0.7">
      <c r="A86" t="s">
        <v>245</v>
      </c>
      <c r="B86" s="173" t="s">
        <v>210</v>
      </c>
      <c r="C86">
        <v>85</v>
      </c>
      <c r="D86">
        <v>85</v>
      </c>
      <c r="E86">
        <v>81</v>
      </c>
      <c r="F86" s="165" t="s">
        <v>183</v>
      </c>
      <c r="G86" s="96">
        <v>11772</v>
      </c>
      <c r="H86" s="96">
        <v>12127</v>
      </c>
      <c r="I86" s="96">
        <v>11075</v>
      </c>
      <c r="J86" s="96">
        <v>10410</v>
      </c>
      <c r="K86" s="96">
        <v>14473</v>
      </c>
      <c r="L86" s="96">
        <v>2222</v>
      </c>
      <c r="M86" s="96">
        <v>22425</v>
      </c>
      <c r="N86" s="96">
        <v>22281</v>
      </c>
      <c r="O86" s="96">
        <v>17179</v>
      </c>
      <c r="P86" s="96">
        <v>27666</v>
      </c>
      <c r="Q86" s="96">
        <v>1755</v>
      </c>
      <c r="R86" s="96">
        <v>15758</v>
      </c>
      <c r="S86" s="96">
        <f t="shared" si="25"/>
        <v>169143</v>
      </c>
    </row>
    <row r="87" spans="1:19" ht="26.4" x14ac:dyDescent="0.7">
      <c r="A87" t="s">
        <v>245</v>
      </c>
      <c r="B87" s="173" t="s">
        <v>210</v>
      </c>
      <c r="C87">
        <v>86</v>
      </c>
      <c r="D87">
        <v>86</v>
      </c>
      <c r="E87">
        <v>85</v>
      </c>
      <c r="F87" s="167" t="s">
        <v>184</v>
      </c>
      <c r="G87" s="96">
        <v>10941</v>
      </c>
      <c r="H87" s="96">
        <v>11146</v>
      </c>
      <c r="I87" s="96">
        <v>8850</v>
      </c>
      <c r="J87" s="96">
        <v>8744</v>
      </c>
      <c r="K87" s="96">
        <v>12152</v>
      </c>
      <c r="L87" s="96">
        <v>1658</v>
      </c>
      <c r="M87" s="96">
        <v>21961</v>
      </c>
      <c r="N87" s="96">
        <v>21628</v>
      </c>
      <c r="O87" s="96">
        <v>16123</v>
      </c>
      <c r="P87" s="96">
        <v>27230</v>
      </c>
      <c r="Q87" s="96">
        <v>1698</v>
      </c>
      <c r="R87" s="96">
        <v>15593</v>
      </c>
      <c r="S87" s="96">
        <f t="shared" si="25"/>
        <v>157724</v>
      </c>
    </row>
    <row r="88" spans="1:19" ht="26.4" x14ac:dyDescent="0.7">
      <c r="A88" t="s">
        <v>245</v>
      </c>
      <c r="B88" s="173" t="s">
        <v>210</v>
      </c>
      <c r="C88">
        <v>87</v>
      </c>
      <c r="D88">
        <v>87</v>
      </c>
      <c r="E88">
        <v>85</v>
      </c>
      <c r="F88" s="167" t="s">
        <v>185</v>
      </c>
      <c r="G88" s="96">
        <v>608</v>
      </c>
      <c r="H88" s="96">
        <v>825</v>
      </c>
      <c r="I88" s="96">
        <v>1653</v>
      </c>
      <c r="J88" s="96">
        <v>1296</v>
      </c>
      <c r="K88" s="96">
        <v>1938</v>
      </c>
      <c r="L88" s="96">
        <v>346</v>
      </c>
      <c r="M88" s="96">
        <v>455</v>
      </c>
      <c r="N88" s="96">
        <v>502</v>
      </c>
      <c r="O88" s="96">
        <v>943</v>
      </c>
      <c r="P88" s="96">
        <v>363</v>
      </c>
      <c r="Q88" s="96">
        <v>39</v>
      </c>
      <c r="R88" s="96">
        <v>111</v>
      </c>
      <c r="S88" s="96">
        <f t="shared" si="25"/>
        <v>9079</v>
      </c>
    </row>
    <row r="89" spans="1:19" ht="26.4" x14ac:dyDescent="0.7">
      <c r="A89" t="s">
        <v>245</v>
      </c>
      <c r="B89" s="173" t="s">
        <v>210</v>
      </c>
      <c r="C89">
        <v>88</v>
      </c>
      <c r="D89">
        <v>88</v>
      </c>
      <c r="E89">
        <v>85</v>
      </c>
      <c r="F89" s="167" t="s">
        <v>186</v>
      </c>
      <c r="G89" s="96">
        <v>223</v>
      </c>
      <c r="H89" s="96">
        <v>156</v>
      </c>
      <c r="I89" s="96">
        <v>572</v>
      </c>
      <c r="J89" s="96">
        <v>370</v>
      </c>
      <c r="K89" s="96">
        <v>383</v>
      </c>
      <c r="L89" s="96">
        <v>218</v>
      </c>
      <c r="M89" s="96">
        <v>9</v>
      </c>
      <c r="N89" s="96">
        <v>151</v>
      </c>
      <c r="O89" s="96">
        <v>113</v>
      </c>
      <c r="P89" s="96">
        <v>73</v>
      </c>
      <c r="Q89" s="96">
        <v>18</v>
      </c>
      <c r="R89" s="96">
        <v>54</v>
      </c>
      <c r="S89" s="96">
        <f t="shared" si="25"/>
        <v>2340</v>
      </c>
    </row>
    <row r="90" spans="1:19" ht="26.4" x14ac:dyDescent="0.7">
      <c r="A90" t="s">
        <v>245</v>
      </c>
      <c r="B90" s="173" t="s">
        <v>210</v>
      </c>
      <c r="C90">
        <v>89</v>
      </c>
      <c r="D90">
        <v>89</v>
      </c>
      <c r="F90" s="168">
        <v>2011</v>
      </c>
      <c r="G90" s="96">
        <f t="shared" ref="G90:S90" si="27">SUM(G91:G94)</f>
        <v>18022</v>
      </c>
      <c r="H90" s="96">
        <f t="shared" si="27"/>
        <v>25019</v>
      </c>
      <c r="I90" s="96">
        <f t="shared" si="27"/>
        <v>26008</v>
      </c>
      <c r="J90" s="96">
        <f t="shared" si="27"/>
        <v>19168</v>
      </c>
      <c r="K90" s="96">
        <f t="shared" si="27"/>
        <v>29784</v>
      </c>
      <c r="L90" s="96">
        <f t="shared" si="27"/>
        <v>7056</v>
      </c>
      <c r="M90" s="96">
        <f t="shared" si="27"/>
        <v>24839</v>
      </c>
      <c r="N90" s="96">
        <f t="shared" si="27"/>
        <v>31738</v>
      </c>
      <c r="O90" s="96">
        <f t="shared" si="27"/>
        <v>32781</v>
      </c>
      <c r="P90" s="96">
        <f t="shared" si="27"/>
        <v>38403</v>
      </c>
      <c r="Q90" s="96">
        <f t="shared" si="27"/>
        <v>3795</v>
      </c>
      <c r="R90" s="96">
        <f t="shared" si="27"/>
        <v>32680</v>
      </c>
      <c r="S90" s="96">
        <f t="shared" si="27"/>
        <v>289293</v>
      </c>
    </row>
    <row r="91" spans="1:19" ht="26.4" x14ac:dyDescent="0.7">
      <c r="A91" t="s">
        <v>245</v>
      </c>
      <c r="B91" s="173" t="s">
        <v>210</v>
      </c>
      <c r="C91">
        <v>90</v>
      </c>
      <c r="D91">
        <v>90</v>
      </c>
      <c r="E91">
        <v>89</v>
      </c>
      <c r="F91" s="165" t="s">
        <v>178</v>
      </c>
      <c r="G91" s="96">
        <f>378+77</f>
        <v>455</v>
      </c>
      <c r="H91" s="96">
        <f>902+292</f>
        <v>1194</v>
      </c>
      <c r="I91" s="96">
        <f>1666+224</f>
        <v>1890</v>
      </c>
      <c r="J91" s="96">
        <f>992+191</f>
        <v>1183</v>
      </c>
      <c r="K91" s="96">
        <f>2340+250</f>
        <v>2590</v>
      </c>
      <c r="L91" s="96">
        <f>1233+151</f>
        <v>1384</v>
      </c>
      <c r="M91" s="96">
        <f>538+76</f>
        <v>614</v>
      </c>
      <c r="N91" s="96">
        <f>1597+180</f>
        <v>1777</v>
      </c>
      <c r="O91" s="96">
        <f>1079+112</f>
        <v>1191</v>
      </c>
      <c r="P91" s="96">
        <f>1509+346</f>
        <v>1855</v>
      </c>
      <c r="Q91" s="96">
        <f>609+47</f>
        <v>656</v>
      </c>
      <c r="R91" s="96">
        <f>253+7</f>
        <v>260</v>
      </c>
      <c r="S91" s="96">
        <f t="shared" ref="S91:S97" si="28">SUM(G91:R91)</f>
        <v>15049</v>
      </c>
    </row>
    <row r="92" spans="1:19" ht="26.4" x14ac:dyDescent="0.7">
      <c r="A92" t="s">
        <v>245</v>
      </c>
      <c r="B92" s="173" t="s">
        <v>210</v>
      </c>
      <c r="C92">
        <v>91</v>
      </c>
      <c r="D92">
        <v>91</v>
      </c>
      <c r="E92">
        <v>89</v>
      </c>
      <c r="F92" s="166" t="s">
        <v>179</v>
      </c>
      <c r="G92" s="96">
        <v>304</v>
      </c>
      <c r="H92" s="96">
        <v>311</v>
      </c>
      <c r="I92" s="96">
        <v>435</v>
      </c>
      <c r="J92" s="96">
        <v>471</v>
      </c>
      <c r="K92" s="96">
        <v>880</v>
      </c>
      <c r="L92" s="96">
        <v>390</v>
      </c>
      <c r="M92" s="96">
        <v>331</v>
      </c>
      <c r="N92" s="96">
        <v>511</v>
      </c>
      <c r="O92" s="96">
        <v>307</v>
      </c>
      <c r="P92" s="96">
        <v>325</v>
      </c>
      <c r="Q92" s="96">
        <v>267</v>
      </c>
      <c r="R92" s="96">
        <v>220</v>
      </c>
      <c r="S92" s="96">
        <f t="shared" si="28"/>
        <v>4752</v>
      </c>
    </row>
    <row r="93" spans="1:19" ht="26.4" x14ac:dyDescent="0.7">
      <c r="A93" t="s">
        <v>245</v>
      </c>
      <c r="B93" s="173" t="s">
        <v>210</v>
      </c>
      <c r="C93">
        <v>92</v>
      </c>
      <c r="D93">
        <v>92</v>
      </c>
      <c r="E93">
        <v>89</v>
      </c>
      <c r="F93" s="166" t="s">
        <v>180</v>
      </c>
      <c r="G93" s="96">
        <v>142</v>
      </c>
      <c r="H93" s="96">
        <v>520</v>
      </c>
      <c r="I93" s="96">
        <v>256</v>
      </c>
      <c r="J93" s="96">
        <v>652</v>
      </c>
      <c r="K93" s="96">
        <v>817</v>
      </c>
      <c r="L93" s="96">
        <v>783</v>
      </c>
      <c r="M93" s="96">
        <v>297</v>
      </c>
      <c r="N93" s="96">
        <v>583</v>
      </c>
      <c r="O93" s="96">
        <v>376</v>
      </c>
      <c r="P93" s="96">
        <v>703</v>
      </c>
      <c r="Q93" s="96">
        <v>57</v>
      </c>
      <c r="R93" s="96">
        <v>300</v>
      </c>
      <c r="S93" s="96">
        <f t="shared" si="28"/>
        <v>5486</v>
      </c>
    </row>
    <row r="94" spans="1:19" ht="26.4" x14ac:dyDescent="0.7">
      <c r="A94" t="s">
        <v>245</v>
      </c>
      <c r="B94" s="173" t="s">
        <v>210</v>
      </c>
      <c r="C94">
        <v>93</v>
      </c>
      <c r="D94">
        <v>93</v>
      </c>
      <c r="E94">
        <v>89</v>
      </c>
      <c r="F94" s="165" t="s">
        <v>183</v>
      </c>
      <c r="G94" s="96">
        <v>17121</v>
      </c>
      <c r="H94" s="96">
        <v>22994</v>
      </c>
      <c r="I94" s="96">
        <v>23427</v>
      </c>
      <c r="J94" s="96">
        <v>16862</v>
      </c>
      <c r="K94" s="96">
        <v>25497</v>
      </c>
      <c r="L94" s="96">
        <v>4499</v>
      </c>
      <c r="M94" s="96">
        <v>23597</v>
      </c>
      <c r="N94" s="96">
        <v>28867</v>
      </c>
      <c r="O94" s="96">
        <v>30907</v>
      </c>
      <c r="P94" s="96">
        <v>35520</v>
      </c>
      <c r="Q94" s="96">
        <v>2815</v>
      </c>
      <c r="R94" s="96">
        <v>31900</v>
      </c>
      <c r="S94" s="96">
        <f t="shared" si="28"/>
        <v>264006</v>
      </c>
    </row>
    <row r="95" spans="1:19" ht="26.4" x14ac:dyDescent="0.7">
      <c r="A95" t="s">
        <v>245</v>
      </c>
      <c r="B95" s="173" t="s">
        <v>210</v>
      </c>
      <c r="C95">
        <v>94</v>
      </c>
      <c r="D95">
        <v>94</v>
      </c>
      <c r="E95">
        <v>93</v>
      </c>
      <c r="F95" s="167" t="s">
        <v>184</v>
      </c>
      <c r="G95" s="96">
        <v>16329</v>
      </c>
      <c r="H95" s="96">
        <v>20367</v>
      </c>
      <c r="I95" s="96">
        <v>20931</v>
      </c>
      <c r="J95" s="96">
        <v>14395</v>
      </c>
      <c r="K95" s="96">
        <v>22178</v>
      </c>
      <c r="L95" s="96">
        <v>3948</v>
      </c>
      <c r="M95" s="96">
        <v>22942</v>
      </c>
      <c r="N95" s="96">
        <v>28140</v>
      </c>
      <c r="O95" s="96">
        <v>30398</v>
      </c>
      <c r="P95" s="96">
        <v>35325</v>
      </c>
      <c r="Q95" s="96">
        <v>2619</v>
      </c>
      <c r="R95" s="96">
        <v>31833</v>
      </c>
      <c r="S95" s="96">
        <f t="shared" si="28"/>
        <v>249405</v>
      </c>
    </row>
    <row r="96" spans="1:19" ht="26.4" x14ac:dyDescent="0.7">
      <c r="A96" t="s">
        <v>245</v>
      </c>
      <c r="B96" s="173" t="s">
        <v>210</v>
      </c>
      <c r="C96">
        <v>95</v>
      </c>
      <c r="D96">
        <v>95</v>
      </c>
      <c r="E96">
        <v>93</v>
      </c>
      <c r="F96" s="167" t="s">
        <v>185</v>
      </c>
      <c r="G96" s="96">
        <v>316</v>
      </c>
      <c r="H96" s="96">
        <v>1176</v>
      </c>
      <c r="I96" s="96">
        <v>1390</v>
      </c>
      <c r="J96" s="96">
        <v>1604</v>
      </c>
      <c r="K96" s="96">
        <v>2894</v>
      </c>
      <c r="L96" s="96">
        <v>441</v>
      </c>
      <c r="M96" s="96">
        <v>559</v>
      </c>
      <c r="N96" s="96">
        <v>539</v>
      </c>
      <c r="O96" s="96">
        <v>463</v>
      </c>
      <c r="P96" s="96">
        <v>250</v>
      </c>
      <c r="Q96" s="96">
        <v>170</v>
      </c>
      <c r="R96" s="96">
        <v>66</v>
      </c>
      <c r="S96" s="96">
        <f t="shared" si="28"/>
        <v>9868</v>
      </c>
    </row>
    <row r="97" spans="1:19" ht="26.4" x14ac:dyDescent="0.7">
      <c r="A97" t="s">
        <v>245</v>
      </c>
      <c r="B97" s="173" t="s">
        <v>210</v>
      </c>
      <c r="C97">
        <v>96</v>
      </c>
      <c r="D97">
        <v>96</v>
      </c>
      <c r="E97">
        <v>93</v>
      </c>
      <c r="F97" s="167" t="s">
        <v>186</v>
      </c>
      <c r="G97" s="96">
        <v>476</v>
      </c>
      <c r="H97" s="96">
        <v>1451</v>
      </c>
      <c r="I97" s="96">
        <v>1106</v>
      </c>
      <c r="J97" s="96">
        <v>863</v>
      </c>
      <c r="K97" s="96">
        <v>425</v>
      </c>
      <c r="L97" s="96">
        <v>110</v>
      </c>
      <c r="M97" s="96">
        <v>96</v>
      </c>
      <c r="N97" s="96">
        <v>188</v>
      </c>
      <c r="O97" s="96">
        <v>46</v>
      </c>
      <c r="P97" s="96">
        <v>45</v>
      </c>
      <c r="Q97" s="96">
        <v>26</v>
      </c>
      <c r="R97" s="96">
        <v>1</v>
      </c>
      <c r="S97" s="96">
        <f t="shared" si="28"/>
        <v>4833</v>
      </c>
    </row>
    <row r="98" spans="1:19" ht="26.4" x14ac:dyDescent="0.7">
      <c r="A98" t="s">
        <v>245</v>
      </c>
      <c r="B98" s="173" t="s">
        <v>210</v>
      </c>
      <c r="C98">
        <v>97</v>
      </c>
      <c r="D98">
        <v>97</v>
      </c>
      <c r="F98" s="168">
        <v>2012</v>
      </c>
      <c r="G98" s="96">
        <f t="shared" ref="G98:R98" si="29">SUM(G99:G102)</f>
        <v>25296</v>
      </c>
      <c r="H98" s="96">
        <f t="shared" si="29"/>
        <v>41921</v>
      </c>
      <c r="I98" s="96">
        <f t="shared" si="29"/>
        <v>21039</v>
      </c>
      <c r="J98" s="96">
        <f t="shared" si="29"/>
        <v>17965</v>
      </c>
      <c r="K98" s="96">
        <f t="shared" si="29"/>
        <v>39672</v>
      </c>
      <c r="L98" s="96">
        <f t="shared" si="29"/>
        <v>13581</v>
      </c>
      <c r="M98" s="96">
        <f t="shared" si="29"/>
        <v>13778</v>
      </c>
      <c r="N98" s="96">
        <f t="shared" si="29"/>
        <v>58740</v>
      </c>
      <c r="O98" s="96">
        <f t="shared" si="29"/>
        <v>31756</v>
      </c>
      <c r="P98" s="96">
        <f t="shared" si="29"/>
        <v>38031</v>
      </c>
      <c r="Q98" s="96">
        <f t="shared" si="29"/>
        <v>20155</v>
      </c>
      <c r="R98" s="96">
        <f t="shared" si="29"/>
        <v>14860</v>
      </c>
      <c r="S98" s="96">
        <f>SUM(S99:S102)</f>
        <v>336794</v>
      </c>
    </row>
    <row r="99" spans="1:19" ht="26.4" x14ac:dyDescent="0.7">
      <c r="A99" t="s">
        <v>245</v>
      </c>
      <c r="B99" s="173" t="s">
        <v>210</v>
      </c>
      <c r="C99">
        <v>98</v>
      </c>
      <c r="D99">
        <v>98</v>
      </c>
      <c r="E99">
        <v>97</v>
      </c>
      <c r="F99" s="165" t="s">
        <v>178</v>
      </c>
      <c r="G99" s="96">
        <f>868+201</f>
        <v>1069</v>
      </c>
      <c r="H99" s="96">
        <f>1518+269</f>
        <v>1787</v>
      </c>
      <c r="I99" s="96">
        <f>1237+121</f>
        <v>1358</v>
      </c>
      <c r="J99" s="96">
        <f>1235+667</f>
        <v>1902</v>
      </c>
      <c r="K99" s="96">
        <f>1743+470</f>
        <v>2213</v>
      </c>
      <c r="L99" s="96">
        <f>1052+301</f>
        <v>1353</v>
      </c>
      <c r="M99" s="96">
        <f>620+44</f>
        <v>664</v>
      </c>
      <c r="N99" s="96">
        <f>579+71</f>
        <v>650</v>
      </c>
      <c r="O99" s="96">
        <f>1099+359</f>
        <v>1458</v>
      </c>
      <c r="P99" s="96">
        <f>570+196</f>
        <v>766</v>
      </c>
      <c r="Q99" s="96">
        <f>550+66</f>
        <v>616</v>
      </c>
      <c r="R99" s="96">
        <f>247+3</f>
        <v>250</v>
      </c>
      <c r="S99" s="96">
        <f t="shared" ref="S99:S105" si="30">SUM(G99:R99)</f>
        <v>14086</v>
      </c>
    </row>
    <row r="100" spans="1:19" ht="26.4" x14ac:dyDescent="0.7">
      <c r="A100" t="s">
        <v>245</v>
      </c>
      <c r="B100" s="173" t="s">
        <v>210</v>
      </c>
      <c r="C100">
        <v>99</v>
      </c>
      <c r="D100">
        <v>99</v>
      </c>
      <c r="E100">
        <v>97</v>
      </c>
      <c r="F100" s="166" t="s">
        <v>179</v>
      </c>
      <c r="G100" s="96">
        <v>260</v>
      </c>
      <c r="H100" s="96">
        <v>458</v>
      </c>
      <c r="I100" s="96">
        <v>379</v>
      </c>
      <c r="J100" s="96">
        <v>596</v>
      </c>
      <c r="K100" s="96">
        <v>363</v>
      </c>
      <c r="L100" s="96">
        <v>320</v>
      </c>
      <c r="M100" s="96">
        <v>186</v>
      </c>
      <c r="N100" s="96">
        <v>205</v>
      </c>
      <c r="O100" s="96">
        <v>121</v>
      </c>
      <c r="P100" s="96">
        <v>155</v>
      </c>
      <c r="Q100" s="96">
        <v>203</v>
      </c>
      <c r="R100" s="96">
        <v>108</v>
      </c>
      <c r="S100" s="96">
        <f t="shared" si="30"/>
        <v>3354</v>
      </c>
    </row>
    <row r="101" spans="1:19" ht="26.4" x14ac:dyDescent="0.7">
      <c r="A101" t="s">
        <v>245</v>
      </c>
      <c r="B101" s="173" t="s">
        <v>210</v>
      </c>
      <c r="C101">
        <v>100</v>
      </c>
      <c r="D101">
        <v>100</v>
      </c>
      <c r="E101">
        <v>97</v>
      </c>
      <c r="F101" s="166" t="s">
        <v>180</v>
      </c>
      <c r="G101" s="96">
        <v>391</v>
      </c>
      <c r="H101" s="96">
        <v>221</v>
      </c>
      <c r="I101" s="96">
        <v>229</v>
      </c>
      <c r="J101" s="96">
        <v>217</v>
      </c>
      <c r="K101" s="96">
        <v>425</v>
      </c>
      <c r="L101" s="96">
        <v>521</v>
      </c>
      <c r="M101" s="96">
        <v>56</v>
      </c>
      <c r="N101" s="96">
        <v>445</v>
      </c>
      <c r="O101" s="96">
        <v>479</v>
      </c>
      <c r="P101" s="96">
        <v>516</v>
      </c>
      <c r="Q101" s="96">
        <v>554</v>
      </c>
      <c r="R101" s="96">
        <v>301</v>
      </c>
      <c r="S101" s="96">
        <f t="shared" si="30"/>
        <v>4355</v>
      </c>
    </row>
    <row r="102" spans="1:19" ht="26.4" x14ac:dyDescent="0.7">
      <c r="A102" t="s">
        <v>245</v>
      </c>
      <c r="B102" s="173" t="s">
        <v>210</v>
      </c>
      <c r="C102">
        <v>101</v>
      </c>
      <c r="D102">
        <v>101</v>
      </c>
      <c r="E102">
        <v>97</v>
      </c>
      <c r="F102" s="165" t="s">
        <v>183</v>
      </c>
      <c r="G102" s="96">
        <v>23576</v>
      </c>
      <c r="H102" s="96">
        <v>39455</v>
      </c>
      <c r="I102" s="96">
        <v>19073</v>
      </c>
      <c r="J102" s="96">
        <v>15250</v>
      </c>
      <c r="K102" s="96">
        <v>36671</v>
      </c>
      <c r="L102" s="96">
        <v>11387</v>
      </c>
      <c r="M102" s="96">
        <v>12872</v>
      </c>
      <c r="N102" s="96">
        <v>57440</v>
      </c>
      <c r="O102" s="96">
        <v>29698</v>
      </c>
      <c r="P102" s="96">
        <v>36594</v>
      </c>
      <c r="Q102" s="96">
        <v>18782</v>
      </c>
      <c r="R102" s="96">
        <v>14201</v>
      </c>
      <c r="S102" s="96">
        <f t="shared" si="30"/>
        <v>314999</v>
      </c>
    </row>
    <row r="103" spans="1:19" ht="26.4" x14ac:dyDescent="0.7">
      <c r="A103" t="s">
        <v>245</v>
      </c>
      <c r="B103" s="173" t="s">
        <v>210</v>
      </c>
      <c r="C103">
        <v>102</v>
      </c>
      <c r="D103">
        <v>102</v>
      </c>
      <c r="E103">
        <v>101</v>
      </c>
      <c r="F103" s="167" t="s">
        <v>184</v>
      </c>
      <c r="G103" s="96">
        <v>22630</v>
      </c>
      <c r="H103" s="96">
        <v>35815</v>
      </c>
      <c r="I103" s="96">
        <v>16890</v>
      </c>
      <c r="J103" s="96">
        <v>11652</v>
      </c>
      <c r="K103" s="96">
        <v>32171</v>
      </c>
      <c r="L103" s="96">
        <v>8993</v>
      </c>
      <c r="M103" s="96">
        <v>12235</v>
      </c>
      <c r="N103" s="96">
        <v>56052</v>
      </c>
      <c r="O103" s="96">
        <v>28485</v>
      </c>
      <c r="P103" s="96">
        <v>34086</v>
      </c>
      <c r="Q103" s="96">
        <v>18251</v>
      </c>
      <c r="R103" s="96">
        <v>14115</v>
      </c>
      <c r="S103" s="96">
        <f t="shared" si="30"/>
        <v>291375</v>
      </c>
    </row>
    <row r="104" spans="1:19" ht="26.4" x14ac:dyDescent="0.7">
      <c r="A104" t="s">
        <v>245</v>
      </c>
      <c r="B104" s="173" t="s">
        <v>210</v>
      </c>
      <c r="C104">
        <v>103</v>
      </c>
      <c r="D104">
        <v>103</v>
      </c>
      <c r="E104">
        <v>101</v>
      </c>
      <c r="F104" s="167" t="s">
        <v>185</v>
      </c>
      <c r="G104" s="96">
        <v>812</v>
      </c>
      <c r="H104" s="96">
        <v>2728</v>
      </c>
      <c r="I104" s="96">
        <v>1709</v>
      </c>
      <c r="J104" s="96">
        <v>2811</v>
      </c>
      <c r="K104" s="96">
        <v>3510</v>
      </c>
      <c r="L104" s="96">
        <v>1970</v>
      </c>
      <c r="M104" s="96">
        <v>628</v>
      </c>
      <c r="N104" s="96">
        <v>668</v>
      </c>
      <c r="O104" s="96">
        <v>845</v>
      </c>
      <c r="P104" s="96">
        <v>1338</v>
      </c>
      <c r="Q104" s="96">
        <v>421</v>
      </c>
      <c r="R104" s="96">
        <v>39</v>
      </c>
      <c r="S104" s="96">
        <f t="shared" si="30"/>
        <v>17479</v>
      </c>
    </row>
    <row r="105" spans="1:19" ht="26.4" x14ac:dyDescent="0.7">
      <c r="A105" t="s">
        <v>245</v>
      </c>
      <c r="B105" s="173" t="s">
        <v>210</v>
      </c>
      <c r="C105">
        <v>104</v>
      </c>
      <c r="D105">
        <v>104</v>
      </c>
      <c r="E105">
        <v>101</v>
      </c>
      <c r="F105" s="167" t="s">
        <v>186</v>
      </c>
      <c r="G105" s="96">
        <v>134</v>
      </c>
      <c r="H105" s="96">
        <v>912</v>
      </c>
      <c r="I105" s="96">
        <v>474</v>
      </c>
      <c r="J105" s="96">
        <v>787</v>
      </c>
      <c r="K105" s="96">
        <v>990</v>
      </c>
      <c r="L105" s="96">
        <v>424</v>
      </c>
      <c r="M105" s="96">
        <v>9</v>
      </c>
      <c r="N105" s="96">
        <v>720</v>
      </c>
      <c r="O105" s="96">
        <v>368</v>
      </c>
      <c r="P105" s="96">
        <v>1170</v>
      </c>
      <c r="Q105" s="96">
        <v>110</v>
      </c>
      <c r="R105" s="96">
        <v>47</v>
      </c>
      <c r="S105" s="96">
        <f t="shared" si="30"/>
        <v>6145</v>
      </c>
    </row>
    <row r="106" spans="1:19" ht="26.4" x14ac:dyDescent="0.7">
      <c r="A106" t="s">
        <v>245</v>
      </c>
      <c r="B106" s="173" t="s">
        <v>210</v>
      </c>
      <c r="C106">
        <v>105</v>
      </c>
      <c r="D106">
        <v>105</v>
      </c>
      <c r="F106" s="168">
        <v>2013</v>
      </c>
      <c r="G106" s="96">
        <f t="shared" ref="G106:R106" si="31">SUM(G107:G110)</f>
        <v>13556</v>
      </c>
      <c r="H106" s="96">
        <f t="shared" si="31"/>
        <v>23754</v>
      </c>
      <c r="I106" s="96">
        <f t="shared" si="31"/>
        <v>21014</v>
      </c>
      <c r="J106" s="96">
        <f t="shared" si="31"/>
        <v>14600</v>
      </c>
      <c r="K106" s="96">
        <f t="shared" si="31"/>
        <v>24319</v>
      </c>
      <c r="L106" s="96">
        <f t="shared" si="31"/>
        <v>12454</v>
      </c>
      <c r="M106" s="96">
        <f t="shared" si="31"/>
        <v>25388</v>
      </c>
      <c r="N106" s="96">
        <f t="shared" si="31"/>
        <v>20758</v>
      </c>
      <c r="O106" s="96">
        <f t="shared" si="31"/>
        <v>28315</v>
      </c>
      <c r="P106" s="96">
        <f t="shared" si="31"/>
        <v>21920</v>
      </c>
      <c r="Q106" s="96">
        <f t="shared" si="31"/>
        <v>5642</v>
      </c>
      <c r="R106" s="96">
        <f t="shared" si="31"/>
        <v>17431</v>
      </c>
      <c r="S106" s="96">
        <f>SUM(S107:S110)</f>
        <v>229151</v>
      </c>
    </row>
    <row r="107" spans="1:19" ht="26.4" x14ac:dyDescent="0.7">
      <c r="A107" t="s">
        <v>245</v>
      </c>
      <c r="B107" s="173" t="s">
        <v>210</v>
      </c>
      <c r="C107">
        <v>106</v>
      </c>
      <c r="D107">
        <v>106</v>
      </c>
      <c r="E107">
        <v>105</v>
      </c>
      <c r="F107" s="165" t="s">
        <v>178</v>
      </c>
      <c r="G107" s="96">
        <f>1330+628</f>
        <v>1958</v>
      </c>
      <c r="H107" s="96">
        <f>617+1341</f>
        <v>1958</v>
      </c>
      <c r="I107" s="96">
        <f>1228+673</f>
        <v>1901</v>
      </c>
      <c r="J107" s="96">
        <f>1661+1371</f>
        <v>3032</v>
      </c>
      <c r="K107" s="96">
        <f>1769+313</f>
        <v>2082</v>
      </c>
      <c r="L107" s="96">
        <f>1601+424</f>
        <v>2025</v>
      </c>
      <c r="M107" s="96">
        <f>1316+6</f>
        <v>1322</v>
      </c>
      <c r="N107" s="96">
        <f>704+117</f>
        <v>821</v>
      </c>
      <c r="O107" s="96">
        <f>1335+193</f>
        <v>1528</v>
      </c>
      <c r="P107" s="96">
        <f>1140+337</f>
        <v>1477</v>
      </c>
      <c r="Q107" s="96">
        <f>427+97</f>
        <v>524</v>
      </c>
      <c r="R107" s="96">
        <f>313+571</f>
        <v>884</v>
      </c>
      <c r="S107" s="96">
        <f t="shared" ref="S107:S113" si="32">SUM(G107:R107)</f>
        <v>19512</v>
      </c>
    </row>
    <row r="108" spans="1:19" ht="26.4" x14ac:dyDescent="0.7">
      <c r="A108" t="s">
        <v>245</v>
      </c>
      <c r="B108" s="173" t="s">
        <v>210</v>
      </c>
      <c r="C108">
        <v>107</v>
      </c>
      <c r="D108">
        <v>107</v>
      </c>
      <c r="E108">
        <v>105</v>
      </c>
      <c r="F108" s="166" t="s">
        <v>179</v>
      </c>
      <c r="G108" s="96">
        <v>305</v>
      </c>
      <c r="H108" s="96">
        <v>215</v>
      </c>
      <c r="I108" s="96">
        <v>287</v>
      </c>
      <c r="J108" s="96">
        <v>579</v>
      </c>
      <c r="K108" s="96">
        <v>1159</v>
      </c>
      <c r="L108" s="96">
        <v>466</v>
      </c>
      <c r="M108" s="96">
        <v>253</v>
      </c>
      <c r="N108" s="96">
        <v>71</v>
      </c>
      <c r="O108" s="96">
        <v>112</v>
      </c>
      <c r="P108" s="96">
        <v>155</v>
      </c>
      <c r="Q108" s="96">
        <v>240</v>
      </c>
      <c r="R108" s="96">
        <v>1946</v>
      </c>
      <c r="S108" s="96">
        <f t="shared" si="32"/>
        <v>5788</v>
      </c>
    </row>
    <row r="109" spans="1:19" ht="26.4" x14ac:dyDescent="0.7">
      <c r="A109" t="s">
        <v>245</v>
      </c>
      <c r="B109" s="173" t="s">
        <v>210</v>
      </c>
      <c r="C109">
        <v>108</v>
      </c>
      <c r="D109">
        <v>108</v>
      </c>
      <c r="E109">
        <v>105</v>
      </c>
      <c r="F109" s="166" t="s">
        <v>180</v>
      </c>
      <c r="G109" s="96">
        <v>665</v>
      </c>
      <c r="H109" s="96">
        <v>473</v>
      </c>
      <c r="I109" s="96">
        <v>214</v>
      </c>
      <c r="J109" s="96">
        <v>316</v>
      </c>
      <c r="K109" s="96">
        <v>483</v>
      </c>
      <c r="L109" s="96">
        <v>328</v>
      </c>
      <c r="M109" s="96">
        <v>597</v>
      </c>
      <c r="N109" s="96">
        <v>111</v>
      </c>
      <c r="O109" s="96">
        <v>265</v>
      </c>
      <c r="P109" s="96">
        <v>463</v>
      </c>
      <c r="Q109" s="96">
        <v>428</v>
      </c>
      <c r="R109" s="96">
        <v>165</v>
      </c>
      <c r="S109" s="96">
        <f t="shared" si="32"/>
        <v>4508</v>
      </c>
    </row>
    <row r="110" spans="1:19" ht="26.4" x14ac:dyDescent="0.7">
      <c r="A110" t="s">
        <v>245</v>
      </c>
      <c r="B110" s="173" t="s">
        <v>210</v>
      </c>
      <c r="C110">
        <v>109</v>
      </c>
      <c r="D110">
        <v>109</v>
      </c>
      <c r="E110">
        <v>105</v>
      </c>
      <c r="F110" s="165" t="s">
        <v>183</v>
      </c>
      <c r="G110" s="96">
        <v>10628</v>
      </c>
      <c r="H110" s="96">
        <v>21108</v>
      </c>
      <c r="I110" s="96">
        <v>18612</v>
      </c>
      <c r="J110" s="96">
        <v>10673</v>
      </c>
      <c r="K110" s="96">
        <v>20595</v>
      </c>
      <c r="L110" s="96">
        <v>9635</v>
      </c>
      <c r="M110" s="96">
        <v>23216</v>
      </c>
      <c r="N110" s="96">
        <v>19755</v>
      </c>
      <c r="O110" s="96">
        <v>26410</v>
      </c>
      <c r="P110" s="96">
        <v>19825</v>
      </c>
      <c r="Q110" s="96">
        <v>4450</v>
      </c>
      <c r="R110" s="96">
        <v>14436</v>
      </c>
      <c r="S110" s="96">
        <f t="shared" si="32"/>
        <v>199343</v>
      </c>
    </row>
    <row r="111" spans="1:19" ht="26.4" x14ac:dyDescent="0.7">
      <c r="A111" t="s">
        <v>245</v>
      </c>
      <c r="B111" s="173" t="s">
        <v>210</v>
      </c>
      <c r="C111">
        <v>110</v>
      </c>
      <c r="D111">
        <v>110</v>
      </c>
      <c r="E111">
        <v>109</v>
      </c>
      <c r="F111" s="167" t="s">
        <v>184</v>
      </c>
      <c r="G111" s="96">
        <v>8832</v>
      </c>
      <c r="H111" s="96">
        <v>19834</v>
      </c>
      <c r="I111" s="96">
        <v>11843</v>
      </c>
      <c r="J111" s="96">
        <v>5819</v>
      </c>
      <c r="K111" s="96">
        <v>15283</v>
      </c>
      <c r="L111" s="96">
        <v>7314</v>
      </c>
      <c r="M111" s="96">
        <v>22563</v>
      </c>
      <c r="N111" s="96">
        <v>18120</v>
      </c>
      <c r="O111" s="96">
        <v>23918</v>
      </c>
      <c r="P111" s="96">
        <v>17397</v>
      </c>
      <c r="Q111" s="96">
        <v>3761</v>
      </c>
      <c r="R111" s="96">
        <v>13969</v>
      </c>
      <c r="S111" s="96">
        <f t="shared" si="32"/>
        <v>168653</v>
      </c>
    </row>
    <row r="112" spans="1:19" ht="26.4" x14ac:dyDescent="0.7">
      <c r="A112" t="s">
        <v>245</v>
      </c>
      <c r="B112" s="173" t="s">
        <v>210</v>
      </c>
      <c r="C112">
        <v>111</v>
      </c>
      <c r="D112">
        <v>111</v>
      </c>
      <c r="E112">
        <v>109</v>
      </c>
      <c r="F112" s="167" t="s">
        <v>185</v>
      </c>
      <c r="G112" s="96">
        <v>850</v>
      </c>
      <c r="H112" s="96">
        <v>784</v>
      </c>
      <c r="I112" s="96">
        <v>3029</v>
      </c>
      <c r="J112" s="96">
        <v>2658</v>
      </c>
      <c r="K112" s="96">
        <v>3299</v>
      </c>
      <c r="L112" s="96">
        <v>1732</v>
      </c>
      <c r="M112" s="96">
        <v>300</v>
      </c>
      <c r="N112" s="96">
        <v>764</v>
      </c>
      <c r="O112" s="96">
        <v>887</v>
      </c>
      <c r="P112" s="96">
        <v>1103</v>
      </c>
      <c r="Q112" s="96">
        <v>176</v>
      </c>
      <c r="R112" s="96">
        <v>246</v>
      </c>
      <c r="S112" s="96">
        <f t="shared" si="32"/>
        <v>15828</v>
      </c>
    </row>
    <row r="113" spans="1:19" ht="26.4" x14ac:dyDescent="0.7">
      <c r="A113" t="s">
        <v>245</v>
      </c>
      <c r="B113" s="173" t="s">
        <v>210</v>
      </c>
      <c r="C113">
        <v>112</v>
      </c>
      <c r="D113">
        <v>112</v>
      </c>
      <c r="E113">
        <v>109</v>
      </c>
      <c r="F113" s="167" t="s">
        <v>186</v>
      </c>
      <c r="G113" s="96">
        <v>946</v>
      </c>
      <c r="H113" s="96">
        <v>490</v>
      </c>
      <c r="I113" s="96">
        <v>3740</v>
      </c>
      <c r="J113" s="96">
        <v>2196</v>
      </c>
      <c r="K113" s="96">
        <v>2013</v>
      </c>
      <c r="L113" s="96">
        <v>589</v>
      </c>
      <c r="M113" s="96">
        <v>353</v>
      </c>
      <c r="N113" s="96">
        <v>871</v>
      </c>
      <c r="O113" s="96">
        <v>1605</v>
      </c>
      <c r="P113" s="96">
        <v>1325</v>
      </c>
      <c r="Q113" s="96">
        <v>513</v>
      </c>
      <c r="R113" s="96">
        <v>221</v>
      </c>
      <c r="S113" s="96">
        <f t="shared" si="32"/>
        <v>14862</v>
      </c>
    </row>
    <row r="114" spans="1:19" ht="26.4" x14ac:dyDescent="0.7">
      <c r="A114" t="s">
        <v>245</v>
      </c>
      <c r="B114" s="173" t="s">
        <v>210</v>
      </c>
      <c r="C114">
        <v>113</v>
      </c>
      <c r="D114">
        <v>113</v>
      </c>
      <c r="F114" s="168">
        <v>2016</v>
      </c>
      <c r="G114" s="96">
        <f>SUM(G115:G118)+G122</f>
        <v>31317</v>
      </c>
      <c r="H114" s="96">
        <f t="shared" ref="H114:R114" si="33">SUM(H115:H118)+H122</f>
        <v>16806</v>
      </c>
      <c r="I114" s="96">
        <f t="shared" si="33"/>
        <v>26437</v>
      </c>
      <c r="J114" s="96">
        <f t="shared" si="33"/>
        <v>20601</v>
      </c>
      <c r="K114" s="96">
        <f t="shared" si="33"/>
        <v>19925</v>
      </c>
      <c r="L114" s="96">
        <f t="shared" si="33"/>
        <v>6934</v>
      </c>
      <c r="M114" s="96">
        <f t="shared" si="33"/>
        <v>38785</v>
      </c>
      <c r="N114" s="96">
        <f t="shared" si="33"/>
        <v>38149</v>
      </c>
      <c r="O114" s="96">
        <f t="shared" si="33"/>
        <v>27466</v>
      </c>
      <c r="P114" s="96">
        <f t="shared" si="33"/>
        <v>31191</v>
      </c>
      <c r="Q114" s="96">
        <f t="shared" si="33"/>
        <v>19829</v>
      </c>
      <c r="R114" s="96">
        <f t="shared" si="33"/>
        <v>25172</v>
      </c>
      <c r="S114" s="96">
        <f t="shared" ref="S114:S158" si="34">SUM(G114:R114)</f>
        <v>302612</v>
      </c>
    </row>
    <row r="115" spans="1:19" ht="26.4" x14ac:dyDescent="0.7">
      <c r="A115" t="s">
        <v>245</v>
      </c>
      <c r="B115" s="173" t="s">
        <v>210</v>
      </c>
      <c r="C115">
        <v>114</v>
      </c>
      <c r="D115">
        <v>114</v>
      </c>
      <c r="E115">
        <v>113</v>
      </c>
      <c r="F115" s="165" t="s">
        <v>178</v>
      </c>
      <c r="G115" s="96">
        <v>1751</v>
      </c>
      <c r="H115" s="96">
        <v>2110</v>
      </c>
      <c r="I115" s="96">
        <v>2731</v>
      </c>
      <c r="J115" s="96">
        <v>2764</v>
      </c>
      <c r="K115" s="96">
        <v>3220</v>
      </c>
      <c r="L115" s="96">
        <v>1797</v>
      </c>
      <c r="M115" s="96">
        <v>1074</v>
      </c>
      <c r="N115" s="96">
        <v>1723</v>
      </c>
      <c r="O115" s="96">
        <v>1531</v>
      </c>
      <c r="P115" s="96">
        <v>1387</v>
      </c>
      <c r="Q115" s="96">
        <v>922</v>
      </c>
      <c r="R115" s="96">
        <v>1217</v>
      </c>
      <c r="S115" s="96">
        <f t="shared" si="34"/>
        <v>22227</v>
      </c>
    </row>
    <row r="116" spans="1:19" ht="26.4" x14ac:dyDescent="0.7">
      <c r="A116" t="s">
        <v>245</v>
      </c>
      <c r="B116" s="173" t="s">
        <v>210</v>
      </c>
      <c r="C116">
        <v>115</v>
      </c>
      <c r="D116">
        <v>115</v>
      </c>
      <c r="E116">
        <v>113</v>
      </c>
      <c r="F116" s="166" t="s">
        <v>179</v>
      </c>
      <c r="G116" s="96">
        <v>1434</v>
      </c>
      <c r="H116" s="96">
        <v>1758</v>
      </c>
      <c r="I116" s="96">
        <v>1937</v>
      </c>
      <c r="J116" s="96">
        <v>1667</v>
      </c>
      <c r="K116" s="96">
        <v>1106</v>
      </c>
      <c r="L116" s="96">
        <v>2071</v>
      </c>
      <c r="M116" s="96">
        <v>911</v>
      </c>
      <c r="N116" s="96">
        <v>660</v>
      </c>
      <c r="O116" s="96">
        <v>581</v>
      </c>
      <c r="P116" s="96">
        <v>1274</v>
      </c>
      <c r="Q116" s="96">
        <v>2432</v>
      </c>
      <c r="R116" s="96">
        <v>2341</v>
      </c>
      <c r="S116" s="96">
        <f t="shared" si="34"/>
        <v>18172</v>
      </c>
    </row>
    <row r="117" spans="1:19" ht="26.4" x14ac:dyDescent="0.7">
      <c r="A117" t="s">
        <v>245</v>
      </c>
      <c r="B117" s="173" t="s">
        <v>210</v>
      </c>
      <c r="C117">
        <v>116</v>
      </c>
      <c r="D117">
        <v>116</v>
      </c>
      <c r="E117">
        <v>113</v>
      </c>
      <c r="F117" s="166" t="s">
        <v>180</v>
      </c>
      <c r="G117" s="96">
        <v>836</v>
      </c>
      <c r="H117" s="96">
        <v>335</v>
      </c>
      <c r="I117" s="96">
        <v>323</v>
      </c>
      <c r="J117" s="96">
        <v>629</v>
      </c>
      <c r="K117" s="96">
        <v>395</v>
      </c>
      <c r="L117" s="96">
        <v>488</v>
      </c>
      <c r="M117" s="96">
        <v>132</v>
      </c>
      <c r="N117" s="96">
        <v>213</v>
      </c>
      <c r="O117" s="96">
        <v>95</v>
      </c>
      <c r="P117" s="96">
        <v>411</v>
      </c>
      <c r="Q117" s="96">
        <v>346</v>
      </c>
      <c r="R117" s="96">
        <v>114</v>
      </c>
      <c r="S117" s="96">
        <f t="shared" si="34"/>
        <v>4317</v>
      </c>
    </row>
    <row r="118" spans="1:19" ht="26.4" x14ac:dyDescent="0.7">
      <c r="A118" t="s">
        <v>245</v>
      </c>
      <c r="B118" s="173" t="s">
        <v>210</v>
      </c>
      <c r="C118">
        <v>117</v>
      </c>
      <c r="D118">
        <v>117</v>
      </c>
      <c r="E118">
        <v>113</v>
      </c>
      <c r="F118" s="165" t="s">
        <v>183</v>
      </c>
      <c r="G118" s="96">
        <v>27296</v>
      </c>
      <c r="H118" s="96">
        <v>12603</v>
      </c>
      <c r="I118" s="96">
        <v>20790</v>
      </c>
      <c r="J118" s="96">
        <v>15507</v>
      </c>
      <c r="K118" s="96">
        <v>14505</v>
      </c>
      <c r="L118" s="96">
        <v>2445</v>
      </c>
      <c r="M118" s="96">
        <v>36479</v>
      </c>
      <c r="N118" s="96">
        <v>35152</v>
      </c>
      <c r="O118" s="96">
        <v>25212</v>
      </c>
      <c r="P118" s="96">
        <v>28096</v>
      </c>
      <c r="Q118" s="96">
        <v>16129</v>
      </c>
      <c r="R118" s="96">
        <v>20860</v>
      </c>
      <c r="S118" s="96">
        <f t="shared" si="34"/>
        <v>255074</v>
      </c>
    </row>
    <row r="119" spans="1:19" ht="26.4" x14ac:dyDescent="0.7">
      <c r="A119" t="s">
        <v>245</v>
      </c>
      <c r="B119" s="173" t="s">
        <v>210</v>
      </c>
      <c r="C119">
        <v>118</v>
      </c>
      <c r="D119">
        <v>118</v>
      </c>
      <c r="E119">
        <v>117</v>
      </c>
      <c r="F119" s="167" t="s">
        <v>184</v>
      </c>
      <c r="G119" s="96">
        <v>22193</v>
      </c>
      <c r="H119" s="96">
        <v>9959</v>
      </c>
      <c r="I119" s="96">
        <v>17270</v>
      </c>
      <c r="J119" s="96">
        <v>13054</v>
      </c>
      <c r="K119" s="96">
        <v>12277</v>
      </c>
      <c r="L119" s="96">
        <v>1856</v>
      </c>
      <c r="M119" s="96">
        <v>36023</v>
      </c>
      <c r="N119" s="96">
        <v>30417</v>
      </c>
      <c r="O119" s="96">
        <v>23407</v>
      </c>
      <c r="P119" s="96">
        <v>25798</v>
      </c>
      <c r="Q119" s="96">
        <v>15791</v>
      </c>
      <c r="R119" s="96">
        <v>17939</v>
      </c>
      <c r="S119" s="96">
        <f t="shared" si="34"/>
        <v>225984</v>
      </c>
    </row>
    <row r="120" spans="1:19" ht="26.4" x14ac:dyDescent="0.7">
      <c r="A120" t="s">
        <v>245</v>
      </c>
      <c r="B120" s="173" t="s">
        <v>210</v>
      </c>
      <c r="C120">
        <v>119</v>
      </c>
      <c r="D120">
        <v>119</v>
      </c>
      <c r="E120">
        <v>117</v>
      </c>
      <c r="F120" s="167" t="s">
        <v>185</v>
      </c>
      <c r="G120" s="96">
        <v>935</v>
      </c>
      <c r="H120" s="96">
        <v>727</v>
      </c>
      <c r="I120" s="96">
        <v>1455</v>
      </c>
      <c r="J120" s="96">
        <v>1243</v>
      </c>
      <c r="K120" s="96">
        <v>1275</v>
      </c>
      <c r="L120" s="96">
        <v>315</v>
      </c>
      <c r="M120" s="96">
        <v>89</v>
      </c>
      <c r="N120" s="96">
        <v>601</v>
      </c>
      <c r="O120" s="96">
        <v>213</v>
      </c>
      <c r="P120" s="96">
        <v>217</v>
      </c>
      <c r="Q120" s="96">
        <v>62</v>
      </c>
      <c r="R120" s="96">
        <v>303</v>
      </c>
      <c r="S120" s="96">
        <f t="shared" si="34"/>
        <v>7435</v>
      </c>
    </row>
    <row r="121" spans="1:19" ht="26.4" x14ac:dyDescent="0.7">
      <c r="A121" t="s">
        <v>245</v>
      </c>
      <c r="B121" s="173" t="s">
        <v>210</v>
      </c>
      <c r="C121">
        <v>120</v>
      </c>
      <c r="D121">
        <v>120</v>
      </c>
      <c r="E121">
        <v>117</v>
      </c>
      <c r="F121" s="167" t="s">
        <v>186</v>
      </c>
      <c r="G121" s="96">
        <v>4168</v>
      </c>
      <c r="H121" s="96">
        <v>1917</v>
      </c>
      <c r="I121" s="96">
        <v>2065</v>
      </c>
      <c r="J121" s="96">
        <v>1210</v>
      </c>
      <c r="K121" s="96">
        <v>953</v>
      </c>
      <c r="L121" s="96">
        <v>274</v>
      </c>
      <c r="M121" s="96">
        <v>367</v>
      </c>
      <c r="N121" s="96">
        <v>4134</v>
      </c>
      <c r="O121" s="96">
        <v>1592</v>
      </c>
      <c r="P121" s="96">
        <v>2081</v>
      </c>
      <c r="Q121" s="96">
        <v>276</v>
      </c>
      <c r="R121" s="96">
        <v>2618</v>
      </c>
      <c r="S121" s="96">
        <f t="shared" si="34"/>
        <v>21655</v>
      </c>
    </row>
    <row r="122" spans="1:19" ht="26.4" x14ac:dyDescent="0.7">
      <c r="A122" t="s">
        <v>245</v>
      </c>
      <c r="B122" s="173" t="s">
        <v>210</v>
      </c>
      <c r="C122">
        <v>121</v>
      </c>
      <c r="D122">
        <v>121</v>
      </c>
      <c r="E122">
        <v>113</v>
      </c>
      <c r="F122" s="165" t="s">
        <v>181</v>
      </c>
      <c r="G122" s="96">
        <v>0</v>
      </c>
      <c r="H122" s="96">
        <v>0</v>
      </c>
      <c r="I122" s="96">
        <v>656</v>
      </c>
      <c r="J122" s="96">
        <v>34</v>
      </c>
      <c r="K122" s="96">
        <v>699</v>
      </c>
      <c r="L122" s="96">
        <v>133</v>
      </c>
      <c r="M122" s="96">
        <v>189</v>
      </c>
      <c r="N122" s="96">
        <v>401</v>
      </c>
      <c r="O122" s="96">
        <v>47</v>
      </c>
      <c r="P122" s="96">
        <v>23</v>
      </c>
      <c r="Q122" s="96">
        <v>0</v>
      </c>
      <c r="R122" s="96">
        <v>640</v>
      </c>
      <c r="S122" s="96">
        <f t="shared" si="34"/>
        <v>2822</v>
      </c>
    </row>
    <row r="123" spans="1:19" ht="26.4" x14ac:dyDescent="0.7">
      <c r="A123" t="s">
        <v>245</v>
      </c>
      <c r="B123" s="173" t="s">
        <v>210</v>
      </c>
      <c r="C123">
        <v>122</v>
      </c>
      <c r="D123">
        <v>122</v>
      </c>
      <c r="F123" s="168">
        <v>2017</v>
      </c>
      <c r="G123" s="96">
        <f>SUM(G124:G127)+G131</f>
        <v>46177</v>
      </c>
      <c r="H123" s="96">
        <f t="shared" ref="H123:R123" si="35">SUM(H124:H127)+H131</f>
        <v>50785</v>
      </c>
      <c r="I123" s="96">
        <f t="shared" si="35"/>
        <v>34144</v>
      </c>
      <c r="J123" s="96">
        <f t="shared" si="35"/>
        <v>21756</v>
      </c>
      <c r="K123" s="96">
        <f t="shared" si="35"/>
        <v>31820</v>
      </c>
      <c r="L123" s="96">
        <f t="shared" si="35"/>
        <v>12033</v>
      </c>
      <c r="M123" s="96">
        <f t="shared" si="35"/>
        <v>36234</v>
      </c>
      <c r="N123" s="96">
        <f t="shared" si="35"/>
        <v>55063</v>
      </c>
      <c r="O123" s="96">
        <f t="shared" si="35"/>
        <v>36270</v>
      </c>
      <c r="P123" s="96">
        <f t="shared" si="35"/>
        <v>44421</v>
      </c>
      <c r="Q123" s="96">
        <f t="shared" si="35"/>
        <v>13083</v>
      </c>
      <c r="R123" s="96">
        <f t="shared" si="35"/>
        <v>34502.9</v>
      </c>
      <c r="S123" s="96">
        <f t="shared" si="34"/>
        <v>416288.9</v>
      </c>
    </row>
    <row r="124" spans="1:19" ht="26.4" x14ac:dyDescent="0.7">
      <c r="A124" t="s">
        <v>245</v>
      </c>
      <c r="B124" s="173" t="s">
        <v>210</v>
      </c>
      <c r="C124">
        <v>123</v>
      </c>
      <c r="D124">
        <v>123</v>
      </c>
      <c r="E124">
        <v>122</v>
      </c>
      <c r="F124" s="165" t="s">
        <v>178</v>
      </c>
      <c r="G124" s="96">
        <v>2033</v>
      </c>
      <c r="H124" s="96">
        <v>2147</v>
      </c>
      <c r="I124" s="96">
        <v>2405</v>
      </c>
      <c r="J124" s="96">
        <v>1527</v>
      </c>
      <c r="K124" s="96">
        <v>3090</v>
      </c>
      <c r="L124" s="96">
        <v>1336</v>
      </c>
      <c r="M124" s="96">
        <v>747</v>
      </c>
      <c r="N124" s="96">
        <v>1639</v>
      </c>
      <c r="O124" s="96">
        <v>1658</v>
      </c>
      <c r="P124" s="96">
        <v>1919</v>
      </c>
      <c r="Q124" s="96">
        <v>1753</v>
      </c>
      <c r="R124" s="96">
        <v>1387</v>
      </c>
      <c r="S124" s="96">
        <f t="shared" si="34"/>
        <v>21641</v>
      </c>
    </row>
    <row r="125" spans="1:19" ht="26.4" x14ac:dyDescent="0.7">
      <c r="A125" t="s">
        <v>245</v>
      </c>
      <c r="B125" s="173" t="s">
        <v>210</v>
      </c>
      <c r="C125">
        <v>124</v>
      </c>
      <c r="D125">
        <v>124</v>
      </c>
      <c r="E125">
        <v>122</v>
      </c>
      <c r="F125" s="166" t="s">
        <v>179</v>
      </c>
      <c r="G125" s="96">
        <v>1534</v>
      </c>
      <c r="H125" s="96">
        <v>650</v>
      </c>
      <c r="I125" s="96">
        <v>814</v>
      </c>
      <c r="J125" s="96">
        <v>1155</v>
      </c>
      <c r="K125" s="96">
        <v>1034</v>
      </c>
      <c r="L125" s="96">
        <v>1389</v>
      </c>
      <c r="M125" s="96">
        <v>703</v>
      </c>
      <c r="N125" s="96">
        <v>697</v>
      </c>
      <c r="O125" s="96">
        <v>842</v>
      </c>
      <c r="P125" s="96">
        <v>1338</v>
      </c>
      <c r="Q125" s="96">
        <v>1296</v>
      </c>
      <c r="R125" s="96">
        <v>1436</v>
      </c>
      <c r="S125" s="96">
        <f t="shared" si="34"/>
        <v>12888</v>
      </c>
    </row>
    <row r="126" spans="1:19" ht="26.4" x14ac:dyDescent="0.7">
      <c r="A126" t="s">
        <v>245</v>
      </c>
      <c r="B126" s="173" t="s">
        <v>210</v>
      </c>
      <c r="C126">
        <v>125</v>
      </c>
      <c r="D126">
        <v>125</v>
      </c>
      <c r="E126">
        <v>122</v>
      </c>
      <c r="F126" s="166" t="s">
        <v>180</v>
      </c>
      <c r="G126" s="96">
        <v>364</v>
      </c>
      <c r="H126" s="96">
        <v>96</v>
      </c>
      <c r="I126" s="96">
        <v>429</v>
      </c>
      <c r="J126" s="96">
        <v>262</v>
      </c>
      <c r="K126" s="96">
        <v>824</v>
      </c>
      <c r="L126" s="96">
        <v>314</v>
      </c>
      <c r="M126" s="96">
        <v>526</v>
      </c>
      <c r="N126" s="96">
        <v>201</v>
      </c>
      <c r="O126" s="96">
        <v>685</v>
      </c>
      <c r="P126" s="96">
        <v>79</v>
      </c>
      <c r="Q126" s="96">
        <v>435</v>
      </c>
      <c r="R126" s="96">
        <v>1.9</v>
      </c>
      <c r="S126" s="96">
        <f t="shared" si="34"/>
        <v>4216.8999999999996</v>
      </c>
    </row>
    <row r="127" spans="1:19" ht="26.4" x14ac:dyDescent="0.7">
      <c r="A127" t="s">
        <v>245</v>
      </c>
      <c r="B127" s="173" t="s">
        <v>210</v>
      </c>
      <c r="C127">
        <v>126</v>
      </c>
      <c r="D127">
        <v>126</v>
      </c>
      <c r="E127">
        <v>122</v>
      </c>
      <c r="F127" s="165" t="s">
        <v>183</v>
      </c>
      <c r="G127" s="96">
        <v>41521</v>
      </c>
      <c r="H127" s="96">
        <v>47892</v>
      </c>
      <c r="I127" s="96">
        <v>30401</v>
      </c>
      <c r="J127" s="96">
        <v>18312</v>
      </c>
      <c r="K127" s="96">
        <v>26760</v>
      </c>
      <c r="L127" s="96">
        <v>8736</v>
      </c>
      <c r="M127" s="96">
        <v>34119</v>
      </c>
      <c r="N127" s="96">
        <v>51878</v>
      </c>
      <c r="O127" s="96">
        <v>32850</v>
      </c>
      <c r="P127" s="96">
        <v>40471</v>
      </c>
      <c r="Q127" s="96">
        <v>9587</v>
      </c>
      <c r="R127" s="96">
        <v>31608</v>
      </c>
      <c r="S127" s="96">
        <f t="shared" si="34"/>
        <v>374135</v>
      </c>
    </row>
    <row r="128" spans="1:19" ht="26.4" x14ac:dyDescent="0.7">
      <c r="A128" t="s">
        <v>245</v>
      </c>
      <c r="B128" s="173" t="s">
        <v>210</v>
      </c>
      <c r="C128">
        <v>127</v>
      </c>
      <c r="D128">
        <v>127</v>
      </c>
      <c r="E128">
        <v>126</v>
      </c>
      <c r="F128" s="167" t="s">
        <v>184</v>
      </c>
      <c r="G128" s="96">
        <v>36027</v>
      </c>
      <c r="H128" s="96">
        <v>43272</v>
      </c>
      <c r="I128" s="96">
        <v>26149</v>
      </c>
      <c r="J128" s="96">
        <v>14991</v>
      </c>
      <c r="K128" s="96">
        <v>22323</v>
      </c>
      <c r="L128" s="96">
        <v>6545</v>
      </c>
      <c r="M128" s="96">
        <v>33307</v>
      </c>
      <c r="N128" s="96">
        <v>45496</v>
      </c>
      <c r="O128" s="96">
        <v>29277</v>
      </c>
      <c r="P128" s="96">
        <v>37895</v>
      </c>
      <c r="Q128" s="96">
        <v>9379</v>
      </c>
      <c r="R128" s="96">
        <v>30870</v>
      </c>
      <c r="S128" s="96">
        <f t="shared" si="34"/>
        <v>335531</v>
      </c>
    </row>
    <row r="129" spans="1:19" ht="26.4" x14ac:dyDescent="0.7">
      <c r="A129" t="s">
        <v>245</v>
      </c>
      <c r="B129" s="173" t="s">
        <v>210</v>
      </c>
      <c r="C129">
        <v>128</v>
      </c>
      <c r="D129">
        <v>128</v>
      </c>
      <c r="E129">
        <v>126</v>
      </c>
      <c r="F129" s="167" t="s">
        <v>185</v>
      </c>
      <c r="G129" s="96">
        <v>588</v>
      </c>
      <c r="H129" s="96">
        <v>920</v>
      </c>
      <c r="I129" s="96">
        <v>748</v>
      </c>
      <c r="J129" s="96">
        <v>1130</v>
      </c>
      <c r="K129" s="96">
        <v>1496</v>
      </c>
      <c r="L129" s="96">
        <v>615</v>
      </c>
      <c r="M129" s="96">
        <v>246</v>
      </c>
      <c r="N129" s="96">
        <v>959</v>
      </c>
      <c r="O129" s="96">
        <v>463</v>
      </c>
      <c r="P129" s="96">
        <v>600</v>
      </c>
      <c r="Q129" s="96">
        <v>38</v>
      </c>
      <c r="R129" s="96">
        <v>470</v>
      </c>
      <c r="S129" s="96">
        <f t="shared" si="34"/>
        <v>8273</v>
      </c>
    </row>
    <row r="130" spans="1:19" ht="26.4" x14ac:dyDescent="0.7">
      <c r="A130" t="s">
        <v>245</v>
      </c>
      <c r="B130" s="173" t="s">
        <v>210</v>
      </c>
      <c r="C130">
        <v>129</v>
      </c>
      <c r="D130">
        <v>129</v>
      </c>
      <c r="E130">
        <v>126</v>
      </c>
      <c r="F130" s="167" t="s">
        <v>186</v>
      </c>
      <c r="G130" s="96">
        <v>4906</v>
      </c>
      <c r="H130" s="96">
        <v>3700</v>
      </c>
      <c r="I130" s="96">
        <v>3504</v>
      </c>
      <c r="J130" s="96">
        <v>2191</v>
      </c>
      <c r="K130" s="96">
        <v>2941</v>
      </c>
      <c r="L130" s="96">
        <v>1576</v>
      </c>
      <c r="M130" s="96">
        <v>566</v>
      </c>
      <c r="N130" s="96">
        <v>5423</v>
      </c>
      <c r="O130" s="96">
        <v>3110</v>
      </c>
      <c r="P130" s="96">
        <v>1976</v>
      </c>
      <c r="Q130" s="96">
        <v>170</v>
      </c>
      <c r="R130" s="96">
        <v>268</v>
      </c>
      <c r="S130" s="96">
        <f t="shared" si="34"/>
        <v>30331</v>
      </c>
    </row>
    <row r="131" spans="1:19" ht="26.4" x14ac:dyDescent="0.7">
      <c r="A131" t="s">
        <v>245</v>
      </c>
      <c r="B131" s="173" t="s">
        <v>210</v>
      </c>
      <c r="C131">
        <v>130</v>
      </c>
      <c r="D131">
        <v>130</v>
      </c>
      <c r="E131">
        <v>122</v>
      </c>
      <c r="F131" s="167" t="s">
        <v>181</v>
      </c>
      <c r="G131" s="96">
        <v>725</v>
      </c>
      <c r="H131" s="96">
        <v>0</v>
      </c>
      <c r="I131" s="96">
        <v>95</v>
      </c>
      <c r="J131" s="96">
        <v>500</v>
      </c>
      <c r="K131" s="96">
        <v>112</v>
      </c>
      <c r="L131" s="96">
        <v>258</v>
      </c>
      <c r="M131" s="96">
        <v>139</v>
      </c>
      <c r="N131" s="96">
        <v>648</v>
      </c>
      <c r="O131" s="96">
        <v>235</v>
      </c>
      <c r="P131" s="96">
        <v>614</v>
      </c>
      <c r="Q131" s="96">
        <v>12</v>
      </c>
      <c r="R131" s="96">
        <v>70</v>
      </c>
      <c r="S131" s="96">
        <f t="shared" si="34"/>
        <v>3408</v>
      </c>
    </row>
    <row r="132" spans="1:19" ht="26.4" x14ac:dyDescent="0.7">
      <c r="A132" t="s">
        <v>245</v>
      </c>
      <c r="B132" s="173" t="s">
        <v>210</v>
      </c>
      <c r="C132">
        <v>131</v>
      </c>
      <c r="D132">
        <v>131</v>
      </c>
      <c r="F132" s="168">
        <v>2018</v>
      </c>
      <c r="G132" s="96">
        <f>SUM(G133:G136)+G140</f>
        <v>34541</v>
      </c>
      <c r="H132" s="96">
        <f t="shared" ref="H132:R132" si="36">SUM(H133:H136)+H140</f>
        <v>49051</v>
      </c>
      <c r="I132" s="96">
        <f t="shared" si="36"/>
        <v>39683</v>
      </c>
      <c r="J132" s="96">
        <f t="shared" si="36"/>
        <v>42922</v>
      </c>
      <c r="K132" s="96">
        <f t="shared" si="36"/>
        <v>41487</v>
      </c>
      <c r="L132" s="96">
        <f t="shared" si="36"/>
        <v>16330</v>
      </c>
      <c r="M132" s="96">
        <f t="shared" si="36"/>
        <v>65254</v>
      </c>
      <c r="N132" s="96">
        <f t="shared" si="36"/>
        <v>56330</v>
      </c>
      <c r="O132" s="96">
        <f t="shared" si="36"/>
        <v>60384</v>
      </c>
      <c r="P132" s="96">
        <f t="shared" si="36"/>
        <v>49020</v>
      </c>
      <c r="Q132" s="96">
        <f t="shared" si="36"/>
        <v>17408</v>
      </c>
      <c r="R132" s="96">
        <f t="shared" si="36"/>
        <v>21135</v>
      </c>
      <c r="S132" s="96">
        <f t="shared" si="34"/>
        <v>493545</v>
      </c>
    </row>
    <row r="133" spans="1:19" ht="26.4" x14ac:dyDescent="0.7">
      <c r="A133" t="s">
        <v>245</v>
      </c>
      <c r="B133" s="173" t="s">
        <v>210</v>
      </c>
      <c r="C133">
        <v>132</v>
      </c>
      <c r="D133">
        <v>132</v>
      </c>
      <c r="E133">
        <v>131</v>
      </c>
      <c r="F133" s="165" t="s">
        <v>178</v>
      </c>
      <c r="G133" s="96">
        <v>1386</v>
      </c>
      <c r="H133" s="96">
        <v>2513</v>
      </c>
      <c r="I133" s="96">
        <v>2736</v>
      </c>
      <c r="J133" s="96">
        <v>2635</v>
      </c>
      <c r="K133" s="96">
        <v>3841</v>
      </c>
      <c r="L133" s="96">
        <v>1789</v>
      </c>
      <c r="M133" s="96">
        <v>1336</v>
      </c>
      <c r="N133" s="96">
        <v>1939</v>
      </c>
      <c r="O133" s="96">
        <v>2176</v>
      </c>
      <c r="P133" s="96">
        <v>3314</v>
      </c>
      <c r="Q133" s="96">
        <v>1721</v>
      </c>
      <c r="R133" s="96">
        <v>1381</v>
      </c>
      <c r="S133" s="96">
        <f t="shared" si="34"/>
        <v>26767</v>
      </c>
    </row>
    <row r="134" spans="1:19" ht="26.4" x14ac:dyDescent="0.7">
      <c r="A134" t="s">
        <v>245</v>
      </c>
      <c r="B134" s="173" t="s">
        <v>210</v>
      </c>
      <c r="C134">
        <v>133</v>
      </c>
      <c r="D134">
        <v>133</v>
      </c>
      <c r="E134">
        <v>131</v>
      </c>
      <c r="F134" s="166" t="s">
        <v>179</v>
      </c>
      <c r="G134" s="96">
        <v>1435</v>
      </c>
      <c r="H134" s="96">
        <v>1662</v>
      </c>
      <c r="I134" s="96">
        <v>2178</v>
      </c>
      <c r="J134" s="96">
        <v>1870</v>
      </c>
      <c r="K134" s="96">
        <v>2221</v>
      </c>
      <c r="L134" s="96">
        <v>2140</v>
      </c>
      <c r="M134" s="96">
        <v>3143</v>
      </c>
      <c r="N134" s="96">
        <v>2980</v>
      </c>
      <c r="O134" s="96">
        <v>1657</v>
      </c>
      <c r="P134" s="96">
        <v>3021</v>
      </c>
      <c r="Q134" s="96">
        <v>3441</v>
      </c>
      <c r="R134" s="96">
        <v>3176</v>
      </c>
      <c r="S134" s="96">
        <f t="shared" si="34"/>
        <v>28924</v>
      </c>
    </row>
    <row r="135" spans="1:19" ht="26.4" x14ac:dyDescent="0.7">
      <c r="A135" t="s">
        <v>245</v>
      </c>
      <c r="B135" s="173" t="s">
        <v>210</v>
      </c>
      <c r="C135">
        <v>134</v>
      </c>
      <c r="D135">
        <v>134</v>
      </c>
      <c r="E135">
        <v>131</v>
      </c>
      <c r="F135" s="166" t="s">
        <v>180</v>
      </c>
      <c r="G135" s="96">
        <v>2</v>
      </c>
      <c r="H135" s="96">
        <v>204</v>
      </c>
      <c r="I135" s="96">
        <v>310</v>
      </c>
      <c r="J135" s="96">
        <v>475</v>
      </c>
      <c r="K135" s="96">
        <v>395</v>
      </c>
      <c r="L135" s="96">
        <v>314</v>
      </c>
      <c r="M135" s="96">
        <v>451</v>
      </c>
      <c r="N135" s="96">
        <v>205</v>
      </c>
      <c r="O135" s="96">
        <v>266</v>
      </c>
      <c r="P135" s="96">
        <v>298</v>
      </c>
      <c r="Q135" s="96">
        <v>218</v>
      </c>
      <c r="R135" s="96">
        <v>231</v>
      </c>
      <c r="S135" s="96">
        <f t="shared" si="34"/>
        <v>3369</v>
      </c>
    </row>
    <row r="136" spans="1:19" ht="26.4" x14ac:dyDescent="0.7">
      <c r="A136" t="s">
        <v>245</v>
      </c>
      <c r="B136" s="173" t="s">
        <v>210</v>
      </c>
      <c r="C136">
        <v>135</v>
      </c>
      <c r="D136">
        <v>135</v>
      </c>
      <c r="E136">
        <v>131</v>
      </c>
      <c r="F136" s="165" t="s">
        <v>183</v>
      </c>
      <c r="G136" s="96">
        <v>31609</v>
      </c>
      <c r="H136" s="96">
        <v>44413</v>
      </c>
      <c r="I136" s="96">
        <v>34255</v>
      </c>
      <c r="J136" s="96">
        <v>37395</v>
      </c>
      <c r="K136" s="96">
        <v>34235</v>
      </c>
      <c r="L136" s="96">
        <v>11142</v>
      </c>
      <c r="M136" s="96">
        <v>59603</v>
      </c>
      <c r="N136" s="96">
        <v>50321</v>
      </c>
      <c r="O136" s="96">
        <v>55210</v>
      </c>
      <c r="P136" s="96">
        <v>41294</v>
      </c>
      <c r="Q136" s="96">
        <v>11543</v>
      </c>
      <c r="R136" s="96">
        <v>16124</v>
      </c>
      <c r="S136" s="96">
        <f t="shared" si="34"/>
        <v>427144</v>
      </c>
    </row>
    <row r="137" spans="1:19" ht="26.4" x14ac:dyDescent="0.7">
      <c r="A137" t="s">
        <v>245</v>
      </c>
      <c r="B137" s="173" t="s">
        <v>210</v>
      </c>
      <c r="C137">
        <v>136</v>
      </c>
      <c r="D137">
        <v>136</v>
      </c>
      <c r="E137">
        <v>135</v>
      </c>
      <c r="F137" s="167" t="s">
        <v>184</v>
      </c>
      <c r="G137" s="96">
        <v>30870</v>
      </c>
      <c r="H137" s="96">
        <v>38494</v>
      </c>
      <c r="I137" s="96">
        <v>31158</v>
      </c>
      <c r="J137" s="96">
        <v>32161</v>
      </c>
      <c r="K137" s="96">
        <v>30061</v>
      </c>
      <c r="L137" s="96">
        <v>9779</v>
      </c>
      <c r="M137" s="96">
        <v>59072</v>
      </c>
      <c r="N137" s="96">
        <v>47216</v>
      </c>
      <c r="O137" s="96">
        <v>52701</v>
      </c>
      <c r="P137" s="96">
        <v>37661</v>
      </c>
      <c r="Q137" s="96">
        <v>10655</v>
      </c>
      <c r="R137" s="96">
        <v>14444</v>
      </c>
      <c r="S137" s="96">
        <f t="shared" si="34"/>
        <v>394272</v>
      </c>
    </row>
    <row r="138" spans="1:19" ht="26.4" x14ac:dyDescent="0.7">
      <c r="A138" t="s">
        <v>245</v>
      </c>
      <c r="B138" s="173" t="s">
        <v>210</v>
      </c>
      <c r="C138">
        <v>137</v>
      </c>
      <c r="D138">
        <v>137</v>
      </c>
      <c r="E138">
        <v>135</v>
      </c>
      <c r="F138" s="167" t="s">
        <v>185</v>
      </c>
      <c r="G138" s="96">
        <v>470</v>
      </c>
      <c r="H138" s="96">
        <v>2305</v>
      </c>
      <c r="I138" s="96">
        <v>1056</v>
      </c>
      <c r="J138" s="96">
        <v>1928</v>
      </c>
      <c r="K138" s="96">
        <v>2025</v>
      </c>
      <c r="L138" s="96">
        <v>881</v>
      </c>
      <c r="M138" s="96">
        <v>161</v>
      </c>
      <c r="N138" s="96">
        <v>544</v>
      </c>
      <c r="O138" s="96">
        <v>523</v>
      </c>
      <c r="P138" s="96">
        <v>780</v>
      </c>
      <c r="Q138" s="96">
        <v>122</v>
      </c>
      <c r="R138" s="96">
        <v>63</v>
      </c>
      <c r="S138" s="96">
        <f t="shared" si="34"/>
        <v>10858</v>
      </c>
    </row>
    <row r="139" spans="1:19" ht="26.4" x14ac:dyDescent="0.7">
      <c r="A139" t="s">
        <v>245</v>
      </c>
      <c r="B139" s="173" t="s">
        <v>210</v>
      </c>
      <c r="C139">
        <v>138</v>
      </c>
      <c r="D139">
        <v>138</v>
      </c>
      <c r="E139">
        <v>135</v>
      </c>
      <c r="F139" s="167" t="s">
        <v>186</v>
      </c>
      <c r="G139" s="96">
        <v>269</v>
      </c>
      <c r="H139" s="96">
        <v>3614</v>
      </c>
      <c r="I139" s="96">
        <v>2041</v>
      </c>
      <c r="J139" s="96">
        <v>3306</v>
      </c>
      <c r="K139" s="96">
        <v>2149</v>
      </c>
      <c r="L139" s="96">
        <v>482</v>
      </c>
      <c r="M139" s="96">
        <v>370</v>
      </c>
      <c r="N139" s="96">
        <v>2561</v>
      </c>
      <c r="O139" s="96">
        <v>1986</v>
      </c>
      <c r="P139" s="96">
        <v>2853</v>
      </c>
      <c r="Q139" s="96">
        <v>766</v>
      </c>
      <c r="R139" s="96">
        <v>1617</v>
      </c>
      <c r="S139" s="96">
        <f t="shared" si="34"/>
        <v>22014</v>
      </c>
    </row>
    <row r="140" spans="1:19" ht="26.4" x14ac:dyDescent="0.7">
      <c r="A140" t="s">
        <v>245</v>
      </c>
      <c r="B140" s="173" t="s">
        <v>210</v>
      </c>
      <c r="C140">
        <v>139</v>
      </c>
      <c r="D140">
        <v>139</v>
      </c>
      <c r="E140">
        <v>131</v>
      </c>
      <c r="F140" s="167" t="s">
        <v>181</v>
      </c>
      <c r="G140" s="96">
        <v>109</v>
      </c>
      <c r="H140" s="96">
        <v>259</v>
      </c>
      <c r="I140" s="96">
        <v>204</v>
      </c>
      <c r="J140" s="96">
        <v>547</v>
      </c>
      <c r="K140" s="96">
        <v>795</v>
      </c>
      <c r="L140" s="96">
        <v>945</v>
      </c>
      <c r="M140" s="96">
        <v>721</v>
      </c>
      <c r="N140" s="96">
        <v>885</v>
      </c>
      <c r="O140" s="96">
        <v>1075</v>
      </c>
      <c r="P140" s="96">
        <v>1093</v>
      </c>
      <c r="Q140" s="96">
        <v>485</v>
      </c>
      <c r="R140" s="96">
        <v>223</v>
      </c>
      <c r="S140" s="96">
        <f t="shared" si="34"/>
        <v>7341</v>
      </c>
    </row>
    <row r="141" spans="1:19" ht="26.4" x14ac:dyDescent="0.7">
      <c r="A141" t="s">
        <v>245</v>
      </c>
      <c r="B141" s="173" t="s">
        <v>210</v>
      </c>
      <c r="C141">
        <v>140</v>
      </c>
      <c r="D141">
        <v>140</v>
      </c>
      <c r="F141" s="168">
        <v>2019</v>
      </c>
      <c r="G141" s="96">
        <f>SUM(G142:G145)+G149</f>
        <v>34455</v>
      </c>
      <c r="H141" s="96">
        <f t="shared" ref="H141:R141" si="37">SUM(H142:H145)+H149</f>
        <v>52617</v>
      </c>
      <c r="I141" s="96">
        <f t="shared" si="37"/>
        <v>36927</v>
      </c>
      <c r="J141" s="96">
        <f t="shared" si="37"/>
        <v>62383</v>
      </c>
      <c r="K141" s="96">
        <f t="shared" si="37"/>
        <v>56221</v>
      </c>
      <c r="L141" s="96">
        <f t="shared" si="37"/>
        <v>17114</v>
      </c>
      <c r="M141" s="96">
        <f t="shared" si="37"/>
        <v>32891</v>
      </c>
      <c r="N141" s="96">
        <f t="shared" si="37"/>
        <v>27810</v>
      </c>
      <c r="O141" s="96">
        <f t="shared" si="37"/>
        <v>50033</v>
      </c>
      <c r="P141" s="96">
        <f t="shared" si="37"/>
        <v>44795</v>
      </c>
      <c r="Q141" s="96">
        <f t="shared" si="37"/>
        <v>35302</v>
      </c>
      <c r="R141" s="96">
        <f t="shared" si="37"/>
        <v>52525</v>
      </c>
      <c r="S141" s="96">
        <f t="shared" si="34"/>
        <v>503073</v>
      </c>
    </row>
    <row r="142" spans="1:19" ht="26.4" x14ac:dyDescent="0.7">
      <c r="A142" t="s">
        <v>245</v>
      </c>
      <c r="B142" s="173" t="s">
        <v>210</v>
      </c>
      <c r="C142">
        <v>141</v>
      </c>
      <c r="D142">
        <v>141</v>
      </c>
      <c r="E142">
        <v>140</v>
      </c>
      <c r="F142" s="165" t="s">
        <v>178</v>
      </c>
      <c r="G142" s="96">
        <v>1474</v>
      </c>
      <c r="H142" s="96">
        <v>1351</v>
      </c>
      <c r="I142" s="96">
        <v>1505</v>
      </c>
      <c r="J142" s="96">
        <v>2173</v>
      </c>
      <c r="K142" s="96">
        <v>2995</v>
      </c>
      <c r="L142" s="96">
        <v>1828</v>
      </c>
      <c r="M142" s="96">
        <v>1468</v>
      </c>
      <c r="N142" s="96">
        <v>1148</v>
      </c>
      <c r="O142" s="96">
        <v>1167</v>
      </c>
      <c r="P142" s="96">
        <v>1591</v>
      </c>
      <c r="Q142" s="96">
        <v>1494</v>
      </c>
      <c r="R142" s="96">
        <v>961</v>
      </c>
      <c r="S142" s="96">
        <f t="shared" si="34"/>
        <v>19155</v>
      </c>
    </row>
    <row r="143" spans="1:19" ht="26.4" x14ac:dyDescent="0.7">
      <c r="A143" t="s">
        <v>245</v>
      </c>
      <c r="B143" s="173" t="s">
        <v>210</v>
      </c>
      <c r="C143">
        <v>142</v>
      </c>
      <c r="D143">
        <v>142</v>
      </c>
      <c r="E143">
        <v>140</v>
      </c>
      <c r="F143" s="166" t="s">
        <v>179</v>
      </c>
      <c r="G143" s="96">
        <v>2208</v>
      </c>
      <c r="H143" s="96">
        <v>1911</v>
      </c>
      <c r="I143" s="96">
        <v>2159</v>
      </c>
      <c r="J143" s="96">
        <v>2186</v>
      </c>
      <c r="K143" s="96">
        <v>1907</v>
      </c>
      <c r="L143" s="96">
        <v>2210</v>
      </c>
      <c r="M143" s="96">
        <v>2278</v>
      </c>
      <c r="N143" s="96">
        <v>1026</v>
      </c>
      <c r="O143" s="96">
        <v>1529</v>
      </c>
      <c r="P143" s="96">
        <v>2756</v>
      </c>
      <c r="Q143" s="96">
        <v>3713</v>
      </c>
      <c r="R143" s="96">
        <v>2783</v>
      </c>
      <c r="S143" s="96">
        <f t="shared" si="34"/>
        <v>26666</v>
      </c>
    </row>
    <row r="144" spans="1:19" ht="26.4" x14ac:dyDescent="0.7">
      <c r="A144" t="s">
        <v>245</v>
      </c>
      <c r="B144" s="173" t="s">
        <v>210</v>
      </c>
      <c r="C144">
        <v>143</v>
      </c>
      <c r="D144">
        <v>143</v>
      </c>
      <c r="E144">
        <v>140</v>
      </c>
      <c r="F144" s="166" t="s">
        <v>180</v>
      </c>
      <c r="G144" s="96">
        <v>358</v>
      </c>
      <c r="H144" s="96">
        <v>275</v>
      </c>
      <c r="I144" s="96">
        <v>380</v>
      </c>
      <c r="J144" s="96">
        <v>209</v>
      </c>
      <c r="K144" s="96">
        <v>810</v>
      </c>
      <c r="L144" s="96">
        <v>157</v>
      </c>
      <c r="M144" s="96">
        <v>502</v>
      </c>
      <c r="N144" s="96">
        <v>379</v>
      </c>
      <c r="O144" s="96">
        <v>167</v>
      </c>
      <c r="P144" s="96">
        <v>170</v>
      </c>
      <c r="Q144" s="96">
        <v>477</v>
      </c>
      <c r="R144" s="96">
        <v>515</v>
      </c>
      <c r="S144" s="96">
        <f t="shared" si="34"/>
        <v>4399</v>
      </c>
    </row>
    <row r="145" spans="1:19" ht="26.4" x14ac:dyDescent="0.7">
      <c r="A145" t="s">
        <v>245</v>
      </c>
      <c r="B145" s="173" t="s">
        <v>210</v>
      </c>
      <c r="C145">
        <v>144</v>
      </c>
      <c r="D145">
        <v>144</v>
      </c>
      <c r="E145">
        <v>140</v>
      </c>
      <c r="F145" s="165" t="s">
        <v>183</v>
      </c>
      <c r="G145" s="96">
        <f>G146+G147+G148</f>
        <v>30178</v>
      </c>
      <c r="H145" s="96">
        <f t="shared" ref="H145:R145" si="38">H146+H147+H148</f>
        <v>48404</v>
      </c>
      <c r="I145" s="96">
        <f t="shared" si="38"/>
        <v>32119</v>
      </c>
      <c r="J145" s="96">
        <f t="shared" si="38"/>
        <v>56761</v>
      </c>
      <c r="K145" s="96">
        <f t="shared" si="38"/>
        <v>48794</v>
      </c>
      <c r="L145" s="96">
        <f t="shared" si="38"/>
        <v>11244</v>
      </c>
      <c r="M145" s="96">
        <f t="shared" si="38"/>
        <v>27519</v>
      </c>
      <c r="N145" s="96">
        <f t="shared" si="38"/>
        <v>24391</v>
      </c>
      <c r="O145" s="96">
        <f t="shared" si="38"/>
        <v>46248</v>
      </c>
      <c r="P145" s="96">
        <f t="shared" si="38"/>
        <v>39453</v>
      </c>
      <c r="Q145" s="96">
        <f t="shared" si="38"/>
        <v>28966</v>
      </c>
      <c r="R145" s="96">
        <f t="shared" si="38"/>
        <v>48041</v>
      </c>
      <c r="S145" s="96">
        <f t="shared" si="34"/>
        <v>442118</v>
      </c>
    </row>
    <row r="146" spans="1:19" ht="26.4" x14ac:dyDescent="0.7">
      <c r="A146" t="s">
        <v>245</v>
      </c>
      <c r="B146" s="173" t="s">
        <v>210</v>
      </c>
      <c r="C146">
        <v>145</v>
      </c>
      <c r="D146">
        <v>145</v>
      </c>
      <c r="E146">
        <v>144</v>
      </c>
      <c r="F146" s="167" t="s">
        <v>184</v>
      </c>
      <c r="G146" s="96">
        <v>25200</v>
      </c>
      <c r="H146" s="96">
        <v>40837</v>
      </c>
      <c r="I146" s="96">
        <v>21764</v>
      </c>
      <c r="J146" s="96">
        <v>45228</v>
      </c>
      <c r="K146" s="96">
        <v>41139</v>
      </c>
      <c r="L146" s="96">
        <v>9406</v>
      </c>
      <c r="M146" s="96">
        <v>21947</v>
      </c>
      <c r="N146" s="96">
        <v>21882</v>
      </c>
      <c r="O146" s="96">
        <v>42510</v>
      </c>
      <c r="P146" s="96">
        <v>29233</v>
      </c>
      <c r="Q146" s="96">
        <v>19218</v>
      </c>
      <c r="R146" s="96">
        <v>42566</v>
      </c>
      <c r="S146" s="96">
        <f t="shared" si="34"/>
        <v>360930</v>
      </c>
    </row>
    <row r="147" spans="1:19" ht="26.4" x14ac:dyDescent="0.7">
      <c r="A147" t="s">
        <v>245</v>
      </c>
      <c r="B147" s="173" t="s">
        <v>210</v>
      </c>
      <c r="C147">
        <v>146</v>
      </c>
      <c r="D147">
        <v>146</v>
      </c>
      <c r="E147">
        <v>144</v>
      </c>
      <c r="F147" s="167" t="s">
        <v>185</v>
      </c>
      <c r="G147" s="96">
        <v>302</v>
      </c>
      <c r="H147" s="96">
        <v>655</v>
      </c>
      <c r="I147" s="96">
        <v>2522</v>
      </c>
      <c r="J147" s="96">
        <v>2464</v>
      </c>
      <c r="K147" s="96">
        <v>1421</v>
      </c>
      <c r="L147" s="96">
        <v>330</v>
      </c>
      <c r="M147" s="96">
        <v>2671</v>
      </c>
      <c r="N147" s="96">
        <v>673</v>
      </c>
      <c r="O147" s="96">
        <v>556</v>
      </c>
      <c r="P147" s="96">
        <v>911</v>
      </c>
      <c r="Q147" s="96">
        <v>2164</v>
      </c>
      <c r="R147" s="96">
        <v>808</v>
      </c>
      <c r="S147" s="96">
        <f t="shared" si="34"/>
        <v>15477</v>
      </c>
    </row>
    <row r="148" spans="1:19" ht="26.4" x14ac:dyDescent="0.7">
      <c r="A148" t="s">
        <v>245</v>
      </c>
      <c r="B148" s="173" t="s">
        <v>210</v>
      </c>
      <c r="C148">
        <v>147</v>
      </c>
      <c r="D148">
        <v>147</v>
      </c>
      <c r="E148">
        <v>144</v>
      </c>
      <c r="F148" s="167" t="s">
        <v>186</v>
      </c>
      <c r="G148" s="96">
        <v>4676</v>
      </c>
      <c r="H148" s="96">
        <v>6912</v>
      </c>
      <c r="I148" s="96">
        <v>7833</v>
      </c>
      <c r="J148" s="96">
        <v>9069</v>
      </c>
      <c r="K148" s="96">
        <v>6234</v>
      </c>
      <c r="L148" s="96">
        <v>1508</v>
      </c>
      <c r="M148" s="96">
        <v>2901</v>
      </c>
      <c r="N148" s="96">
        <v>1836</v>
      </c>
      <c r="O148" s="96">
        <v>3182</v>
      </c>
      <c r="P148" s="96">
        <v>9309</v>
      </c>
      <c r="Q148" s="96">
        <v>7584</v>
      </c>
      <c r="R148" s="96">
        <v>4667</v>
      </c>
      <c r="S148" s="96">
        <f t="shared" si="34"/>
        <v>65711</v>
      </c>
    </row>
    <row r="149" spans="1:19" ht="26.4" x14ac:dyDescent="0.7">
      <c r="A149" t="s">
        <v>245</v>
      </c>
      <c r="B149" s="173" t="s">
        <v>210</v>
      </c>
      <c r="C149">
        <v>148</v>
      </c>
      <c r="D149">
        <v>148</v>
      </c>
      <c r="E149">
        <v>140</v>
      </c>
      <c r="F149" s="167" t="s">
        <v>181</v>
      </c>
      <c r="G149" s="96">
        <v>237</v>
      </c>
      <c r="H149" s="96">
        <v>676</v>
      </c>
      <c r="I149" s="96">
        <v>764</v>
      </c>
      <c r="J149" s="96">
        <v>1054</v>
      </c>
      <c r="K149" s="96">
        <v>1715</v>
      </c>
      <c r="L149" s="96">
        <v>1675</v>
      </c>
      <c r="M149" s="96">
        <v>1124</v>
      </c>
      <c r="N149" s="96">
        <v>866</v>
      </c>
      <c r="O149" s="96">
        <v>922</v>
      </c>
      <c r="P149" s="96">
        <v>825</v>
      </c>
      <c r="Q149" s="96">
        <v>652</v>
      </c>
      <c r="R149" s="96">
        <v>225</v>
      </c>
      <c r="S149" s="96">
        <f t="shared" si="34"/>
        <v>10735</v>
      </c>
    </row>
    <row r="150" spans="1:19" ht="26.4" x14ac:dyDescent="0.7">
      <c r="A150" t="s">
        <v>245</v>
      </c>
      <c r="B150" s="173" t="s">
        <v>210</v>
      </c>
      <c r="C150">
        <v>149</v>
      </c>
      <c r="D150">
        <v>149</v>
      </c>
      <c r="F150" s="168">
        <v>2020</v>
      </c>
      <c r="G150" s="96">
        <f>SUM(G151:G154)+G158</f>
        <v>40775</v>
      </c>
      <c r="H150" s="96">
        <f t="shared" ref="H150:R150" si="39">SUM(H151:H154)+H158</f>
        <v>33754</v>
      </c>
      <c r="I150" s="96">
        <f t="shared" si="39"/>
        <v>30525</v>
      </c>
      <c r="J150" s="96">
        <f t="shared" si="39"/>
        <v>13008</v>
      </c>
      <c r="K150" s="96">
        <f t="shared" si="39"/>
        <v>14163</v>
      </c>
      <c r="L150" s="96">
        <f t="shared" si="39"/>
        <v>31492</v>
      </c>
      <c r="M150" s="96">
        <f t="shared" si="39"/>
        <v>24629</v>
      </c>
      <c r="N150" s="96">
        <f t="shared" si="39"/>
        <v>38371</v>
      </c>
      <c r="O150" s="96">
        <f t="shared" si="39"/>
        <v>34247</v>
      </c>
      <c r="P150" s="96">
        <f t="shared" si="39"/>
        <v>39199</v>
      </c>
      <c r="Q150" s="96">
        <f t="shared" si="39"/>
        <v>22342</v>
      </c>
      <c r="R150" s="96">
        <f t="shared" si="39"/>
        <v>22964</v>
      </c>
      <c r="S150" s="96">
        <f t="shared" si="34"/>
        <v>345469</v>
      </c>
    </row>
    <row r="151" spans="1:19" ht="26.4" x14ac:dyDescent="0.7">
      <c r="A151" t="s">
        <v>245</v>
      </c>
      <c r="B151" s="173" t="s">
        <v>210</v>
      </c>
      <c r="C151">
        <v>150</v>
      </c>
      <c r="D151">
        <v>150</v>
      </c>
      <c r="E151">
        <v>149</v>
      </c>
      <c r="F151" s="165" t="s">
        <v>178</v>
      </c>
      <c r="G151" s="96">
        <v>1510</v>
      </c>
      <c r="H151" s="96">
        <v>1431</v>
      </c>
      <c r="I151" s="96">
        <v>1816</v>
      </c>
      <c r="J151" s="96">
        <v>1088</v>
      </c>
      <c r="K151" s="96">
        <v>2235</v>
      </c>
      <c r="L151" s="96">
        <v>2142</v>
      </c>
      <c r="M151" s="96">
        <v>1406</v>
      </c>
      <c r="N151" s="96">
        <v>991</v>
      </c>
      <c r="O151" s="96">
        <v>1288</v>
      </c>
      <c r="P151" s="96">
        <v>1784</v>
      </c>
      <c r="Q151" s="96">
        <v>1103</v>
      </c>
      <c r="R151" s="96">
        <v>1250</v>
      </c>
      <c r="S151" s="96">
        <f t="shared" si="34"/>
        <v>18044</v>
      </c>
    </row>
    <row r="152" spans="1:19" ht="26.4" x14ac:dyDescent="0.7">
      <c r="A152" t="s">
        <v>245</v>
      </c>
      <c r="B152" s="173" t="s">
        <v>210</v>
      </c>
      <c r="C152">
        <v>151</v>
      </c>
      <c r="D152">
        <v>151</v>
      </c>
      <c r="E152">
        <v>149</v>
      </c>
      <c r="F152" s="166" t="s">
        <v>179</v>
      </c>
      <c r="G152" s="96">
        <v>2813</v>
      </c>
      <c r="H152" s="96">
        <v>2651</v>
      </c>
      <c r="I152" s="96">
        <v>2804</v>
      </c>
      <c r="J152" s="96">
        <v>2426</v>
      </c>
      <c r="K152" s="96">
        <v>2677</v>
      </c>
      <c r="L152" s="96">
        <v>3088</v>
      </c>
      <c r="M152" s="96">
        <v>5534</v>
      </c>
      <c r="N152" s="96">
        <v>2514</v>
      </c>
      <c r="O152" s="96">
        <v>2001</v>
      </c>
      <c r="P152" s="96">
        <v>3008</v>
      </c>
      <c r="Q152" s="96">
        <v>11395</v>
      </c>
      <c r="R152" s="96">
        <v>7357</v>
      </c>
      <c r="S152" s="96">
        <f t="shared" si="34"/>
        <v>48268</v>
      </c>
    </row>
    <row r="153" spans="1:19" ht="26.4" x14ac:dyDescent="0.7">
      <c r="A153" t="s">
        <v>245</v>
      </c>
      <c r="B153" s="173" t="s">
        <v>210</v>
      </c>
      <c r="C153">
        <v>152</v>
      </c>
      <c r="D153">
        <v>152</v>
      </c>
      <c r="E153">
        <v>149</v>
      </c>
      <c r="F153" s="166" t="s">
        <v>180</v>
      </c>
      <c r="G153" s="96">
        <v>133</v>
      </c>
      <c r="H153" s="96">
        <v>548</v>
      </c>
      <c r="I153" s="96">
        <v>127</v>
      </c>
      <c r="J153" s="96">
        <v>239</v>
      </c>
      <c r="K153" s="96">
        <v>115</v>
      </c>
      <c r="L153" s="96">
        <v>110</v>
      </c>
      <c r="M153" s="96">
        <v>846</v>
      </c>
      <c r="N153" s="96">
        <v>282</v>
      </c>
      <c r="O153" s="96">
        <v>357</v>
      </c>
      <c r="P153" s="96">
        <v>199</v>
      </c>
      <c r="Q153" s="96">
        <v>352</v>
      </c>
      <c r="R153" s="96">
        <v>274</v>
      </c>
      <c r="S153" s="96">
        <f t="shared" si="34"/>
        <v>3582</v>
      </c>
    </row>
    <row r="154" spans="1:19" ht="26.4" x14ac:dyDescent="0.7">
      <c r="A154" t="s">
        <v>245</v>
      </c>
      <c r="B154" s="173" t="s">
        <v>210</v>
      </c>
      <c r="C154">
        <v>153</v>
      </c>
      <c r="D154">
        <v>153</v>
      </c>
      <c r="E154">
        <v>149</v>
      </c>
      <c r="F154" s="165" t="s">
        <v>183</v>
      </c>
      <c r="G154" s="96">
        <v>36080</v>
      </c>
      <c r="H154" s="96">
        <v>28767</v>
      </c>
      <c r="I154" s="96">
        <v>25192</v>
      </c>
      <c r="J154" s="96">
        <v>8687</v>
      </c>
      <c r="K154" s="96">
        <v>8426</v>
      </c>
      <c r="L154" s="96">
        <v>24758</v>
      </c>
      <c r="M154" s="96">
        <v>16238</v>
      </c>
      <c r="N154" s="96">
        <v>34362</v>
      </c>
      <c r="O154" s="96">
        <v>30066</v>
      </c>
      <c r="P154" s="96">
        <v>33832</v>
      </c>
      <c r="Q154" s="96">
        <v>8943</v>
      </c>
      <c r="R154" s="96">
        <v>13960</v>
      </c>
      <c r="S154" s="96">
        <f t="shared" si="34"/>
        <v>269311</v>
      </c>
    </row>
    <row r="155" spans="1:19" ht="26.4" x14ac:dyDescent="0.7">
      <c r="A155" t="s">
        <v>245</v>
      </c>
      <c r="B155" s="173" t="s">
        <v>210</v>
      </c>
      <c r="C155">
        <v>154</v>
      </c>
      <c r="D155">
        <v>154</v>
      </c>
      <c r="E155">
        <v>153</v>
      </c>
      <c r="F155" s="167" t="s">
        <v>184</v>
      </c>
      <c r="G155" s="96">
        <v>30050</v>
      </c>
      <c r="H155" s="96">
        <v>21313</v>
      </c>
      <c r="I155" s="96">
        <v>21753</v>
      </c>
      <c r="J155" s="96">
        <v>6917</v>
      </c>
      <c r="K155" s="96">
        <v>5509</v>
      </c>
      <c r="L155" s="96">
        <v>22073</v>
      </c>
      <c r="M155" s="96">
        <v>14272</v>
      </c>
      <c r="N155" s="96">
        <v>32619</v>
      </c>
      <c r="O155" s="96">
        <v>28171</v>
      </c>
      <c r="P155" s="96">
        <v>28787</v>
      </c>
      <c r="Q155" s="96">
        <v>5630</v>
      </c>
      <c r="R155" s="96">
        <v>11983</v>
      </c>
      <c r="S155" s="96">
        <f t="shared" si="34"/>
        <v>229077</v>
      </c>
    </row>
    <row r="156" spans="1:19" ht="26.4" x14ac:dyDescent="0.7">
      <c r="A156" t="s">
        <v>245</v>
      </c>
      <c r="B156" s="173" t="s">
        <v>210</v>
      </c>
      <c r="C156">
        <v>155</v>
      </c>
      <c r="D156">
        <v>155</v>
      </c>
      <c r="E156">
        <v>153</v>
      </c>
      <c r="F156" s="167" t="s">
        <v>185</v>
      </c>
      <c r="G156" s="96">
        <v>476</v>
      </c>
      <c r="H156" s="96">
        <v>2249</v>
      </c>
      <c r="I156" s="96">
        <v>672</v>
      </c>
      <c r="J156" s="96">
        <v>1203</v>
      </c>
      <c r="K156" s="96">
        <v>2205</v>
      </c>
      <c r="L156" s="96">
        <v>1626</v>
      </c>
      <c r="M156" s="96">
        <v>881</v>
      </c>
      <c r="N156" s="96">
        <v>448</v>
      </c>
      <c r="O156" s="96">
        <v>369</v>
      </c>
      <c r="P156" s="96">
        <v>1310</v>
      </c>
      <c r="Q156" s="96">
        <v>1936</v>
      </c>
      <c r="R156" s="96">
        <v>590</v>
      </c>
      <c r="S156" s="96">
        <f>SUM(G156:R156)</f>
        <v>13965</v>
      </c>
    </row>
    <row r="157" spans="1:19" ht="26.4" x14ac:dyDescent="0.7">
      <c r="A157" t="s">
        <v>245</v>
      </c>
      <c r="B157" s="173" t="s">
        <v>210</v>
      </c>
      <c r="C157">
        <v>156</v>
      </c>
      <c r="D157">
        <v>156</v>
      </c>
      <c r="E157">
        <v>153</v>
      </c>
      <c r="F157" s="167" t="s">
        <v>186</v>
      </c>
      <c r="G157" s="96">
        <v>5554</v>
      </c>
      <c r="H157" s="96">
        <v>5205</v>
      </c>
      <c r="I157" s="96">
        <v>2767</v>
      </c>
      <c r="J157" s="96">
        <v>567</v>
      </c>
      <c r="K157" s="96">
        <v>712</v>
      </c>
      <c r="L157" s="96">
        <v>1059</v>
      </c>
      <c r="M157" s="96">
        <v>1085</v>
      </c>
      <c r="N157" s="96">
        <v>1295</v>
      </c>
      <c r="O157" s="96">
        <v>1526</v>
      </c>
      <c r="P157" s="96">
        <v>3735</v>
      </c>
      <c r="Q157" s="96">
        <v>1377</v>
      </c>
      <c r="R157" s="96">
        <v>1387</v>
      </c>
      <c r="S157" s="96">
        <f t="shared" si="34"/>
        <v>26269</v>
      </c>
    </row>
    <row r="158" spans="1:19" ht="26.4" x14ac:dyDescent="0.7">
      <c r="A158" t="s">
        <v>245</v>
      </c>
      <c r="B158" s="173" t="s">
        <v>210</v>
      </c>
      <c r="C158">
        <v>157</v>
      </c>
      <c r="D158">
        <v>157</v>
      </c>
      <c r="E158">
        <v>149</v>
      </c>
      <c r="F158" s="167" t="s">
        <v>181</v>
      </c>
      <c r="G158" s="96">
        <v>239</v>
      </c>
      <c r="H158" s="96">
        <v>357</v>
      </c>
      <c r="I158" s="96">
        <v>586</v>
      </c>
      <c r="J158" s="96">
        <v>568</v>
      </c>
      <c r="K158" s="96">
        <v>710</v>
      </c>
      <c r="L158" s="96">
        <v>1394</v>
      </c>
      <c r="M158" s="96">
        <v>605</v>
      </c>
      <c r="N158" s="96">
        <v>222</v>
      </c>
      <c r="O158" s="96">
        <v>535</v>
      </c>
      <c r="P158" s="96">
        <v>376</v>
      </c>
      <c r="Q158" s="96">
        <v>549</v>
      </c>
      <c r="R158" s="96">
        <v>123</v>
      </c>
      <c r="S158" s="96">
        <f t="shared" si="34"/>
        <v>6264</v>
      </c>
    </row>
    <row r="159" spans="1:19" ht="26.4" x14ac:dyDescent="0.7">
      <c r="A159" t="s">
        <v>245</v>
      </c>
      <c r="B159" s="173" t="s">
        <v>210</v>
      </c>
      <c r="C159">
        <v>158</v>
      </c>
      <c r="D159">
        <v>158</v>
      </c>
      <c r="F159" s="167">
        <v>2021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</row>
    <row r="160" spans="1:19" ht="26.4" x14ac:dyDescent="0.7">
      <c r="A160" t="s">
        <v>245</v>
      </c>
      <c r="B160" s="173" t="s">
        <v>210</v>
      </c>
      <c r="C160">
        <v>159</v>
      </c>
      <c r="D160">
        <v>159</v>
      </c>
      <c r="E160">
        <v>158</v>
      </c>
      <c r="F160" s="165" t="s">
        <v>178</v>
      </c>
      <c r="G160" s="96">
        <v>1799</v>
      </c>
      <c r="H160" s="96">
        <v>2851</v>
      </c>
      <c r="I160" s="96">
        <v>2652</v>
      </c>
      <c r="J160" s="96">
        <v>2846</v>
      </c>
      <c r="K160" s="96">
        <v>2812</v>
      </c>
      <c r="L160" s="96">
        <v>2452</v>
      </c>
      <c r="M160" s="96">
        <v>1102</v>
      </c>
      <c r="N160" s="96">
        <v>1956</v>
      </c>
      <c r="O160" s="96">
        <v>2784</v>
      </c>
      <c r="P160" s="96">
        <v>2393</v>
      </c>
      <c r="Q160" s="96">
        <v>1710</v>
      </c>
      <c r="R160" s="96">
        <v>1246</v>
      </c>
      <c r="S160" s="96">
        <v>26603</v>
      </c>
    </row>
    <row r="161" spans="1:19" ht="26.4" x14ac:dyDescent="0.7">
      <c r="A161" t="s">
        <v>245</v>
      </c>
      <c r="B161" s="173" t="s">
        <v>210</v>
      </c>
      <c r="C161">
        <v>160</v>
      </c>
      <c r="D161">
        <v>160</v>
      </c>
      <c r="E161">
        <v>158</v>
      </c>
      <c r="F161" s="166" t="s">
        <v>179</v>
      </c>
      <c r="G161" s="96">
        <v>6257</v>
      </c>
      <c r="H161" s="96">
        <v>4029</v>
      </c>
      <c r="I161" s="96">
        <v>4417</v>
      </c>
      <c r="J161" s="96">
        <v>4965</v>
      </c>
      <c r="K161" s="96">
        <v>3721</v>
      </c>
      <c r="L161" s="96">
        <v>4646</v>
      </c>
      <c r="M161" s="96">
        <v>3631</v>
      </c>
      <c r="N161" s="96">
        <v>3227</v>
      </c>
      <c r="O161" s="96">
        <v>3637</v>
      </c>
      <c r="P161" s="96">
        <v>7034</v>
      </c>
      <c r="Q161" s="96">
        <v>8789</v>
      </c>
      <c r="R161" s="96">
        <v>7586</v>
      </c>
      <c r="S161" s="96">
        <v>61939</v>
      </c>
    </row>
    <row r="162" spans="1:19" ht="26.4" x14ac:dyDescent="0.7">
      <c r="A162" t="s">
        <v>245</v>
      </c>
      <c r="B162" s="173" t="s">
        <v>210</v>
      </c>
      <c r="C162">
        <v>161</v>
      </c>
      <c r="D162">
        <v>161</v>
      </c>
      <c r="E162">
        <v>158</v>
      </c>
      <c r="F162" s="166" t="s">
        <v>180</v>
      </c>
      <c r="G162" s="96">
        <v>273</v>
      </c>
      <c r="H162" s="96">
        <v>74</v>
      </c>
      <c r="I162" s="96">
        <v>314</v>
      </c>
      <c r="J162" s="96">
        <v>327</v>
      </c>
      <c r="K162" s="96">
        <v>333</v>
      </c>
      <c r="L162" s="96">
        <v>495</v>
      </c>
      <c r="M162" s="96">
        <v>392</v>
      </c>
      <c r="N162" s="96">
        <v>341</v>
      </c>
      <c r="O162" s="96">
        <v>168</v>
      </c>
      <c r="P162" s="96">
        <v>283</v>
      </c>
      <c r="Q162" s="96">
        <v>375</v>
      </c>
      <c r="R162" s="96">
        <v>260</v>
      </c>
      <c r="S162" s="96">
        <v>3635</v>
      </c>
    </row>
    <row r="163" spans="1:19" ht="26.4" x14ac:dyDescent="0.7">
      <c r="A163" t="s">
        <v>245</v>
      </c>
      <c r="B163" s="173" t="s">
        <v>210</v>
      </c>
      <c r="C163">
        <v>162</v>
      </c>
      <c r="D163">
        <v>162</v>
      </c>
      <c r="E163">
        <v>158</v>
      </c>
      <c r="F163" s="165" t="s">
        <v>183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</row>
    <row r="164" spans="1:19" ht="26.4" x14ac:dyDescent="0.7">
      <c r="A164" t="s">
        <v>245</v>
      </c>
      <c r="B164" s="173" t="s">
        <v>210</v>
      </c>
      <c r="C164">
        <v>163</v>
      </c>
      <c r="D164">
        <v>163</v>
      </c>
      <c r="E164">
        <v>162</v>
      </c>
      <c r="F164" s="167" t="s">
        <v>184</v>
      </c>
      <c r="G164" s="96">
        <v>17533</v>
      </c>
      <c r="H164" s="96">
        <v>15361</v>
      </c>
      <c r="I164" s="96">
        <v>17592</v>
      </c>
      <c r="J164" s="96">
        <v>21891</v>
      </c>
      <c r="K164" s="96">
        <v>13087</v>
      </c>
      <c r="L164" s="96">
        <v>1909</v>
      </c>
      <c r="M164" s="96">
        <v>11112</v>
      </c>
      <c r="N164" s="96">
        <v>54291</v>
      </c>
      <c r="O164" s="96">
        <v>49242</v>
      </c>
      <c r="P164" s="96">
        <v>37332</v>
      </c>
      <c r="Q164" s="96">
        <v>25463</v>
      </c>
      <c r="R164" s="96">
        <v>48165</v>
      </c>
      <c r="S164" s="96">
        <v>312978</v>
      </c>
    </row>
    <row r="165" spans="1:19" ht="26.4" x14ac:dyDescent="0.7">
      <c r="A165" t="s">
        <v>245</v>
      </c>
      <c r="B165" s="173" t="s">
        <v>210</v>
      </c>
      <c r="C165">
        <v>164</v>
      </c>
      <c r="D165">
        <v>164</v>
      </c>
      <c r="E165">
        <v>162</v>
      </c>
      <c r="F165" s="167" t="s">
        <v>185</v>
      </c>
      <c r="G165" s="96">
        <v>344</v>
      </c>
      <c r="H165" s="96">
        <v>1473</v>
      </c>
      <c r="I165" s="96">
        <v>1150</v>
      </c>
      <c r="J165" s="96">
        <v>2254</v>
      </c>
      <c r="K165" s="96">
        <v>1563</v>
      </c>
      <c r="L165" s="96">
        <v>942</v>
      </c>
      <c r="M165" s="96">
        <v>98</v>
      </c>
      <c r="N165" s="96">
        <v>63</v>
      </c>
      <c r="O165" s="96">
        <v>153</v>
      </c>
      <c r="P165" s="96">
        <v>526</v>
      </c>
      <c r="Q165" s="96">
        <v>239</v>
      </c>
      <c r="R165" s="96">
        <v>55</v>
      </c>
      <c r="S165" s="96">
        <v>8860</v>
      </c>
    </row>
    <row r="166" spans="1:19" ht="26.4" x14ac:dyDescent="0.7">
      <c r="A166" t="s">
        <v>245</v>
      </c>
      <c r="B166" s="173" t="s">
        <v>210</v>
      </c>
      <c r="C166">
        <v>165</v>
      </c>
      <c r="D166">
        <v>165</v>
      </c>
      <c r="E166">
        <v>162</v>
      </c>
      <c r="F166" s="167" t="s">
        <v>186</v>
      </c>
      <c r="G166" s="96">
        <v>3224</v>
      </c>
      <c r="H166" s="96">
        <v>7049</v>
      </c>
      <c r="I166" s="96">
        <v>3307</v>
      </c>
      <c r="J166" s="96">
        <v>2841</v>
      </c>
      <c r="K166" s="96">
        <v>1912</v>
      </c>
      <c r="L166" s="96">
        <v>909</v>
      </c>
      <c r="M166" s="96">
        <v>467</v>
      </c>
      <c r="N166" s="96">
        <v>1473</v>
      </c>
      <c r="O166" s="96">
        <v>842</v>
      </c>
      <c r="P166" s="96">
        <v>1734</v>
      </c>
      <c r="Q166" s="96">
        <v>451</v>
      </c>
      <c r="R166" s="96">
        <v>365</v>
      </c>
      <c r="S166" s="96">
        <v>24574</v>
      </c>
    </row>
    <row r="167" spans="1:19" ht="26.4" x14ac:dyDescent="0.7">
      <c r="A167" t="s">
        <v>245</v>
      </c>
      <c r="B167" s="173" t="s">
        <v>210</v>
      </c>
      <c r="C167">
        <v>166</v>
      </c>
      <c r="D167">
        <v>166</v>
      </c>
      <c r="E167">
        <v>158</v>
      </c>
      <c r="F167" s="167" t="s">
        <v>181</v>
      </c>
      <c r="G167" s="96">
        <v>535</v>
      </c>
      <c r="H167" s="96">
        <v>417</v>
      </c>
      <c r="I167" s="96">
        <v>698</v>
      </c>
      <c r="J167" s="96">
        <v>1355</v>
      </c>
      <c r="K167" s="96">
        <v>1076</v>
      </c>
      <c r="L167" s="96">
        <v>2401</v>
      </c>
      <c r="M167" s="96">
        <v>1091</v>
      </c>
      <c r="N167" s="96">
        <v>403</v>
      </c>
      <c r="O167" s="96">
        <v>1104</v>
      </c>
      <c r="P167" s="96">
        <v>1728</v>
      </c>
      <c r="Q167" s="96">
        <v>571</v>
      </c>
      <c r="R167" s="96">
        <v>562</v>
      </c>
      <c r="S167" s="96">
        <v>11941</v>
      </c>
    </row>
    <row r="168" spans="1:19" ht="26.4" x14ac:dyDescent="0.7">
      <c r="A168" t="s">
        <v>245</v>
      </c>
      <c r="B168" s="173" t="s">
        <v>210</v>
      </c>
      <c r="C168">
        <v>167</v>
      </c>
      <c r="D168">
        <v>167</v>
      </c>
      <c r="F168" s="167">
        <v>2022</v>
      </c>
      <c r="G168" s="96">
        <v>48206</v>
      </c>
      <c r="H168" s="96">
        <v>46466</v>
      </c>
      <c r="I168" s="96">
        <v>43496</v>
      </c>
      <c r="J168" s="96">
        <v>39146</v>
      </c>
      <c r="K168" s="96">
        <v>42419</v>
      </c>
      <c r="L168" s="96">
        <v>35316</v>
      </c>
      <c r="M168" s="96">
        <v>39976</v>
      </c>
      <c r="N168" s="96">
        <v>77274</v>
      </c>
      <c r="O168" s="96">
        <v>77418</v>
      </c>
      <c r="P168" s="96">
        <v>47835</v>
      </c>
      <c r="Q168" s="96">
        <v>39520</v>
      </c>
      <c r="R168" s="96">
        <v>33428</v>
      </c>
      <c r="S168" s="96">
        <v>570500</v>
      </c>
    </row>
    <row r="169" spans="1:19" ht="26.4" x14ac:dyDescent="0.7">
      <c r="A169" t="s">
        <v>245</v>
      </c>
      <c r="B169" s="173" t="s">
        <v>210</v>
      </c>
      <c r="C169">
        <v>168</v>
      </c>
      <c r="D169">
        <v>168</v>
      </c>
      <c r="E169">
        <v>167</v>
      </c>
      <c r="F169" s="165" t="s">
        <v>178</v>
      </c>
      <c r="G169" s="96">
        <v>1916</v>
      </c>
      <c r="H169" s="96">
        <v>2429</v>
      </c>
      <c r="I169" s="96">
        <v>2176</v>
      </c>
      <c r="J169" s="96">
        <v>2260</v>
      </c>
      <c r="K169" s="96">
        <v>2649</v>
      </c>
      <c r="L169" s="96">
        <v>1863</v>
      </c>
      <c r="M169" s="96">
        <v>1209</v>
      </c>
      <c r="N169" s="96">
        <v>1244</v>
      </c>
      <c r="O169" s="96">
        <v>1472</v>
      </c>
      <c r="P169" s="96">
        <v>1416</v>
      </c>
      <c r="Q169" s="96">
        <v>1532</v>
      </c>
      <c r="R169" s="96">
        <v>1138</v>
      </c>
      <c r="S169" s="96">
        <v>21304</v>
      </c>
    </row>
    <row r="170" spans="1:19" ht="26.4" x14ac:dyDescent="0.7">
      <c r="A170" t="s">
        <v>245</v>
      </c>
      <c r="B170" s="173" t="s">
        <v>210</v>
      </c>
      <c r="C170">
        <v>169</v>
      </c>
      <c r="D170">
        <v>169</v>
      </c>
      <c r="E170">
        <v>167</v>
      </c>
      <c r="F170" s="166" t="s">
        <v>179</v>
      </c>
      <c r="G170" s="96">
        <v>5322</v>
      </c>
      <c r="H170" s="96">
        <v>3534</v>
      </c>
      <c r="I170" s="96">
        <v>2425</v>
      </c>
      <c r="J170" s="96">
        <v>2730</v>
      </c>
      <c r="K170" s="96">
        <v>3051</v>
      </c>
      <c r="L170" s="96">
        <v>3651</v>
      </c>
      <c r="M170" s="96">
        <v>2849</v>
      </c>
      <c r="N170" s="96">
        <v>3707</v>
      </c>
      <c r="O170" s="96">
        <v>3722</v>
      </c>
      <c r="P170" s="96">
        <v>5210</v>
      </c>
      <c r="Q170" s="96">
        <v>7366</v>
      </c>
      <c r="R170" s="96">
        <v>8444</v>
      </c>
      <c r="S170" s="96">
        <v>52011</v>
      </c>
    </row>
    <row r="171" spans="1:19" ht="26.4" x14ac:dyDescent="0.7">
      <c r="A171" t="s">
        <v>245</v>
      </c>
      <c r="B171" s="173" t="s">
        <v>210</v>
      </c>
      <c r="C171">
        <v>170</v>
      </c>
      <c r="D171">
        <v>170</v>
      </c>
      <c r="E171">
        <v>167</v>
      </c>
      <c r="F171" s="166" t="s">
        <v>180</v>
      </c>
      <c r="G171" s="96">
        <v>180</v>
      </c>
      <c r="H171" s="96">
        <v>349</v>
      </c>
      <c r="I171" s="96">
        <v>624</v>
      </c>
      <c r="J171" s="96">
        <v>795</v>
      </c>
      <c r="K171" s="96">
        <v>473</v>
      </c>
      <c r="L171" s="96">
        <v>446</v>
      </c>
      <c r="M171" s="96">
        <v>471</v>
      </c>
      <c r="N171" s="96">
        <v>260</v>
      </c>
      <c r="O171" s="96">
        <v>115</v>
      </c>
      <c r="P171" s="96">
        <v>246</v>
      </c>
      <c r="Q171" s="96">
        <v>85</v>
      </c>
      <c r="R171" s="96">
        <v>17</v>
      </c>
      <c r="S171" s="96">
        <v>4061</v>
      </c>
    </row>
    <row r="172" spans="1:19" ht="26.4" x14ac:dyDescent="0.7">
      <c r="A172" t="s">
        <v>245</v>
      </c>
      <c r="B172" s="173" t="s">
        <v>210</v>
      </c>
      <c r="C172">
        <v>171</v>
      </c>
      <c r="D172">
        <v>171</v>
      </c>
      <c r="E172">
        <v>167</v>
      </c>
      <c r="F172" s="165" t="s">
        <v>183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</row>
    <row r="173" spans="1:19" ht="26.4" x14ac:dyDescent="0.7">
      <c r="A173" t="s">
        <v>245</v>
      </c>
      <c r="B173" s="173" t="s">
        <v>210</v>
      </c>
      <c r="C173">
        <v>172</v>
      </c>
      <c r="D173">
        <v>172</v>
      </c>
      <c r="E173">
        <v>171</v>
      </c>
      <c r="F173" s="167" t="s">
        <v>184</v>
      </c>
      <c r="G173" s="96">
        <v>39167</v>
      </c>
      <c r="H173" s="96">
        <v>35811</v>
      </c>
      <c r="I173" s="96">
        <v>36210</v>
      </c>
      <c r="J173" s="96">
        <v>30114</v>
      </c>
      <c r="K173" s="96">
        <v>32605</v>
      </c>
      <c r="L173" s="96">
        <v>26649</v>
      </c>
      <c r="M173" s="96">
        <v>33754</v>
      </c>
      <c r="N173" s="96">
        <v>70119</v>
      </c>
      <c r="O173" s="96">
        <v>68762</v>
      </c>
      <c r="P173" s="96">
        <v>35422</v>
      </c>
      <c r="Q173" s="96">
        <v>28758</v>
      </c>
      <c r="R173" s="96">
        <v>22899</v>
      </c>
      <c r="S173" s="96">
        <v>460270</v>
      </c>
    </row>
    <row r="174" spans="1:19" ht="26.4" x14ac:dyDescent="0.7">
      <c r="A174" t="s">
        <v>245</v>
      </c>
      <c r="B174" s="173" t="s">
        <v>210</v>
      </c>
      <c r="C174">
        <v>173</v>
      </c>
      <c r="D174">
        <v>173</v>
      </c>
      <c r="E174">
        <v>171</v>
      </c>
      <c r="F174" s="167" t="s">
        <v>185</v>
      </c>
      <c r="G174" s="96">
        <v>300</v>
      </c>
      <c r="H174" s="96">
        <v>1574</v>
      </c>
      <c r="I174" s="96">
        <v>697</v>
      </c>
      <c r="J174" s="96">
        <v>797</v>
      </c>
      <c r="K174" s="96">
        <v>1339</v>
      </c>
      <c r="L174" s="96">
        <v>467</v>
      </c>
      <c r="M174" s="96">
        <v>512</v>
      </c>
      <c r="N174" s="96">
        <v>193</v>
      </c>
      <c r="O174" s="96">
        <v>360</v>
      </c>
      <c r="P174" s="96">
        <v>770</v>
      </c>
      <c r="Q174" s="96">
        <v>230</v>
      </c>
      <c r="R174" s="96">
        <v>29</v>
      </c>
      <c r="S174" s="96">
        <v>7268</v>
      </c>
    </row>
    <row r="175" spans="1:19" ht="26.4" x14ac:dyDescent="0.7">
      <c r="A175" t="s">
        <v>245</v>
      </c>
      <c r="B175" s="173" t="s">
        <v>210</v>
      </c>
      <c r="C175">
        <v>174</v>
      </c>
      <c r="D175">
        <v>174</v>
      </c>
      <c r="E175">
        <v>171</v>
      </c>
      <c r="F175" s="167" t="s">
        <v>186</v>
      </c>
      <c r="G175" s="96">
        <v>1090</v>
      </c>
      <c r="H175" s="96">
        <v>2193</v>
      </c>
      <c r="I175" s="96">
        <v>759</v>
      </c>
      <c r="J175" s="96">
        <v>637</v>
      </c>
      <c r="K175" s="96">
        <v>665</v>
      </c>
      <c r="L175" s="96">
        <v>309</v>
      </c>
      <c r="M175" s="96">
        <v>41</v>
      </c>
      <c r="N175" s="96">
        <v>1018</v>
      </c>
      <c r="O175" s="96">
        <v>2059</v>
      </c>
      <c r="P175" s="96">
        <v>2919</v>
      </c>
      <c r="Q175" s="96">
        <v>660</v>
      </c>
      <c r="R175" s="96">
        <v>195</v>
      </c>
      <c r="S175" s="96">
        <v>12545</v>
      </c>
    </row>
    <row r="176" spans="1:19" ht="26.4" x14ac:dyDescent="0.7">
      <c r="A176" t="s">
        <v>245</v>
      </c>
      <c r="B176" s="173" t="s">
        <v>210</v>
      </c>
      <c r="C176">
        <v>175</v>
      </c>
      <c r="D176">
        <v>175</v>
      </c>
      <c r="E176">
        <v>167</v>
      </c>
      <c r="F176" s="167" t="s">
        <v>181</v>
      </c>
      <c r="G176" s="96">
        <v>231</v>
      </c>
      <c r="H176" s="96">
        <v>576</v>
      </c>
      <c r="I176" s="96">
        <v>605</v>
      </c>
      <c r="J176" s="96">
        <v>1813</v>
      </c>
      <c r="K176" s="96">
        <v>1637</v>
      </c>
      <c r="L176" s="96">
        <v>1931</v>
      </c>
      <c r="M176" s="96">
        <v>1140</v>
      </c>
      <c r="N176" s="96">
        <v>733</v>
      </c>
      <c r="O176" s="96">
        <v>928</v>
      </c>
      <c r="P176" s="96">
        <v>1852</v>
      </c>
      <c r="Q176" s="96">
        <v>889</v>
      </c>
      <c r="R176" s="96">
        <v>706</v>
      </c>
      <c r="S176" s="96">
        <v>13041</v>
      </c>
    </row>
    <row r="177" spans="1:19" ht="26.4" x14ac:dyDescent="0.7">
      <c r="A177" t="s">
        <v>245</v>
      </c>
      <c r="B177" s="173" t="s">
        <v>210</v>
      </c>
      <c r="C177">
        <v>176</v>
      </c>
      <c r="D177">
        <v>176</v>
      </c>
      <c r="F177" s="167">
        <v>2023</v>
      </c>
      <c r="G177" s="96">
        <v>70488</v>
      </c>
      <c r="H177" s="96">
        <v>44536</v>
      </c>
      <c r="I177" s="96">
        <v>35196</v>
      </c>
      <c r="J177" s="96">
        <v>27341</v>
      </c>
      <c r="K177" s="96">
        <v>32488</v>
      </c>
      <c r="L177" s="96">
        <v>24183</v>
      </c>
      <c r="M177" s="96">
        <v>22772</v>
      </c>
      <c r="N177" s="96">
        <v>58476</v>
      </c>
      <c r="O177" s="96">
        <v>39102</v>
      </c>
      <c r="P177" s="96">
        <v>34415</v>
      </c>
      <c r="Q177" s="96">
        <v>18789</v>
      </c>
      <c r="R177" s="96">
        <v>31646</v>
      </c>
      <c r="S177" s="96">
        <v>439432</v>
      </c>
    </row>
    <row r="178" spans="1:19" ht="26.4" x14ac:dyDescent="0.7">
      <c r="A178" t="s">
        <v>245</v>
      </c>
      <c r="B178" s="173" t="s">
        <v>210</v>
      </c>
      <c r="C178">
        <v>177</v>
      </c>
      <c r="D178">
        <v>177</v>
      </c>
      <c r="E178">
        <v>176</v>
      </c>
      <c r="F178" s="165" t="s">
        <v>178</v>
      </c>
      <c r="G178" s="96">
        <v>1330</v>
      </c>
      <c r="H178" s="96">
        <v>2060</v>
      </c>
      <c r="I178" s="96">
        <v>2066</v>
      </c>
      <c r="J178" s="96">
        <v>1923</v>
      </c>
      <c r="K178" s="96">
        <v>2565</v>
      </c>
      <c r="L178" s="96">
        <v>2178</v>
      </c>
      <c r="M178" s="96">
        <v>1024</v>
      </c>
      <c r="N178" s="96">
        <v>1459</v>
      </c>
      <c r="O178" s="96">
        <v>1065</v>
      </c>
      <c r="P178" s="96">
        <v>1374</v>
      </c>
      <c r="Q178" s="96">
        <v>1438</v>
      </c>
      <c r="R178" s="96">
        <v>749</v>
      </c>
      <c r="S178" s="96">
        <v>19231</v>
      </c>
    </row>
    <row r="179" spans="1:19" ht="26.4" x14ac:dyDescent="0.7">
      <c r="A179" t="s">
        <v>245</v>
      </c>
      <c r="B179" s="173" t="s">
        <v>210</v>
      </c>
      <c r="C179">
        <v>178</v>
      </c>
      <c r="D179">
        <v>178</v>
      </c>
      <c r="E179">
        <v>176</v>
      </c>
      <c r="F179" s="166" t="s">
        <v>179</v>
      </c>
      <c r="G179" s="96">
        <v>6843</v>
      </c>
      <c r="H179" s="96">
        <v>5663</v>
      </c>
      <c r="I179" s="96">
        <v>5661</v>
      </c>
      <c r="J179" s="96">
        <v>3700</v>
      </c>
      <c r="K179" s="96">
        <v>3181</v>
      </c>
      <c r="L179" s="96">
        <v>4072</v>
      </c>
      <c r="M179" s="96">
        <v>3069</v>
      </c>
      <c r="N179" s="96">
        <v>4144</v>
      </c>
      <c r="O179" s="96">
        <v>2547</v>
      </c>
      <c r="P179" s="96">
        <v>4420</v>
      </c>
      <c r="Q179" s="96">
        <v>5962</v>
      </c>
      <c r="R179" s="96">
        <v>6969</v>
      </c>
      <c r="S179" s="96">
        <v>56231</v>
      </c>
    </row>
    <row r="180" spans="1:19" ht="26.4" x14ac:dyDescent="0.7">
      <c r="A180" t="s">
        <v>245</v>
      </c>
      <c r="B180" s="173" t="s">
        <v>210</v>
      </c>
      <c r="C180">
        <v>179</v>
      </c>
      <c r="D180">
        <v>179</v>
      </c>
      <c r="E180">
        <v>176</v>
      </c>
      <c r="F180" s="166" t="s">
        <v>180</v>
      </c>
      <c r="G180" s="96">
        <v>131</v>
      </c>
      <c r="H180" s="96">
        <v>258</v>
      </c>
      <c r="I180" s="96">
        <v>464</v>
      </c>
      <c r="J180" s="96">
        <v>310</v>
      </c>
      <c r="K180" s="96">
        <v>380</v>
      </c>
      <c r="L180" s="96">
        <v>148</v>
      </c>
      <c r="M180" s="96">
        <v>170</v>
      </c>
      <c r="N180" s="96">
        <v>372</v>
      </c>
      <c r="O180" s="96">
        <v>411</v>
      </c>
      <c r="P180" s="96">
        <v>101</v>
      </c>
      <c r="Q180" s="96">
        <v>202</v>
      </c>
      <c r="R180" s="96">
        <v>368</v>
      </c>
      <c r="S180" s="96">
        <v>3315</v>
      </c>
    </row>
    <row r="181" spans="1:19" ht="26.4" x14ac:dyDescent="0.7">
      <c r="A181" t="s">
        <v>245</v>
      </c>
      <c r="B181" s="173" t="s">
        <v>210</v>
      </c>
      <c r="C181">
        <v>180</v>
      </c>
      <c r="D181">
        <v>180</v>
      </c>
      <c r="E181">
        <v>176</v>
      </c>
      <c r="F181" s="165" t="s">
        <v>183</v>
      </c>
      <c r="G181" s="96">
        <v>61352</v>
      </c>
      <c r="H181" s="96">
        <v>35317</v>
      </c>
      <c r="I181" s="96">
        <v>25122</v>
      </c>
      <c r="J181" s="96">
        <v>19359</v>
      </c>
      <c r="K181" s="96">
        <v>21072</v>
      </c>
      <c r="L181" s="96">
        <v>10571</v>
      </c>
      <c r="M181" s="96">
        <v>15289</v>
      </c>
      <c r="N181" s="96">
        <v>49080</v>
      </c>
      <c r="O181" s="96">
        <v>33335</v>
      </c>
      <c r="P181" s="96">
        <v>27728</v>
      </c>
      <c r="Q181" s="96">
        <v>10624</v>
      </c>
      <c r="R181" s="96">
        <v>23162</v>
      </c>
      <c r="S181" s="96">
        <v>332011</v>
      </c>
    </row>
    <row r="182" spans="1:19" ht="26.4" x14ac:dyDescent="0.7">
      <c r="A182" t="s">
        <v>245</v>
      </c>
      <c r="B182" s="173" t="s">
        <v>210</v>
      </c>
      <c r="C182">
        <v>181</v>
      </c>
      <c r="D182">
        <v>181</v>
      </c>
      <c r="E182">
        <v>180</v>
      </c>
      <c r="F182" s="167" t="s">
        <v>184</v>
      </c>
      <c r="G182" s="96">
        <v>58931</v>
      </c>
      <c r="H182" s="96">
        <v>30303</v>
      </c>
      <c r="I182" s="96">
        <v>19204</v>
      </c>
      <c r="J182" s="96">
        <v>15392</v>
      </c>
      <c r="K182" s="96">
        <v>16486</v>
      </c>
      <c r="L182" s="96">
        <v>7534</v>
      </c>
      <c r="M182" s="96">
        <v>14425</v>
      </c>
      <c r="N182" s="96">
        <v>46979</v>
      </c>
      <c r="O182" s="96">
        <v>30801</v>
      </c>
      <c r="P182" s="96">
        <v>25095</v>
      </c>
      <c r="Q182" s="96">
        <v>9647</v>
      </c>
      <c r="R182" s="96">
        <v>22829</v>
      </c>
      <c r="S182" s="96">
        <v>297626</v>
      </c>
    </row>
    <row r="183" spans="1:19" ht="26.4" x14ac:dyDescent="0.7">
      <c r="A183" t="s">
        <v>245</v>
      </c>
      <c r="B183" s="173" t="s">
        <v>210</v>
      </c>
      <c r="C183">
        <v>182</v>
      </c>
      <c r="D183">
        <v>182</v>
      </c>
      <c r="E183">
        <v>180</v>
      </c>
      <c r="F183" s="167" t="s">
        <v>185</v>
      </c>
      <c r="G183" s="96">
        <v>454</v>
      </c>
      <c r="H183" s="96">
        <v>2035</v>
      </c>
      <c r="I183" s="96">
        <v>2654</v>
      </c>
      <c r="J183" s="96">
        <v>2352</v>
      </c>
      <c r="K183" s="96">
        <v>2545</v>
      </c>
      <c r="L183" s="96">
        <v>1770</v>
      </c>
      <c r="M183" s="96">
        <v>473</v>
      </c>
      <c r="N183" s="96">
        <v>564</v>
      </c>
      <c r="O183" s="96">
        <v>897</v>
      </c>
      <c r="P183" s="96">
        <v>983</v>
      </c>
      <c r="Q183" s="96">
        <v>404</v>
      </c>
      <c r="R183" s="96">
        <v>74</v>
      </c>
      <c r="S183" s="96">
        <v>15205</v>
      </c>
    </row>
    <row r="184" spans="1:19" ht="26.4" x14ac:dyDescent="0.7">
      <c r="A184" t="s">
        <v>245</v>
      </c>
      <c r="B184" s="173" t="s">
        <v>210</v>
      </c>
      <c r="C184">
        <v>183</v>
      </c>
      <c r="D184">
        <v>183</v>
      </c>
      <c r="E184">
        <v>180</v>
      </c>
      <c r="F184" s="167" t="s">
        <v>186</v>
      </c>
      <c r="G184" s="96">
        <v>1967</v>
      </c>
      <c r="H184" s="96">
        <v>2979</v>
      </c>
      <c r="I184" s="96">
        <v>3264</v>
      </c>
      <c r="J184" s="96">
        <v>1615</v>
      </c>
      <c r="K184" s="96">
        <v>2041</v>
      </c>
      <c r="L184" s="96">
        <v>1267</v>
      </c>
      <c r="M184" s="96">
        <v>391</v>
      </c>
      <c r="N184" s="96">
        <v>1537</v>
      </c>
      <c r="O184" s="96">
        <v>1637</v>
      </c>
      <c r="P184" s="96">
        <v>1650</v>
      </c>
      <c r="Q184" s="96">
        <v>573</v>
      </c>
      <c r="R184" s="96">
        <v>259</v>
      </c>
      <c r="S184" s="96">
        <v>19180</v>
      </c>
    </row>
    <row r="185" spans="1:19" ht="27" thickBot="1" x14ac:dyDescent="0.75">
      <c r="A185" t="s">
        <v>245</v>
      </c>
      <c r="B185" s="173" t="s">
        <v>210</v>
      </c>
      <c r="C185">
        <v>184</v>
      </c>
      <c r="D185">
        <v>184</v>
      </c>
      <c r="E185">
        <v>176</v>
      </c>
      <c r="F185" s="169" t="s">
        <v>181</v>
      </c>
      <c r="G185" s="170">
        <v>832</v>
      </c>
      <c r="H185" s="170">
        <v>1238</v>
      </c>
      <c r="I185" s="170">
        <v>1883</v>
      </c>
      <c r="J185" s="170">
        <v>2049</v>
      </c>
      <c r="K185" s="170">
        <v>5290</v>
      </c>
      <c r="L185" s="170">
        <v>7214</v>
      </c>
      <c r="M185" s="170">
        <v>3220</v>
      </c>
      <c r="N185" s="170">
        <v>3421</v>
      </c>
      <c r="O185" s="170">
        <v>1744</v>
      </c>
      <c r="P185" s="170">
        <v>792</v>
      </c>
      <c r="Q185" s="170">
        <v>563</v>
      </c>
      <c r="R185" s="170">
        <v>398</v>
      </c>
      <c r="S185" s="170">
        <v>28644</v>
      </c>
    </row>
    <row r="186" spans="1:19" ht="26.4" x14ac:dyDescent="0.7">
      <c r="A186" t="s">
        <v>245</v>
      </c>
      <c r="B186" s="173" t="s">
        <v>210</v>
      </c>
      <c r="C186">
        <v>185</v>
      </c>
      <c r="D186">
        <v>185</v>
      </c>
      <c r="F186" s="171">
        <v>2024</v>
      </c>
      <c r="G186" s="172">
        <v>57955</v>
      </c>
      <c r="H186" s="172">
        <v>77994</v>
      </c>
      <c r="I186" s="172">
        <v>47571</v>
      </c>
      <c r="J186" s="172">
        <v>31686</v>
      </c>
      <c r="K186" s="172">
        <v>41823</v>
      </c>
      <c r="L186" s="172">
        <v>14379</v>
      </c>
      <c r="M186" s="172">
        <v>37353</v>
      </c>
      <c r="N186" s="172">
        <v>58729</v>
      </c>
      <c r="O186" s="172">
        <v>62466</v>
      </c>
      <c r="P186" s="172">
        <v>64342</v>
      </c>
      <c r="Q186" s="172">
        <v>16281</v>
      </c>
      <c r="R186" s="172">
        <v>41254</v>
      </c>
      <c r="S186" s="172">
        <v>551833</v>
      </c>
    </row>
    <row r="187" spans="1:19" ht="26.4" x14ac:dyDescent="0.7">
      <c r="A187" t="s">
        <v>245</v>
      </c>
      <c r="B187" s="173" t="s">
        <v>210</v>
      </c>
      <c r="C187">
        <v>186</v>
      </c>
      <c r="D187">
        <v>186</v>
      </c>
      <c r="E187">
        <v>185</v>
      </c>
      <c r="F187" s="165" t="s">
        <v>178</v>
      </c>
      <c r="G187" s="96">
        <v>1496</v>
      </c>
      <c r="H187" s="96">
        <v>2663</v>
      </c>
      <c r="I187" s="96">
        <v>2459</v>
      </c>
      <c r="J187" s="96">
        <v>2097</v>
      </c>
      <c r="K187" s="96">
        <v>3351</v>
      </c>
      <c r="L187" s="96">
        <v>1631</v>
      </c>
      <c r="M187" s="96">
        <v>1561</v>
      </c>
      <c r="N187" s="96">
        <v>1630</v>
      </c>
      <c r="O187" s="96">
        <v>1883</v>
      </c>
      <c r="P187" s="96">
        <v>2508</v>
      </c>
      <c r="Q187" s="96">
        <v>1717</v>
      </c>
      <c r="R187" s="96">
        <v>1373</v>
      </c>
      <c r="S187" s="96">
        <v>24369</v>
      </c>
    </row>
    <row r="188" spans="1:19" ht="26.4" x14ac:dyDescent="0.7">
      <c r="A188" t="s">
        <v>245</v>
      </c>
      <c r="B188" s="173" t="s">
        <v>210</v>
      </c>
      <c r="C188">
        <v>187</v>
      </c>
      <c r="D188">
        <v>187</v>
      </c>
      <c r="E188">
        <v>185</v>
      </c>
      <c r="F188" s="166" t="s">
        <v>179</v>
      </c>
      <c r="G188" s="96">
        <v>7550</v>
      </c>
      <c r="H188" s="96">
        <v>6759</v>
      </c>
      <c r="I188" s="96">
        <v>5739</v>
      </c>
      <c r="J188" s="96">
        <v>4280</v>
      </c>
      <c r="K188" s="96">
        <v>5584</v>
      </c>
      <c r="L188" s="96">
        <v>3886</v>
      </c>
      <c r="M188" s="96">
        <v>5955</v>
      </c>
      <c r="N188" s="96">
        <v>4504</v>
      </c>
      <c r="O188" s="96">
        <v>3837</v>
      </c>
      <c r="P188" s="96">
        <v>9042</v>
      </c>
      <c r="Q188" s="96">
        <v>8647</v>
      </c>
      <c r="R188" s="96">
        <v>6641</v>
      </c>
      <c r="S188" s="96">
        <v>72424</v>
      </c>
    </row>
    <row r="189" spans="1:19" ht="26.4" x14ac:dyDescent="0.7">
      <c r="A189" t="s">
        <v>245</v>
      </c>
      <c r="B189" s="173" t="s">
        <v>210</v>
      </c>
      <c r="C189">
        <v>188</v>
      </c>
      <c r="D189">
        <v>188</v>
      </c>
      <c r="E189">
        <v>185</v>
      </c>
      <c r="F189" s="166" t="s">
        <v>180</v>
      </c>
      <c r="G189" s="96">
        <v>33</v>
      </c>
      <c r="H189" s="96">
        <v>276</v>
      </c>
      <c r="I189" s="96">
        <v>288</v>
      </c>
      <c r="J189" s="96">
        <v>204</v>
      </c>
      <c r="K189" s="96">
        <v>712</v>
      </c>
      <c r="L189" s="96">
        <v>127</v>
      </c>
      <c r="M189" s="96">
        <v>505</v>
      </c>
      <c r="N189" s="96">
        <v>326</v>
      </c>
      <c r="O189" s="96">
        <v>241</v>
      </c>
      <c r="P189" s="96">
        <v>212</v>
      </c>
      <c r="Q189" s="96">
        <v>258</v>
      </c>
      <c r="R189" s="96">
        <v>79</v>
      </c>
      <c r="S189" s="96">
        <v>3261</v>
      </c>
    </row>
    <row r="190" spans="1:19" ht="26.4" x14ac:dyDescent="0.7">
      <c r="A190" t="s">
        <v>245</v>
      </c>
      <c r="B190" s="173" t="s">
        <v>210</v>
      </c>
      <c r="C190">
        <v>189</v>
      </c>
      <c r="D190">
        <v>189</v>
      </c>
      <c r="E190">
        <v>185</v>
      </c>
      <c r="F190" s="165" t="s">
        <v>183</v>
      </c>
      <c r="G190" s="96">
        <v>48519</v>
      </c>
      <c r="H190" s="96">
        <v>61258</v>
      </c>
      <c r="I190" s="96">
        <v>37207</v>
      </c>
      <c r="J190" s="96">
        <v>23090</v>
      </c>
      <c r="K190" s="96">
        <v>24265</v>
      </c>
      <c r="L190" s="96">
        <v>3430</v>
      </c>
      <c r="M190" s="96">
        <v>25930</v>
      </c>
      <c r="N190" s="96">
        <v>50156</v>
      </c>
      <c r="O190" s="96">
        <v>55248</v>
      </c>
      <c r="P190" s="96">
        <v>50932</v>
      </c>
      <c r="Q190" s="96">
        <v>4609</v>
      </c>
      <c r="R190" s="96">
        <v>32362</v>
      </c>
      <c r="S190" s="96">
        <v>417006</v>
      </c>
    </row>
    <row r="191" spans="1:19" ht="26.4" x14ac:dyDescent="0.7">
      <c r="A191" t="s">
        <v>245</v>
      </c>
      <c r="B191" s="173" t="s">
        <v>210</v>
      </c>
      <c r="C191">
        <v>190</v>
      </c>
      <c r="D191">
        <v>190</v>
      </c>
      <c r="E191">
        <v>189</v>
      </c>
      <c r="F191" s="167" t="s">
        <v>184</v>
      </c>
      <c r="G191" s="96">
        <v>42327</v>
      </c>
      <c r="H191" s="96">
        <v>55129</v>
      </c>
      <c r="I191" s="96">
        <v>31155</v>
      </c>
      <c r="J191" s="96">
        <v>18447</v>
      </c>
      <c r="K191" s="96">
        <v>19987</v>
      </c>
      <c r="L191" s="96">
        <v>1865</v>
      </c>
      <c r="M191" s="96">
        <v>24215</v>
      </c>
      <c r="N191" s="96">
        <v>48024</v>
      </c>
      <c r="O191" s="96">
        <v>52600</v>
      </c>
      <c r="P191" s="96">
        <v>47494</v>
      </c>
      <c r="Q191" s="96">
        <v>4235</v>
      </c>
      <c r="R191" s="96">
        <v>30680</v>
      </c>
      <c r="S191" s="96">
        <v>376158</v>
      </c>
    </row>
    <row r="192" spans="1:19" ht="26.4" x14ac:dyDescent="0.7">
      <c r="A192" t="s">
        <v>245</v>
      </c>
      <c r="B192" s="173" t="s">
        <v>210</v>
      </c>
      <c r="C192">
        <v>191</v>
      </c>
      <c r="D192">
        <v>191</v>
      </c>
      <c r="E192">
        <v>189</v>
      </c>
      <c r="F192" s="167" t="s">
        <v>185</v>
      </c>
      <c r="G192" s="96">
        <v>785</v>
      </c>
      <c r="H192" s="96">
        <v>1877</v>
      </c>
      <c r="I192" s="96">
        <v>2219</v>
      </c>
      <c r="J192" s="96">
        <v>2462</v>
      </c>
      <c r="K192" s="96">
        <v>2349</v>
      </c>
      <c r="L192" s="96">
        <v>805</v>
      </c>
      <c r="M192" s="96">
        <v>1334</v>
      </c>
      <c r="N192" s="96">
        <v>579</v>
      </c>
      <c r="O192" s="96">
        <v>514</v>
      </c>
      <c r="P192" s="96">
        <v>507</v>
      </c>
      <c r="Q192" s="96">
        <v>55</v>
      </c>
      <c r="R192" s="96">
        <v>228</v>
      </c>
      <c r="S192" s="96">
        <v>13714</v>
      </c>
    </row>
    <row r="193" spans="1:19" ht="26.4" x14ac:dyDescent="0.7">
      <c r="A193" t="s">
        <v>245</v>
      </c>
      <c r="B193" s="173" t="s">
        <v>210</v>
      </c>
      <c r="C193">
        <v>192</v>
      </c>
      <c r="D193">
        <v>192</v>
      </c>
      <c r="E193">
        <v>189</v>
      </c>
      <c r="F193" s="167" t="s">
        <v>186</v>
      </c>
      <c r="G193" s="96">
        <v>5407</v>
      </c>
      <c r="H193" s="96">
        <v>4252</v>
      </c>
      <c r="I193" s="96">
        <v>3833</v>
      </c>
      <c r="J193" s="96">
        <v>2181</v>
      </c>
      <c r="K193" s="96">
        <v>1929</v>
      </c>
      <c r="L193" s="96">
        <v>760</v>
      </c>
      <c r="M193" s="96">
        <v>381</v>
      </c>
      <c r="N193" s="96">
        <v>1553</v>
      </c>
      <c r="O193" s="96">
        <v>2134</v>
      </c>
      <c r="P193" s="96">
        <v>2931</v>
      </c>
      <c r="Q193" s="96">
        <v>319</v>
      </c>
      <c r="R193" s="96">
        <v>1454</v>
      </c>
      <c r="S193" s="96">
        <v>27134</v>
      </c>
    </row>
    <row r="194" spans="1:19" ht="27" thickBot="1" x14ac:dyDescent="0.75">
      <c r="A194" t="s">
        <v>245</v>
      </c>
      <c r="B194" s="173" t="s">
        <v>210</v>
      </c>
      <c r="C194">
        <v>193</v>
      </c>
      <c r="D194">
        <v>193</v>
      </c>
      <c r="E194">
        <v>185</v>
      </c>
      <c r="F194" s="169" t="s">
        <v>181</v>
      </c>
      <c r="G194" s="96">
        <v>357</v>
      </c>
      <c r="H194" s="96">
        <v>7038</v>
      </c>
      <c r="I194" s="96">
        <v>1878</v>
      </c>
      <c r="J194" s="96">
        <v>2015</v>
      </c>
      <c r="K194" s="96">
        <v>7911</v>
      </c>
      <c r="L194" s="96">
        <v>5305</v>
      </c>
      <c r="M194" s="96">
        <v>3402</v>
      </c>
      <c r="N194" s="96">
        <v>2113</v>
      </c>
      <c r="O194" s="96">
        <v>1257</v>
      </c>
      <c r="P194" s="96">
        <v>1648</v>
      </c>
      <c r="Q194" s="96">
        <v>1050</v>
      </c>
      <c r="R194" s="96">
        <v>799</v>
      </c>
      <c r="S194" s="96">
        <v>34773</v>
      </c>
    </row>
    <row r="198" spans="1:19" ht="21.6" x14ac:dyDescent="0.3">
      <c r="G198" s="174"/>
      <c r="H198" s="174"/>
      <c r="I198" s="174"/>
      <c r="J198" s="174"/>
      <c r="K198" s="174"/>
      <c r="L198" s="174"/>
      <c r="M198" s="174"/>
      <c r="N198" s="174"/>
      <c r="O198" s="174"/>
      <c r="P198" s="175"/>
      <c r="Q198" s="175"/>
      <c r="R198" s="176"/>
      <c r="S198" s="17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266-21B1-4499-9901-3BCEB7E32831}">
  <sheetPr>
    <tabColor theme="6"/>
  </sheetPr>
  <dimension ref="A1:X32"/>
  <sheetViews>
    <sheetView tabSelected="1" zoomScale="64" workbookViewId="0">
      <selection activeCell="I6" sqref="I6"/>
    </sheetView>
  </sheetViews>
  <sheetFormatPr baseColWidth="10" defaultRowHeight="14.4" x14ac:dyDescent="0.3"/>
  <cols>
    <col min="2" max="2" width="25.44140625" customWidth="1"/>
    <col min="3" max="3" width="25.88671875" customWidth="1"/>
    <col min="9" max="9" width="50.6640625" customWidth="1"/>
    <col min="10" max="10" width="35.77734375" customWidth="1"/>
    <col min="11" max="11" width="17.6640625" customWidth="1"/>
    <col min="12" max="12" width="14.6640625" customWidth="1"/>
    <col min="13" max="13" width="16" customWidth="1"/>
    <col min="14" max="14" width="15.88671875" customWidth="1"/>
    <col min="15" max="15" width="16.44140625" customWidth="1"/>
    <col min="16" max="16" width="14.88671875" bestFit="1" customWidth="1"/>
    <col min="17" max="17" width="16.21875" customWidth="1"/>
    <col min="18" max="18" width="15.109375" customWidth="1"/>
    <col min="19" max="19" width="14.5546875" customWidth="1"/>
    <col min="20" max="20" width="15.6640625" customWidth="1"/>
    <col min="21" max="21" width="15" customWidth="1"/>
    <col min="22" max="22" width="14.6640625" customWidth="1"/>
    <col min="23" max="23" width="14.88671875" bestFit="1" customWidth="1"/>
    <col min="24" max="24" width="16" bestFit="1" customWidth="1"/>
  </cols>
  <sheetData>
    <row r="1" spans="1:24" ht="3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78">
        <v>2010</v>
      </c>
      <c r="L1" s="178">
        <v>2011</v>
      </c>
      <c r="M1" s="178">
        <v>2012</v>
      </c>
      <c r="N1" s="178">
        <v>2013</v>
      </c>
      <c r="O1" s="178">
        <v>2014</v>
      </c>
      <c r="P1" s="178">
        <v>2015</v>
      </c>
      <c r="Q1" s="178">
        <v>2016</v>
      </c>
      <c r="R1" s="178">
        <v>2017</v>
      </c>
      <c r="S1" s="178">
        <v>2018</v>
      </c>
      <c r="T1" s="178">
        <v>2019</v>
      </c>
      <c r="U1" s="178">
        <v>2020</v>
      </c>
      <c r="V1" s="178">
        <v>2021</v>
      </c>
      <c r="W1" s="178">
        <v>2022</v>
      </c>
      <c r="X1" s="178">
        <v>2023</v>
      </c>
    </row>
    <row r="2" spans="1:24" ht="27" x14ac:dyDescent="0.75">
      <c r="B2" s="3" t="s">
        <v>11</v>
      </c>
      <c r="D2" s="208" t="s">
        <v>250</v>
      </c>
      <c r="E2" s="179" t="s">
        <v>211</v>
      </c>
      <c r="F2">
        <v>1</v>
      </c>
      <c r="G2">
        <v>1</v>
      </c>
      <c r="I2" s="181" t="s">
        <v>212</v>
      </c>
      <c r="J2" s="182" t="s">
        <v>35</v>
      </c>
      <c r="K2" s="183">
        <v>27.495833333333302</v>
      </c>
      <c r="L2" s="183">
        <v>28.110000000000003</v>
      </c>
      <c r="M2" s="183">
        <v>29.49</v>
      </c>
      <c r="N2" s="183">
        <v>30.068333333333335</v>
      </c>
      <c r="O2" s="183">
        <v>30.272000000000002</v>
      </c>
      <c r="P2" s="183">
        <v>32.38666666666667</v>
      </c>
      <c r="Q2" s="183">
        <v>35.320416666666667</v>
      </c>
      <c r="R2" s="183">
        <v>35.749333333333333</v>
      </c>
      <c r="S2" s="183">
        <v>35.661666666666662</v>
      </c>
      <c r="T2" s="183">
        <v>36.691666666666663</v>
      </c>
      <c r="U2" s="183">
        <v>37.156666666666666</v>
      </c>
      <c r="V2" s="183">
        <v>36.1</v>
      </c>
      <c r="W2" s="183">
        <v>37</v>
      </c>
      <c r="X2" s="183">
        <v>36.506481481481487</v>
      </c>
    </row>
    <row r="3" spans="1:24" ht="27" x14ac:dyDescent="0.75">
      <c r="B3" s="3" t="s">
        <v>11</v>
      </c>
      <c r="D3" s="208" t="s">
        <v>250</v>
      </c>
      <c r="E3" s="179" t="s">
        <v>211</v>
      </c>
      <c r="F3">
        <v>2</v>
      </c>
      <c r="G3">
        <v>2</v>
      </c>
      <c r="I3" s="181" t="s">
        <v>213</v>
      </c>
      <c r="J3" s="182" t="s">
        <v>35</v>
      </c>
      <c r="K3" s="186">
        <v>36.848333333333301</v>
      </c>
      <c r="L3" s="183">
        <v>39.119999999999997</v>
      </c>
      <c r="M3" s="183">
        <v>38.1</v>
      </c>
      <c r="N3" s="183">
        <v>39.913333333333341</v>
      </c>
      <c r="O3" s="183">
        <v>40.188000000000002</v>
      </c>
      <c r="P3" s="183">
        <v>35.954166666666666</v>
      </c>
      <c r="Q3" s="183">
        <v>39.019833333333331</v>
      </c>
      <c r="R3" s="183">
        <v>40.34308333333334</v>
      </c>
      <c r="S3" s="183">
        <v>42.134999999999998</v>
      </c>
      <c r="T3" s="183">
        <v>41.057272727272725</v>
      </c>
      <c r="U3" s="183">
        <v>42.451666666666661</v>
      </c>
      <c r="V3" s="183">
        <v>42.7</v>
      </c>
      <c r="W3" s="183">
        <v>39</v>
      </c>
      <c r="X3" s="183">
        <v>39.52263955026455</v>
      </c>
    </row>
    <row r="4" spans="1:24" ht="27" x14ac:dyDescent="0.75">
      <c r="B4" s="3" t="s">
        <v>11</v>
      </c>
      <c r="D4" s="208" t="s">
        <v>250</v>
      </c>
      <c r="E4" s="179" t="s">
        <v>211</v>
      </c>
      <c r="F4">
        <v>3</v>
      </c>
      <c r="G4">
        <v>3</v>
      </c>
      <c r="I4" s="188" t="s">
        <v>214</v>
      </c>
      <c r="J4" s="182" t="s">
        <v>35</v>
      </c>
      <c r="K4" s="189">
        <v>43298</v>
      </c>
      <c r="L4" s="189">
        <v>83102</v>
      </c>
      <c r="M4" s="189">
        <v>-145133.29999999999</v>
      </c>
      <c r="N4" s="189">
        <v>-117839</v>
      </c>
      <c r="O4" s="189">
        <v>-215196</v>
      </c>
      <c r="P4" s="189">
        <v>-180753.2</v>
      </c>
      <c r="Q4" s="189">
        <v>-175408.7</v>
      </c>
      <c r="R4" s="189">
        <v>-13319.4</v>
      </c>
      <c r="S4" s="189">
        <v>-25251.5</v>
      </c>
      <c r="T4" s="190">
        <v>-22253.8</v>
      </c>
      <c r="U4" s="189">
        <v>-10842.7</v>
      </c>
      <c r="V4" s="189">
        <v>-21924.2</v>
      </c>
      <c r="W4" s="191">
        <v>-37319.599999999999</v>
      </c>
      <c r="X4" s="191">
        <v>-23600</v>
      </c>
    </row>
    <row r="5" spans="1:24" ht="27" x14ac:dyDescent="0.75">
      <c r="B5" s="3" t="s">
        <v>11</v>
      </c>
      <c r="D5" s="208" t="s">
        <v>250</v>
      </c>
      <c r="E5" s="179" t="s">
        <v>211</v>
      </c>
      <c r="F5">
        <v>4</v>
      </c>
      <c r="G5">
        <v>4</v>
      </c>
      <c r="H5">
        <v>3</v>
      </c>
      <c r="I5" s="192" t="s">
        <v>215</v>
      </c>
      <c r="J5" s="182" t="s">
        <v>35</v>
      </c>
      <c r="K5" s="183">
        <v>575246</v>
      </c>
      <c r="L5" s="183">
        <v>778185</v>
      </c>
      <c r="M5" s="183">
        <v>783228.6</v>
      </c>
      <c r="N5" s="183">
        <v>797217.3</v>
      </c>
      <c r="O5" s="183">
        <v>585147.6</v>
      </c>
      <c r="P5" s="183">
        <v>450516.5</v>
      </c>
      <c r="Q5" s="183">
        <v>494405.3</v>
      </c>
      <c r="R5" s="183">
        <v>61625.2</v>
      </c>
      <c r="S5" s="183">
        <v>67768.3</v>
      </c>
      <c r="T5" s="184">
        <v>85109.1</v>
      </c>
      <c r="U5" s="183">
        <v>96567.6</v>
      </c>
      <c r="V5" s="183">
        <v>105258.5</v>
      </c>
      <c r="W5" s="193">
        <v>141528.9</v>
      </c>
      <c r="X5" s="193">
        <v>133900</v>
      </c>
    </row>
    <row r="6" spans="1:24" ht="27" x14ac:dyDescent="0.75">
      <c r="B6" s="3" t="s">
        <v>11</v>
      </c>
      <c r="D6" s="208" t="s">
        <v>250</v>
      </c>
      <c r="E6" s="179" t="s">
        <v>211</v>
      </c>
      <c r="F6">
        <v>5</v>
      </c>
      <c r="G6">
        <v>5</v>
      </c>
      <c r="H6">
        <v>3</v>
      </c>
      <c r="I6" s="192" t="s">
        <v>216</v>
      </c>
      <c r="J6" s="182" t="s">
        <v>35</v>
      </c>
      <c r="K6" s="183">
        <v>-531948</v>
      </c>
      <c r="L6" s="183">
        <v>-695083</v>
      </c>
      <c r="M6" s="183">
        <v>-928361.9</v>
      </c>
      <c r="N6" s="183">
        <v>-915056.3</v>
      </c>
      <c r="O6" s="183">
        <v>-800343.6</v>
      </c>
      <c r="P6" s="183">
        <v>-631269.80000000005</v>
      </c>
      <c r="Q6" s="183">
        <v>-669813.9</v>
      </c>
      <c r="R6" s="183">
        <v>-74944.7</v>
      </c>
      <c r="S6" s="183">
        <v>-93019.8</v>
      </c>
      <c r="T6" s="184">
        <v>-107362.9</v>
      </c>
      <c r="U6" s="183">
        <v>-107410.3</v>
      </c>
      <c r="V6" s="183">
        <v>-127182.7</v>
      </c>
      <c r="W6" s="193">
        <v>-178848.5</v>
      </c>
      <c r="X6" s="193">
        <v>-157400</v>
      </c>
    </row>
    <row r="7" spans="1:24" ht="27" x14ac:dyDescent="0.75">
      <c r="B7" s="3" t="s">
        <v>11</v>
      </c>
      <c r="D7" s="208" t="s">
        <v>250</v>
      </c>
      <c r="E7" s="179" t="s">
        <v>211</v>
      </c>
      <c r="F7">
        <v>6</v>
      </c>
      <c r="G7">
        <v>6</v>
      </c>
      <c r="I7" s="194" t="s">
        <v>217</v>
      </c>
      <c r="J7" s="182" t="s">
        <v>35</v>
      </c>
      <c r="K7" s="195">
        <v>-164047</v>
      </c>
      <c r="L7" s="195">
        <v>-195275</v>
      </c>
      <c r="M7" s="195">
        <v>-311528</v>
      </c>
      <c r="N7" s="195">
        <v>-303588.09999999998</v>
      </c>
      <c r="O7" s="195">
        <v>-263929.59999999998</v>
      </c>
      <c r="P7" s="195">
        <v>-185861.9</v>
      </c>
      <c r="Q7" s="195">
        <v>-159166.70000000001</v>
      </c>
      <c r="R7" s="195">
        <v>-21064.7</v>
      </c>
      <c r="S7" s="195">
        <v>-16793</v>
      </c>
      <c r="T7" s="196">
        <v>-20190.599999999999</v>
      </c>
      <c r="U7" s="195">
        <v>-23497.9</v>
      </c>
      <c r="V7" s="195">
        <v>-22330.1</v>
      </c>
      <c r="W7" s="191">
        <v>-27996.9</v>
      </c>
      <c r="X7" s="191">
        <v>-22300</v>
      </c>
    </row>
    <row r="8" spans="1:24" ht="27" x14ac:dyDescent="0.75">
      <c r="B8" s="3" t="s">
        <v>11</v>
      </c>
      <c r="D8" s="208" t="s">
        <v>250</v>
      </c>
      <c r="E8" s="179" t="s">
        <v>211</v>
      </c>
      <c r="F8">
        <v>7</v>
      </c>
      <c r="G8">
        <v>7</v>
      </c>
      <c r="H8">
        <v>6</v>
      </c>
      <c r="I8" s="181" t="s">
        <v>218</v>
      </c>
      <c r="J8" s="182" t="s">
        <v>35</v>
      </c>
      <c r="K8" s="183">
        <v>-142044</v>
      </c>
      <c r="L8" s="183">
        <f>--152799</f>
        <v>152799</v>
      </c>
      <c r="M8" s="183">
        <v>-255527</v>
      </c>
      <c r="N8" s="183">
        <v>-244454</v>
      </c>
      <c r="O8" s="183">
        <v>-187550.2</v>
      </c>
      <c r="P8" s="183">
        <v>-127758.5</v>
      </c>
      <c r="Q8" s="183">
        <v>-118306.6</v>
      </c>
      <c r="R8" s="183">
        <v>-18217.7</v>
      </c>
      <c r="S8" s="183">
        <v>-15443.1</v>
      </c>
      <c r="T8" s="184">
        <v>-16895.7</v>
      </c>
      <c r="U8" s="183">
        <v>-19559.7</v>
      </c>
      <c r="V8" s="183">
        <v>-17065.3</v>
      </c>
      <c r="W8" s="193">
        <v>-22179.200000000001</v>
      </c>
      <c r="X8" s="193">
        <v>-22800</v>
      </c>
    </row>
    <row r="9" spans="1:24" ht="27" x14ac:dyDescent="0.75">
      <c r="B9" s="3" t="s">
        <v>11</v>
      </c>
      <c r="D9" s="208" t="s">
        <v>250</v>
      </c>
      <c r="E9" s="179" t="s">
        <v>211</v>
      </c>
      <c r="F9">
        <v>8</v>
      </c>
      <c r="G9">
        <v>8</v>
      </c>
      <c r="H9">
        <v>6</v>
      </c>
      <c r="I9" s="181" t="s">
        <v>219</v>
      </c>
      <c r="J9" s="182" t="s">
        <v>35</v>
      </c>
      <c r="K9" s="183">
        <v>-22002</v>
      </c>
      <c r="L9" s="183">
        <v>-42476</v>
      </c>
      <c r="M9" s="183">
        <v>-56001</v>
      </c>
      <c r="N9" s="183">
        <v>-59134</v>
      </c>
      <c r="O9" s="183">
        <v>-76379.5</v>
      </c>
      <c r="P9" s="183">
        <v>-58103.3</v>
      </c>
      <c r="Q9" s="183">
        <v>-40860.1</v>
      </c>
      <c r="R9" s="183">
        <v>-2847</v>
      </c>
      <c r="S9" s="183">
        <v>-1349.9</v>
      </c>
      <c r="T9" s="184">
        <v>-3294.9</v>
      </c>
      <c r="U9" s="183">
        <v>-3938.2</v>
      </c>
      <c r="V9" s="183">
        <v>-5264.8</v>
      </c>
      <c r="W9" s="193">
        <v>-5817.7</v>
      </c>
      <c r="X9" s="185">
        <v>500</v>
      </c>
    </row>
    <row r="10" spans="1:24" ht="27" x14ac:dyDescent="0.75">
      <c r="B10" s="3" t="s">
        <v>11</v>
      </c>
      <c r="D10" s="208" t="s">
        <v>250</v>
      </c>
      <c r="E10" s="179" t="s">
        <v>211</v>
      </c>
      <c r="F10">
        <v>9</v>
      </c>
      <c r="G10">
        <v>9</v>
      </c>
      <c r="H10">
        <v>8</v>
      </c>
      <c r="I10" s="181" t="s">
        <v>220</v>
      </c>
      <c r="J10" s="182" t="s">
        <v>35</v>
      </c>
      <c r="K10" s="183">
        <v>0</v>
      </c>
      <c r="L10" s="183">
        <v>0</v>
      </c>
      <c r="M10" s="183">
        <v>0</v>
      </c>
      <c r="N10" s="183">
        <v>0</v>
      </c>
      <c r="O10" s="183">
        <v>-18800.599999999999</v>
      </c>
      <c r="P10" s="183">
        <v>-25507.5</v>
      </c>
      <c r="Q10" s="183">
        <v>-33551.300000000003</v>
      </c>
      <c r="R10" s="183">
        <v>-2703.6</v>
      </c>
      <c r="S10" s="183">
        <v>-3077.3</v>
      </c>
      <c r="T10" s="184">
        <v>-3074.3</v>
      </c>
      <c r="U10" s="197">
        <v>-468.8</v>
      </c>
      <c r="V10" s="197">
        <v>-2853.5</v>
      </c>
      <c r="W10" s="193">
        <v>-2800.3</v>
      </c>
      <c r="X10" s="193">
        <v>-3100</v>
      </c>
    </row>
    <row r="11" spans="1:24" ht="27" x14ac:dyDescent="0.75">
      <c r="B11" s="3" t="s">
        <v>11</v>
      </c>
      <c r="D11" s="208" t="s">
        <v>250</v>
      </c>
      <c r="E11" s="179" t="s">
        <v>211</v>
      </c>
      <c r="F11">
        <v>10</v>
      </c>
      <c r="G11">
        <v>10</v>
      </c>
      <c r="I11" s="194" t="s">
        <v>221</v>
      </c>
      <c r="J11" s="182" t="s">
        <v>35</v>
      </c>
      <c r="K11" s="195">
        <v>34493</v>
      </c>
      <c r="L11" s="195">
        <v>32976</v>
      </c>
      <c r="M11" s="195">
        <v>92915.1</v>
      </c>
      <c r="N11" s="195">
        <v>42218.400000000001</v>
      </c>
      <c r="O11" s="195">
        <v>34378.800000000003</v>
      </c>
      <c r="P11" s="195">
        <v>58034.2</v>
      </c>
      <c r="Q11" s="195">
        <v>86625.4</v>
      </c>
      <c r="R11" s="195">
        <v>8966</v>
      </c>
      <c r="S11" s="195">
        <v>7335.6</v>
      </c>
      <c r="T11" s="196">
        <v>12844.45</v>
      </c>
      <c r="U11" s="195">
        <v>12737.7</v>
      </c>
      <c r="V11" s="195">
        <v>15035.1</v>
      </c>
      <c r="W11" s="191">
        <v>12243.3</v>
      </c>
      <c r="X11" s="191">
        <v>11000</v>
      </c>
    </row>
    <row r="12" spans="1:24" ht="27" x14ac:dyDescent="0.75">
      <c r="B12" s="3" t="s">
        <v>11</v>
      </c>
      <c r="D12" s="208" t="s">
        <v>250</v>
      </c>
      <c r="E12" s="179" t="s">
        <v>211</v>
      </c>
      <c r="F12">
        <v>11</v>
      </c>
      <c r="G12">
        <v>11</v>
      </c>
      <c r="H12">
        <v>10</v>
      </c>
      <c r="I12" s="181" t="s">
        <v>222</v>
      </c>
      <c r="J12" s="182" t="s">
        <v>35</v>
      </c>
      <c r="K12" s="183">
        <v>15574</v>
      </c>
      <c r="L12" s="183">
        <v>10663</v>
      </c>
      <c r="M12" s="183">
        <v>12624.3</v>
      </c>
      <c r="N12" s="183">
        <v>17116.3</v>
      </c>
      <c r="O12" s="183">
        <v>15068.2</v>
      </c>
      <c r="P12" s="183">
        <v>25240.9</v>
      </c>
      <c r="Q12" s="183">
        <v>26460.3</v>
      </c>
      <c r="R12" s="183">
        <v>3346</v>
      </c>
      <c r="S12" s="183">
        <v>3470.4</v>
      </c>
      <c r="T12" s="184">
        <v>4010.21</v>
      </c>
      <c r="U12" s="183">
        <v>5695.1</v>
      </c>
      <c r="V12" s="183">
        <v>5180</v>
      </c>
      <c r="W12" s="193">
        <v>6142.2</v>
      </c>
      <c r="X12" s="193">
        <v>6200</v>
      </c>
    </row>
    <row r="13" spans="1:24" ht="27" x14ac:dyDescent="0.75">
      <c r="B13" s="3" t="s">
        <v>11</v>
      </c>
      <c r="D13" s="208" t="s">
        <v>250</v>
      </c>
      <c r="E13" s="179" t="s">
        <v>211</v>
      </c>
      <c r="F13">
        <v>12</v>
      </c>
      <c r="G13">
        <v>12</v>
      </c>
      <c r="H13">
        <v>10</v>
      </c>
      <c r="I13" s="181" t="s">
        <v>223</v>
      </c>
      <c r="J13" s="182" t="s">
        <v>35</v>
      </c>
      <c r="K13" s="183">
        <v>18919</v>
      </c>
      <c r="L13" s="183">
        <v>22313</v>
      </c>
      <c r="M13" s="183">
        <v>80290.7</v>
      </c>
      <c r="N13" s="183">
        <v>25102</v>
      </c>
      <c r="O13" s="183">
        <v>19310.5</v>
      </c>
      <c r="P13" s="183">
        <v>32793.4</v>
      </c>
      <c r="Q13" s="183">
        <v>60165.1</v>
      </c>
      <c r="R13" s="183">
        <v>5620</v>
      </c>
      <c r="S13" s="183">
        <v>3865.2</v>
      </c>
      <c r="T13" s="184">
        <v>8834.24</v>
      </c>
      <c r="U13" s="183">
        <v>7042.6</v>
      </c>
      <c r="V13" s="183">
        <v>9855.1</v>
      </c>
      <c r="W13" s="193">
        <v>6101.1</v>
      </c>
      <c r="X13" s="193">
        <v>4800</v>
      </c>
    </row>
    <row r="14" spans="1:24" ht="27" x14ac:dyDescent="0.75">
      <c r="B14" s="3" t="s">
        <v>11</v>
      </c>
      <c r="D14" s="208" t="s">
        <v>250</v>
      </c>
      <c r="E14" s="179" t="s">
        <v>211</v>
      </c>
      <c r="F14">
        <v>13</v>
      </c>
      <c r="G14">
        <v>13</v>
      </c>
      <c r="I14" s="194" t="s">
        <v>224</v>
      </c>
      <c r="J14" s="182" t="s">
        <v>35</v>
      </c>
      <c r="K14" s="195">
        <v>-86255</v>
      </c>
      <c r="L14" s="195">
        <v>-79197</v>
      </c>
      <c r="M14" s="195">
        <v>-363746.3</v>
      </c>
      <c r="N14" s="195">
        <v>-379208.7</v>
      </c>
      <c r="O14" s="195">
        <v>-444746.8</v>
      </c>
      <c r="P14" s="195">
        <v>-308580.90000000002</v>
      </c>
      <c r="Q14" s="195">
        <v>-247950</v>
      </c>
      <c r="R14" s="195">
        <v>-25418.2</v>
      </c>
      <c r="S14" s="195">
        <v>-34708.9</v>
      </c>
      <c r="T14" s="196">
        <v>-29600.1</v>
      </c>
      <c r="U14" s="195">
        <v>-21602.9</v>
      </c>
      <c r="V14" s="195">
        <v>-29219.200000000001</v>
      </c>
      <c r="W14" s="191">
        <v>-53073.2</v>
      </c>
      <c r="X14" s="191">
        <v>-35000</v>
      </c>
    </row>
    <row r="15" spans="1:24" ht="27" x14ac:dyDescent="0.75">
      <c r="B15" s="3" t="s">
        <v>11</v>
      </c>
      <c r="D15" s="208" t="s">
        <v>250</v>
      </c>
      <c r="E15" s="179" t="s">
        <v>211</v>
      </c>
      <c r="F15">
        <v>14</v>
      </c>
      <c r="G15">
        <v>14</v>
      </c>
      <c r="I15" s="198" t="s">
        <v>225</v>
      </c>
      <c r="J15" s="182" t="s">
        <v>35</v>
      </c>
      <c r="K15" s="195">
        <v>0</v>
      </c>
      <c r="L15" s="195">
        <v>0</v>
      </c>
      <c r="M15" s="195">
        <v>11943.9</v>
      </c>
      <c r="N15" s="195">
        <v>1445.6</v>
      </c>
      <c r="O15" s="195">
        <v>4828.6000000000004</v>
      </c>
      <c r="P15" s="195">
        <v>10048.5</v>
      </c>
      <c r="Q15" s="195">
        <v>2961.1</v>
      </c>
      <c r="R15" s="195">
        <v>390.6</v>
      </c>
      <c r="S15" s="195">
        <v>692.2</v>
      </c>
      <c r="T15" s="196">
        <v>874.13</v>
      </c>
      <c r="U15" s="195">
        <v>2699.9</v>
      </c>
      <c r="V15" s="195">
        <v>35680.199999999997</v>
      </c>
      <c r="W15" s="191">
        <v>5032.6000000000004</v>
      </c>
      <c r="X15" s="191">
        <v>7100</v>
      </c>
    </row>
    <row r="16" spans="1:24" ht="27" x14ac:dyDescent="0.75">
      <c r="B16" s="3" t="s">
        <v>11</v>
      </c>
      <c r="D16" s="208" t="s">
        <v>250</v>
      </c>
      <c r="E16" s="179" t="s">
        <v>211</v>
      </c>
      <c r="F16">
        <v>15</v>
      </c>
      <c r="G16">
        <v>15</v>
      </c>
      <c r="I16" s="198" t="s">
        <v>226</v>
      </c>
      <c r="J16" s="182" t="s">
        <v>35</v>
      </c>
      <c r="K16" s="195">
        <v>59062</v>
      </c>
      <c r="L16" s="195">
        <v>163388</v>
      </c>
      <c r="M16" s="195">
        <v>528043.9</v>
      </c>
      <c r="N16" s="195">
        <v>470606.3</v>
      </c>
      <c r="O16" s="195">
        <v>365053.2</v>
      </c>
      <c r="P16" s="195">
        <v>394878.2</v>
      </c>
      <c r="Q16" s="195">
        <v>169368.2</v>
      </c>
      <c r="R16" s="195">
        <v>28460.6</v>
      </c>
      <c r="S16" s="195">
        <v>35292.9</v>
      </c>
      <c r="T16" s="196">
        <v>31227.88</v>
      </c>
      <c r="U16" s="195">
        <v>20505.2</v>
      </c>
      <c r="V16" s="195">
        <v>35802.300000000003</v>
      </c>
      <c r="W16" s="191">
        <v>58726.1</v>
      </c>
      <c r="X16" s="191">
        <v>25000</v>
      </c>
    </row>
    <row r="17" spans="2:24" ht="27" x14ac:dyDescent="0.75">
      <c r="B17" s="3" t="s">
        <v>11</v>
      </c>
      <c r="D17" s="208" t="s">
        <v>250</v>
      </c>
      <c r="E17" s="179" t="s">
        <v>211</v>
      </c>
      <c r="F17">
        <v>16</v>
      </c>
      <c r="G17">
        <v>16</v>
      </c>
      <c r="H17">
        <v>15</v>
      </c>
      <c r="I17" s="199" t="s">
        <v>227</v>
      </c>
      <c r="J17" s="182" t="s">
        <v>35</v>
      </c>
      <c r="K17" s="183">
        <v>36012</v>
      </c>
      <c r="L17" s="183">
        <v>12702</v>
      </c>
      <c r="M17" s="183">
        <v>410369</v>
      </c>
      <c r="N17" s="183">
        <v>338472.5</v>
      </c>
      <c r="O17" s="183">
        <v>151676.70000000001</v>
      </c>
      <c r="P17" s="183">
        <v>163009.20000000001</v>
      </c>
      <c r="Q17" s="183">
        <v>95562.2</v>
      </c>
      <c r="R17" s="183">
        <v>21020.5</v>
      </c>
      <c r="S17" s="183">
        <v>27574.799999999999</v>
      </c>
      <c r="T17" s="184">
        <v>32482</v>
      </c>
      <c r="U17" s="183">
        <v>34605.599999999999</v>
      </c>
      <c r="V17" s="183">
        <v>38354.9</v>
      </c>
      <c r="W17" s="193">
        <v>52073</v>
      </c>
      <c r="X17" s="193">
        <v>31000</v>
      </c>
    </row>
    <row r="18" spans="2:24" ht="27" x14ac:dyDescent="0.75">
      <c r="B18" s="3" t="s">
        <v>11</v>
      </c>
      <c r="D18" s="208" t="s">
        <v>250</v>
      </c>
      <c r="E18" s="179" t="s">
        <v>211</v>
      </c>
      <c r="F18">
        <v>17</v>
      </c>
      <c r="G18">
        <v>17</v>
      </c>
      <c r="H18">
        <v>16</v>
      </c>
      <c r="I18" s="200" t="s">
        <v>228</v>
      </c>
      <c r="J18" s="182" t="s">
        <v>35</v>
      </c>
      <c r="K18" s="183">
        <v>57964</v>
      </c>
      <c r="L18" s="183">
        <v>12702</v>
      </c>
      <c r="M18" s="183">
        <v>6680.2</v>
      </c>
      <c r="N18" s="183">
        <v>123255.3</v>
      </c>
      <c r="O18" s="183">
        <v>80103.5</v>
      </c>
      <c r="P18" s="183">
        <v>101224.9</v>
      </c>
      <c r="Q18" s="183">
        <v>24811.5</v>
      </c>
      <c r="R18" s="183">
        <v>10601.7</v>
      </c>
      <c r="S18" s="183">
        <v>13127.3</v>
      </c>
      <c r="T18" s="184">
        <v>25414.69</v>
      </c>
      <c r="U18" s="184">
        <v>29700</v>
      </c>
      <c r="V18" s="184">
        <v>30900</v>
      </c>
      <c r="W18" s="184">
        <v>49000</v>
      </c>
      <c r="X18" s="184">
        <v>25500</v>
      </c>
    </row>
    <row r="19" spans="2:24" ht="27" x14ac:dyDescent="0.75">
      <c r="B19" s="3" t="s">
        <v>11</v>
      </c>
      <c r="D19" s="208" t="s">
        <v>250</v>
      </c>
      <c r="E19" s="179" t="s">
        <v>211</v>
      </c>
      <c r="F19">
        <v>18</v>
      </c>
      <c r="G19">
        <v>18</v>
      </c>
      <c r="H19">
        <v>15</v>
      </c>
      <c r="I19" s="199" t="s">
        <v>229</v>
      </c>
      <c r="J19" s="182" t="s">
        <v>35</v>
      </c>
      <c r="K19" s="183">
        <v>48256</v>
      </c>
      <c r="L19" s="183">
        <v>76275</v>
      </c>
      <c r="M19" s="183">
        <v>150230.20000000001</v>
      </c>
      <c r="N19" s="183">
        <v>64716.6</v>
      </c>
      <c r="O19" s="183">
        <v>36836.400000000001</v>
      </c>
      <c r="P19" s="183">
        <v>130625.3</v>
      </c>
      <c r="Q19" s="183">
        <v>50200.9</v>
      </c>
      <c r="R19" s="183">
        <v>957</v>
      </c>
      <c r="S19" s="183">
        <v>720.7</v>
      </c>
      <c r="T19" s="184">
        <v>2300</v>
      </c>
      <c r="U19" s="183">
        <v>1300</v>
      </c>
      <c r="V19" s="183">
        <v>-5500</v>
      </c>
      <c r="W19" s="193">
        <v>10800</v>
      </c>
      <c r="X19" s="193">
        <v>1200</v>
      </c>
    </row>
    <row r="20" spans="2:24" ht="27" x14ac:dyDescent="0.75">
      <c r="B20" s="3" t="s">
        <v>11</v>
      </c>
      <c r="D20" s="208" t="s">
        <v>250</v>
      </c>
      <c r="E20" s="179" t="s">
        <v>211</v>
      </c>
      <c r="F20">
        <v>19</v>
      </c>
      <c r="G20">
        <v>19</v>
      </c>
      <c r="H20">
        <v>15</v>
      </c>
      <c r="I20" s="199" t="s">
        <v>230</v>
      </c>
      <c r="J20" s="182" t="s">
        <v>35</v>
      </c>
      <c r="K20" s="183">
        <v>-25209</v>
      </c>
      <c r="L20" s="183">
        <v>74411</v>
      </c>
      <c r="M20" s="183">
        <v>-32555.3</v>
      </c>
      <c r="N20" s="183">
        <v>67417.2</v>
      </c>
      <c r="O20" s="183">
        <v>176540.2</v>
      </c>
      <c r="P20" s="183">
        <v>101243.7</v>
      </c>
      <c r="Q20" s="183">
        <v>23605.1</v>
      </c>
      <c r="R20" s="183">
        <v>6483.1</v>
      </c>
      <c r="S20" s="183">
        <v>6997.4</v>
      </c>
      <c r="T20" s="184">
        <v>-2400</v>
      </c>
      <c r="U20" s="183">
        <v>-15400</v>
      </c>
      <c r="V20" s="183">
        <v>2900</v>
      </c>
      <c r="W20" s="193">
        <v>-4100</v>
      </c>
      <c r="X20" s="193">
        <v>-7300</v>
      </c>
    </row>
    <row r="21" spans="2:24" ht="27" x14ac:dyDescent="0.75">
      <c r="B21" s="3" t="s">
        <v>11</v>
      </c>
      <c r="D21" s="208" t="s">
        <v>250</v>
      </c>
      <c r="E21" s="179" t="s">
        <v>211</v>
      </c>
      <c r="F21">
        <v>20</v>
      </c>
      <c r="G21">
        <v>20</v>
      </c>
      <c r="I21" s="194" t="s">
        <v>231</v>
      </c>
      <c r="J21" s="182" t="s">
        <v>35</v>
      </c>
      <c r="K21" s="195">
        <f>K15+K16</f>
        <v>59062</v>
      </c>
      <c r="L21" s="195">
        <f t="shared" ref="L21:Q21" si="0">L15+L16</f>
        <v>163388</v>
      </c>
      <c r="M21" s="195">
        <f t="shared" si="0"/>
        <v>539987.80000000005</v>
      </c>
      <c r="N21" s="195">
        <f t="shared" si="0"/>
        <v>472051.89999999997</v>
      </c>
      <c r="O21" s="195">
        <f t="shared" si="0"/>
        <v>369881.8</v>
      </c>
      <c r="P21" s="195">
        <f t="shared" si="0"/>
        <v>404926.7</v>
      </c>
      <c r="Q21" s="195">
        <f t="shared" si="0"/>
        <v>172329.30000000002</v>
      </c>
      <c r="R21" s="195">
        <v>28851.200000000001</v>
      </c>
      <c r="S21" s="195">
        <v>35292.9</v>
      </c>
      <c r="T21" s="196">
        <v>33200</v>
      </c>
      <c r="U21" s="195">
        <v>23200</v>
      </c>
      <c r="V21" s="195">
        <v>71500</v>
      </c>
      <c r="W21" s="191">
        <v>63800</v>
      </c>
      <c r="X21" s="191">
        <v>32100</v>
      </c>
    </row>
    <row r="22" spans="2:24" ht="27" x14ac:dyDescent="0.75">
      <c r="B22" s="3" t="s">
        <v>11</v>
      </c>
      <c r="D22" s="208" t="s">
        <v>250</v>
      </c>
      <c r="E22" s="179" t="s">
        <v>211</v>
      </c>
      <c r="F22">
        <v>21</v>
      </c>
      <c r="G22">
        <v>21</v>
      </c>
      <c r="I22" s="194" t="s">
        <v>232</v>
      </c>
      <c r="J22" s="182" t="s">
        <v>35</v>
      </c>
      <c r="K22" s="195">
        <v>34242</v>
      </c>
      <c r="L22" s="195">
        <v>-13209</v>
      </c>
      <c r="M22" s="195">
        <v>-30397.3</v>
      </c>
      <c r="N22" s="195">
        <v>-88298.8</v>
      </c>
      <c r="O22" s="195">
        <v>-18682</v>
      </c>
      <c r="P22" s="195">
        <v>-44883.6</v>
      </c>
      <c r="Q22" s="195">
        <v>47716.2</v>
      </c>
      <c r="R22" s="195">
        <v>-1865.1</v>
      </c>
      <c r="S22" s="195">
        <v>5592.7</v>
      </c>
      <c r="T22" s="196">
        <v>600</v>
      </c>
      <c r="U22" s="195">
        <v>3100</v>
      </c>
      <c r="V22" s="195">
        <v>4000</v>
      </c>
      <c r="W22" s="191">
        <v>2800</v>
      </c>
      <c r="X22" s="191">
        <v>10200</v>
      </c>
    </row>
    <row r="23" spans="2:24" ht="27" x14ac:dyDescent="0.75">
      <c r="B23" s="3" t="s">
        <v>11</v>
      </c>
      <c r="D23" s="208" t="s">
        <v>250</v>
      </c>
      <c r="E23" s="179" t="s">
        <v>211</v>
      </c>
      <c r="F23">
        <v>22</v>
      </c>
      <c r="G23">
        <v>22</v>
      </c>
      <c r="I23" s="194" t="s">
        <v>233</v>
      </c>
      <c r="J23" s="182" t="s">
        <v>35</v>
      </c>
      <c r="K23" s="195">
        <v>7049</v>
      </c>
      <c r="L23" s="195">
        <v>70982</v>
      </c>
      <c r="M23" s="195">
        <v>145844.20000000001</v>
      </c>
      <c r="N23" s="195">
        <v>4544.3</v>
      </c>
      <c r="O23" s="195">
        <v>-93547</v>
      </c>
      <c r="P23" s="195">
        <v>51462.3</v>
      </c>
      <c r="Q23" s="195">
        <v>-27904.5</v>
      </c>
      <c r="R23" s="195">
        <v>1567.9</v>
      </c>
      <c r="S23" s="195">
        <v>6868.9</v>
      </c>
      <c r="T23" s="196">
        <v>3236.95</v>
      </c>
      <c r="U23" s="195">
        <v>4732.6000000000004</v>
      </c>
      <c r="V23" s="195">
        <v>46304.7</v>
      </c>
      <c r="W23" s="191">
        <v>13436</v>
      </c>
      <c r="X23" s="191">
        <v>7400</v>
      </c>
    </row>
    <row r="24" spans="2:24" ht="27" x14ac:dyDescent="0.75">
      <c r="B24" s="3" t="s">
        <v>11</v>
      </c>
      <c r="D24" s="208" t="s">
        <v>250</v>
      </c>
      <c r="E24" s="179" t="s">
        <v>211</v>
      </c>
      <c r="F24">
        <v>23</v>
      </c>
      <c r="G24">
        <v>23</v>
      </c>
      <c r="I24" s="194" t="s">
        <v>234</v>
      </c>
      <c r="J24" s="182" t="s">
        <v>35</v>
      </c>
      <c r="K24" s="195">
        <v>-7049</v>
      </c>
      <c r="L24" s="195">
        <v>-70982</v>
      </c>
      <c r="M24" s="195">
        <v>-145844.20000000001</v>
      </c>
      <c r="N24" s="195">
        <v>-4544.3</v>
      </c>
      <c r="O24" s="195">
        <v>93547</v>
      </c>
      <c r="P24" s="195">
        <v>-51462.3</v>
      </c>
      <c r="Q24" s="195">
        <v>27904.5</v>
      </c>
      <c r="R24" s="195">
        <v>-1567.9</v>
      </c>
      <c r="S24" s="195">
        <v>-6868.9</v>
      </c>
      <c r="T24" s="196">
        <v>-3236.9</v>
      </c>
      <c r="U24" s="195">
        <v>-4732.6000000000004</v>
      </c>
      <c r="V24" s="195">
        <v>-46300</v>
      </c>
      <c r="W24" s="191">
        <v>-13436</v>
      </c>
      <c r="X24" s="191">
        <v>-7400</v>
      </c>
    </row>
    <row r="25" spans="2:24" ht="27" x14ac:dyDescent="0.75">
      <c r="B25" s="3" t="s">
        <v>11</v>
      </c>
      <c r="D25" s="208" t="s">
        <v>250</v>
      </c>
      <c r="E25" s="179" t="s">
        <v>211</v>
      </c>
      <c r="F25">
        <v>24</v>
      </c>
      <c r="G25">
        <v>24</v>
      </c>
      <c r="H25">
        <v>23</v>
      </c>
      <c r="I25" s="194" t="s">
        <v>235</v>
      </c>
      <c r="J25" s="182" t="s">
        <v>35</v>
      </c>
      <c r="K25" s="189">
        <v>-12764</v>
      </c>
      <c r="L25" s="189">
        <v>-75041</v>
      </c>
      <c r="M25" s="189">
        <v>-120556.4</v>
      </c>
      <c r="N25" s="189">
        <v>-7855.5</v>
      </c>
      <c r="O25" s="189">
        <v>89901.5</v>
      </c>
      <c r="P25" s="189">
        <v>-53362.3</v>
      </c>
      <c r="Q25" s="189">
        <v>27904.5</v>
      </c>
      <c r="R25" s="189">
        <v>-1759.6</v>
      </c>
      <c r="S25" s="189">
        <v>-7001.4</v>
      </c>
      <c r="T25" s="190">
        <v>-3410</v>
      </c>
      <c r="U25" s="189">
        <v>-8211.6</v>
      </c>
      <c r="V25" s="189">
        <v>-16900</v>
      </c>
      <c r="W25" s="191">
        <v>-13436</v>
      </c>
      <c r="X25" s="191">
        <v>-7400</v>
      </c>
    </row>
    <row r="26" spans="2:24" ht="27" x14ac:dyDescent="0.75">
      <c r="B26" s="3" t="s">
        <v>11</v>
      </c>
      <c r="D26" s="208" t="s">
        <v>250</v>
      </c>
      <c r="E26" s="179" t="s">
        <v>211</v>
      </c>
      <c r="F26">
        <v>25</v>
      </c>
      <c r="G26">
        <v>25</v>
      </c>
      <c r="H26">
        <v>24</v>
      </c>
      <c r="I26" s="181" t="s">
        <v>236</v>
      </c>
      <c r="J26" s="182" t="s">
        <v>35</v>
      </c>
      <c r="K26" s="186">
        <v>-11484</v>
      </c>
      <c r="L26" s="186">
        <v>-54182</v>
      </c>
      <c r="M26" s="186">
        <v>-141704.1</v>
      </c>
      <c r="N26" s="186">
        <v>-8459.9</v>
      </c>
      <c r="O26" s="186">
        <v>93890.7</v>
      </c>
      <c r="P26" s="186">
        <v>-63041</v>
      </c>
      <c r="Q26" s="186">
        <v>-7226.3</v>
      </c>
      <c r="R26" s="186">
        <v>-315.8</v>
      </c>
      <c r="S26" s="186">
        <v>-2068.8000000000002</v>
      </c>
      <c r="T26" s="187">
        <v>-7423.2</v>
      </c>
      <c r="U26" s="186">
        <v>-6782.9</v>
      </c>
      <c r="V26" s="186">
        <v>-13863.8</v>
      </c>
      <c r="W26" s="193">
        <v>-7110.7</v>
      </c>
      <c r="X26" s="193">
        <v>-5300</v>
      </c>
    </row>
    <row r="27" spans="2:24" ht="27" x14ac:dyDescent="0.75">
      <c r="B27" s="3" t="s">
        <v>11</v>
      </c>
      <c r="D27" s="208" t="s">
        <v>250</v>
      </c>
      <c r="E27" s="179" t="s">
        <v>211</v>
      </c>
      <c r="F27">
        <v>26</v>
      </c>
      <c r="G27">
        <v>26</v>
      </c>
      <c r="H27">
        <v>25</v>
      </c>
      <c r="I27" s="181" t="s">
        <v>237</v>
      </c>
      <c r="J27" s="182" t="s">
        <v>35</v>
      </c>
      <c r="K27" s="183">
        <v>-18544</v>
      </c>
      <c r="L27" s="183">
        <v>-63795</v>
      </c>
      <c r="M27" s="183">
        <v>-137013.6</v>
      </c>
      <c r="N27" s="183">
        <v>-10811.3</v>
      </c>
      <c r="O27" s="183">
        <v>98103.4</v>
      </c>
      <c r="P27" s="183">
        <v>-58184.3</v>
      </c>
      <c r="Q27" s="183">
        <v>-437</v>
      </c>
      <c r="R27" s="183">
        <v>-929.9</v>
      </c>
      <c r="S27" s="183">
        <v>-2523.6</v>
      </c>
      <c r="T27" s="184">
        <v>-8058.7</v>
      </c>
      <c r="U27" s="183">
        <v>-15154.1</v>
      </c>
      <c r="V27" s="183">
        <v>-19500</v>
      </c>
      <c r="W27" s="193">
        <v>5400</v>
      </c>
      <c r="X27" s="193">
        <v>-5600</v>
      </c>
    </row>
    <row r="28" spans="2:24" ht="27" x14ac:dyDescent="0.75">
      <c r="B28" s="3" t="s">
        <v>11</v>
      </c>
      <c r="D28" s="208" t="s">
        <v>250</v>
      </c>
      <c r="E28" s="179" t="s">
        <v>211</v>
      </c>
      <c r="F28">
        <v>27</v>
      </c>
      <c r="G28">
        <v>27</v>
      </c>
      <c r="H28">
        <v>25</v>
      </c>
      <c r="I28" s="181" t="s">
        <v>238</v>
      </c>
      <c r="J28" s="182" t="s">
        <v>35</v>
      </c>
      <c r="K28" s="183">
        <v>7060</v>
      </c>
      <c r="L28" s="183">
        <v>9613</v>
      </c>
      <c r="M28" s="183">
        <v>-4690.5</v>
      </c>
      <c r="N28" s="183">
        <v>2351.4</v>
      </c>
      <c r="O28" s="183">
        <v>-4212.7</v>
      </c>
      <c r="P28" s="183">
        <v>-4856.7</v>
      </c>
      <c r="Q28" s="183">
        <v>-6789.3</v>
      </c>
      <c r="R28" s="183">
        <v>614.1</v>
      </c>
      <c r="S28" s="183">
        <v>454.9</v>
      </c>
      <c r="T28" s="184">
        <v>635.5</v>
      </c>
      <c r="U28" s="183">
        <v>8371.1</v>
      </c>
      <c r="V28" s="183">
        <v>6358.5</v>
      </c>
      <c r="W28" s="193">
        <v>-12470</v>
      </c>
      <c r="X28" s="193">
        <v>400</v>
      </c>
    </row>
    <row r="29" spans="2:24" ht="27" x14ac:dyDescent="0.75">
      <c r="B29" s="3" t="s">
        <v>11</v>
      </c>
      <c r="D29" s="208" t="s">
        <v>250</v>
      </c>
      <c r="E29" s="179" t="s">
        <v>211</v>
      </c>
      <c r="F29">
        <v>28</v>
      </c>
      <c r="G29">
        <v>28</v>
      </c>
      <c r="H29">
        <v>24</v>
      </c>
      <c r="I29" s="181" t="s">
        <v>239</v>
      </c>
      <c r="J29" s="182" t="s">
        <v>35</v>
      </c>
      <c r="K29" s="183">
        <v>-1075</v>
      </c>
      <c r="L29" s="183">
        <v>-7544</v>
      </c>
      <c r="M29" s="183">
        <v>25272.6</v>
      </c>
      <c r="N29" s="183">
        <v>1781</v>
      </c>
      <c r="O29" s="183">
        <v>-5294</v>
      </c>
      <c r="P29" s="183">
        <v>4708.2</v>
      </c>
      <c r="Q29" s="183">
        <v>26586.6</v>
      </c>
      <c r="R29" s="183">
        <v>-650.4</v>
      </c>
      <c r="S29" s="183">
        <v>-1619.2</v>
      </c>
      <c r="T29" s="184">
        <v>910.71</v>
      </c>
      <c r="U29" s="183">
        <v>-1327.2</v>
      </c>
      <c r="V29" s="183">
        <v>-1770.1</v>
      </c>
      <c r="W29" s="193">
        <v>-4946.3</v>
      </c>
      <c r="X29" s="201">
        <v>-700</v>
      </c>
    </row>
    <row r="30" spans="2:24" ht="27" x14ac:dyDescent="0.75">
      <c r="B30" s="3" t="s">
        <v>11</v>
      </c>
      <c r="D30" s="208" t="s">
        <v>250</v>
      </c>
      <c r="E30" s="179" t="s">
        <v>211</v>
      </c>
      <c r="F30">
        <v>29</v>
      </c>
      <c r="G30">
        <v>29</v>
      </c>
      <c r="H30">
        <v>24</v>
      </c>
      <c r="I30" s="181" t="s">
        <v>240</v>
      </c>
      <c r="J30" s="182" t="s">
        <v>35</v>
      </c>
      <c r="K30" s="183">
        <v>-204</v>
      </c>
      <c r="L30" s="183">
        <v>-13315</v>
      </c>
      <c r="M30" s="183">
        <v>-4124.8999999999996</v>
      </c>
      <c r="N30" s="183">
        <v>-1176.7</v>
      </c>
      <c r="O30" s="183">
        <v>1304.8</v>
      </c>
      <c r="P30" s="183">
        <v>4970.5</v>
      </c>
      <c r="Q30" s="183">
        <v>8544.2000000000007</v>
      </c>
      <c r="R30" s="183">
        <v>-793.5</v>
      </c>
      <c r="S30" s="183">
        <v>-3313.4</v>
      </c>
      <c r="T30" s="184">
        <v>3102.41</v>
      </c>
      <c r="U30" s="183">
        <v>-101.4</v>
      </c>
      <c r="V30" s="183">
        <v>-1826.8</v>
      </c>
      <c r="W30" s="193">
        <v>-1400</v>
      </c>
      <c r="X30" s="193">
        <v>-1400</v>
      </c>
    </row>
    <row r="31" spans="2:24" ht="27" x14ac:dyDescent="0.75">
      <c r="B31" s="3" t="s">
        <v>11</v>
      </c>
      <c r="D31" s="208" t="s">
        <v>250</v>
      </c>
      <c r="E31" s="179" t="s">
        <v>211</v>
      </c>
      <c r="F31">
        <v>30</v>
      </c>
      <c r="G31">
        <v>30</v>
      </c>
      <c r="H31">
        <v>23</v>
      </c>
      <c r="I31" s="194" t="s">
        <v>241</v>
      </c>
      <c r="J31" s="182" t="s">
        <v>35</v>
      </c>
      <c r="K31" s="195">
        <v>5715</v>
      </c>
      <c r="L31" s="195">
        <v>4059</v>
      </c>
      <c r="M31" s="195">
        <v>-25287.8</v>
      </c>
      <c r="N31" s="195">
        <v>3311.2</v>
      </c>
      <c r="O31" s="195">
        <v>3191.6</v>
      </c>
      <c r="P31" s="195">
        <v>1900</v>
      </c>
      <c r="Q31" s="202"/>
      <c r="R31" s="202">
        <v>191.7</v>
      </c>
      <c r="S31" s="202">
        <v>132.5</v>
      </c>
      <c r="T31" s="203">
        <v>200</v>
      </c>
      <c r="U31" s="202">
        <v>3500</v>
      </c>
      <c r="V31" s="202">
        <v>-29400</v>
      </c>
      <c r="W31" s="202">
        <v>0</v>
      </c>
      <c r="X31" s="202">
        <v>0</v>
      </c>
    </row>
    <row r="32" spans="2:24" ht="26.4" x14ac:dyDescent="0.7">
      <c r="J32" s="180"/>
      <c r="K32" s="204"/>
      <c r="L32" s="204"/>
      <c r="M32" s="204"/>
      <c r="N32" s="204"/>
      <c r="O32" s="204"/>
      <c r="P32" s="204"/>
      <c r="Q32" s="204"/>
      <c r="R32" s="204"/>
      <c r="S32" s="204"/>
      <c r="T32" s="205"/>
      <c r="U32" s="204"/>
      <c r="V32" s="204"/>
      <c r="W32" s="204"/>
      <c r="X32" s="2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EBE7-108D-4AF3-B6F5-83F4E4D489E1}">
  <sheetPr>
    <tabColor rgb="FF92D050"/>
  </sheetPr>
  <dimension ref="A1:AE14"/>
  <sheetViews>
    <sheetView zoomScale="52" workbookViewId="0">
      <selection activeCell="Q3" sqref="Q3"/>
    </sheetView>
  </sheetViews>
  <sheetFormatPr baseColWidth="10" defaultRowHeight="14.4" x14ac:dyDescent="0.3"/>
  <cols>
    <col min="9" max="9" width="24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11</v>
      </c>
      <c r="D2" s="4" t="s">
        <v>28</v>
      </c>
      <c r="E2" t="s">
        <v>13</v>
      </c>
      <c r="F2">
        <v>1</v>
      </c>
      <c r="G2">
        <v>1</v>
      </c>
      <c r="I2" s="5" t="s">
        <v>14</v>
      </c>
      <c r="J2" s="6" t="s">
        <v>15</v>
      </c>
      <c r="K2" s="6">
        <v>30.776</v>
      </c>
      <c r="L2" s="6">
        <v>33.936999999999998</v>
      </c>
      <c r="M2" s="6">
        <v>32.541000000000004</v>
      </c>
      <c r="N2" s="6">
        <v>34.950000000000003</v>
      </c>
      <c r="O2" s="6">
        <v>36.78</v>
      </c>
      <c r="P2" s="6">
        <v>34.519999999999996</v>
      </c>
      <c r="Q2" s="6">
        <v>37.410000000000004</v>
      </c>
      <c r="R2" s="6">
        <v>37.57</v>
      </c>
      <c r="S2" s="6">
        <v>37.450000000000003</v>
      </c>
      <c r="T2" s="6">
        <v>39.78</v>
      </c>
      <c r="U2" s="6">
        <v>40.980000000000004</v>
      </c>
      <c r="V2" s="6">
        <v>36.500999999999998</v>
      </c>
      <c r="W2" s="6">
        <v>36.999000000000002</v>
      </c>
      <c r="X2" s="6">
        <v>37.936</v>
      </c>
      <c r="Y2" s="6">
        <v>43.03</v>
      </c>
      <c r="Z2" s="6">
        <v>41.44</v>
      </c>
      <c r="AA2" s="6">
        <v>41.44</v>
      </c>
      <c r="AB2" s="6">
        <v>44</v>
      </c>
      <c r="AC2" s="6">
        <v>41.135000000000005</v>
      </c>
      <c r="AD2" s="6">
        <v>38.979999999999997</v>
      </c>
      <c r="AE2" s="6">
        <v>43.394999999999996</v>
      </c>
    </row>
    <row r="3" spans="1:31" ht="26.4" x14ac:dyDescent="0.7">
      <c r="B3" s="3" t="s">
        <v>11</v>
      </c>
      <c r="D3" s="4" t="s">
        <v>28</v>
      </c>
      <c r="E3" t="s">
        <v>13</v>
      </c>
      <c r="F3">
        <v>2</v>
      </c>
      <c r="G3">
        <v>2</v>
      </c>
      <c r="I3" s="5" t="s">
        <v>16</v>
      </c>
      <c r="J3" s="6" t="s">
        <v>15</v>
      </c>
      <c r="K3" s="6">
        <v>31.576999999999998</v>
      </c>
      <c r="L3" s="6">
        <v>33.887999999999998</v>
      </c>
      <c r="M3" s="6">
        <v>32.085000000000001</v>
      </c>
      <c r="N3" s="6">
        <v>35.06</v>
      </c>
      <c r="O3" s="6">
        <v>36.89</v>
      </c>
      <c r="P3" s="6">
        <v>33.18</v>
      </c>
      <c r="Q3" s="6">
        <v>38.549999999999997</v>
      </c>
      <c r="R3" s="6">
        <v>38.760000000000005</v>
      </c>
      <c r="S3" s="6">
        <v>38.660000000000004</v>
      </c>
      <c r="T3" s="6">
        <v>39.950000000000003</v>
      </c>
      <c r="U3" s="6">
        <v>40.989999999999995</v>
      </c>
      <c r="V3" s="6">
        <v>35.516000000000005</v>
      </c>
      <c r="W3" s="6">
        <v>38.093000000000004</v>
      </c>
      <c r="X3" s="6">
        <v>38.113999999999997</v>
      </c>
      <c r="Y3" s="6">
        <v>43.47</v>
      </c>
      <c r="Z3" s="6">
        <v>41.35</v>
      </c>
      <c r="AA3" s="6">
        <v>40.67</v>
      </c>
      <c r="AB3" s="6">
        <v>43.5</v>
      </c>
      <c r="AC3" s="6">
        <v>41.164999999999999</v>
      </c>
      <c r="AD3" s="6">
        <v>37.659999999999997</v>
      </c>
      <c r="AE3" s="6">
        <v>43.155000000000001</v>
      </c>
    </row>
    <row r="4" spans="1:31" ht="26.4" x14ac:dyDescent="0.7">
      <c r="B4" s="3" t="s">
        <v>11</v>
      </c>
      <c r="D4" s="4" t="s">
        <v>28</v>
      </c>
      <c r="E4" t="s">
        <v>13</v>
      </c>
      <c r="F4">
        <v>3</v>
      </c>
      <c r="G4">
        <v>3</v>
      </c>
      <c r="I4" s="5" t="s">
        <v>17</v>
      </c>
      <c r="J4" s="6" t="s">
        <v>15</v>
      </c>
      <c r="K4" s="6">
        <v>32.180999999999997</v>
      </c>
      <c r="L4" s="6">
        <v>34.603999999999999</v>
      </c>
      <c r="M4" s="6">
        <v>32.301000000000002</v>
      </c>
      <c r="N4" s="6">
        <v>35.56</v>
      </c>
      <c r="O4" s="6">
        <v>37.86</v>
      </c>
      <c r="P4" s="6">
        <v>34.33</v>
      </c>
      <c r="Q4" s="6">
        <v>35.9</v>
      </c>
      <c r="R4" s="6">
        <v>39.5</v>
      </c>
      <c r="S4" s="6">
        <v>38.660000000000004</v>
      </c>
      <c r="T4" s="6">
        <v>38.769999999999996</v>
      </c>
      <c r="U4" s="6">
        <v>41.33</v>
      </c>
      <c r="V4" s="6">
        <v>34.364999999999995</v>
      </c>
      <c r="W4" s="6">
        <v>38.58</v>
      </c>
      <c r="X4" s="6">
        <v>38.355000000000004</v>
      </c>
      <c r="Y4" s="6">
        <v>43.48</v>
      </c>
      <c r="Z4" s="6">
        <v>41.24</v>
      </c>
      <c r="AA4" s="6">
        <v>41.18</v>
      </c>
      <c r="AB4" s="6">
        <v>42.8</v>
      </c>
      <c r="AC4" s="6">
        <v>40.129999999999995</v>
      </c>
      <c r="AD4" s="6">
        <v>36.89</v>
      </c>
      <c r="AE4" s="6">
        <v>43.375</v>
      </c>
    </row>
    <row r="5" spans="1:31" ht="26.4" x14ac:dyDescent="0.7">
      <c r="B5" s="3" t="s">
        <v>11</v>
      </c>
      <c r="D5" s="4" t="s">
        <v>28</v>
      </c>
      <c r="E5" t="s">
        <v>13</v>
      </c>
      <c r="F5">
        <v>4</v>
      </c>
      <c r="G5">
        <v>4</v>
      </c>
      <c r="I5" s="5" t="s">
        <v>18</v>
      </c>
      <c r="J5" s="6" t="s">
        <v>15</v>
      </c>
      <c r="K5" s="6">
        <v>31.908999999999999</v>
      </c>
      <c r="L5" s="6">
        <v>34.241</v>
      </c>
      <c r="M5" s="6">
        <v>32.936999999999998</v>
      </c>
      <c r="N5" s="6">
        <v>36.15</v>
      </c>
      <c r="O5" s="6">
        <v>38.03</v>
      </c>
      <c r="P5" s="6">
        <v>35.049999999999997</v>
      </c>
      <c r="Q5" s="6">
        <v>35.869999999999997</v>
      </c>
      <c r="R5" s="6">
        <v>39.6</v>
      </c>
      <c r="S5" s="6">
        <v>38.370999999999995</v>
      </c>
      <c r="T5" s="6">
        <v>38.97</v>
      </c>
      <c r="U5" s="6">
        <v>41.239999999999995</v>
      </c>
      <c r="V5" s="6">
        <v>34.385000000000005</v>
      </c>
      <c r="W5" s="6">
        <v>39.86</v>
      </c>
      <c r="X5" s="6">
        <v>38.510000000000005</v>
      </c>
      <c r="Y5" s="6">
        <v>43.51</v>
      </c>
      <c r="Z5" s="6">
        <v>41.02</v>
      </c>
      <c r="AA5" s="6">
        <v>40.590000000000003</v>
      </c>
      <c r="AB5" s="6">
        <v>42.9</v>
      </c>
      <c r="AC5" s="6">
        <v>39.5</v>
      </c>
      <c r="AD5" s="6">
        <v>37.5</v>
      </c>
      <c r="AE5" s="6">
        <v>42.57</v>
      </c>
    </row>
    <row r="6" spans="1:31" ht="26.4" x14ac:dyDescent="0.7">
      <c r="B6" s="3" t="s">
        <v>11</v>
      </c>
      <c r="D6" s="4" t="s">
        <v>28</v>
      </c>
      <c r="E6" t="s">
        <v>13</v>
      </c>
      <c r="F6">
        <v>5</v>
      </c>
      <c r="G6">
        <v>5</v>
      </c>
      <c r="I6" s="5" t="s">
        <v>19</v>
      </c>
      <c r="J6" s="6" t="s">
        <v>15</v>
      </c>
      <c r="K6" s="6">
        <v>32.076999999999998</v>
      </c>
      <c r="L6" s="6">
        <v>33.683999999999997</v>
      </c>
      <c r="M6" s="6">
        <v>34.299999999999997</v>
      </c>
      <c r="N6" s="6">
        <v>35.269999999999996</v>
      </c>
      <c r="O6" s="6">
        <v>37.239999999999995</v>
      </c>
      <c r="P6" s="6">
        <v>36.29</v>
      </c>
      <c r="Q6" s="6">
        <v>34.380000000000003</v>
      </c>
      <c r="R6" s="6">
        <v>39.18</v>
      </c>
      <c r="S6" s="6">
        <v>37.589999999999996</v>
      </c>
      <c r="T6" s="6">
        <v>39.31</v>
      </c>
      <c r="U6" s="6">
        <v>41.160000000000004</v>
      </c>
      <c r="V6" s="6">
        <v>35.941000000000003</v>
      </c>
      <c r="W6" s="6">
        <v>40.025999999999996</v>
      </c>
      <c r="X6" s="6">
        <v>39.701000000000001</v>
      </c>
      <c r="Y6" s="6">
        <v>42.07</v>
      </c>
      <c r="Z6" s="6">
        <v>40.92</v>
      </c>
      <c r="AA6" s="6">
        <v>41.44</v>
      </c>
      <c r="AB6" s="6">
        <v>43.7</v>
      </c>
      <c r="AC6" s="6">
        <v>38.575000000000003</v>
      </c>
      <c r="AD6" s="6">
        <v>37.33</v>
      </c>
      <c r="AE6" s="6">
        <v>42.875</v>
      </c>
    </row>
    <row r="7" spans="1:31" ht="26.4" x14ac:dyDescent="0.7">
      <c r="B7" s="3" t="s">
        <v>11</v>
      </c>
      <c r="D7" s="4" t="s">
        <v>28</v>
      </c>
      <c r="E7" t="s">
        <v>13</v>
      </c>
      <c r="F7">
        <v>6</v>
      </c>
      <c r="G7">
        <v>6</v>
      </c>
      <c r="I7" s="5" t="s">
        <v>20</v>
      </c>
      <c r="J7" s="6" t="s">
        <v>15</v>
      </c>
      <c r="K7" s="6">
        <v>32.347999999999999</v>
      </c>
      <c r="L7" s="6">
        <v>32.299999999999997</v>
      </c>
      <c r="M7" s="6">
        <v>34.055</v>
      </c>
      <c r="N7" s="6">
        <v>34.6</v>
      </c>
      <c r="O7" s="6">
        <v>36.64</v>
      </c>
      <c r="P7" s="6">
        <v>37.1</v>
      </c>
      <c r="Q7" s="6">
        <v>33.989999999999995</v>
      </c>
      <c r="R7" s="6">
        <v>39.510000000000005</v>
      </c>
      <c r="S7" s="6">
        <v>36.942</v>
      </c>
      <c r="T7" s="6">
        <v>40.010000000000005</v>
      </c>
      <c r="U7" s="6">
        <v>40.78</v>
      </c>
      <c r="V7" s="6">
        <v>36.414999999999999</v>
      </c>
      <c r="W7" s="6">
        <v>39.897000000000006</v>
      </c>
      <c r="X7" s="6">
        <v>40.386000000000003</v>
      </c>
      <c r="Y7" s="6">
        <v>41.62</v>
      </c>
      <c r="Z7" s="6">
        <v>41.39</v>
      </c>
      <c r="AA7" s="6">
        <v>42.25</v>
      </c>
      <c r="AB7" s="6">
        <v>43.6</v>
      </c>
      <c r="AC7" s="6">
        <v>38.524999999999999</v>
      </c>
      <c r="AD7" s="6">
        <v>37.25</v>
      </c>
      <c r="AE7" s="6">
        <v>42.42</v>
      </c>
    </row>
    <row r="8" spans="1:31" ht="26.4" x14ac:dyDescent="0.7">
      <c r="B8" s="3" t="s">
        <v>11</v>
      </c>
      <c r="D8" s="4" t="s">
        <v>28</v>
      </c>
      <c r="E8" t="s">
        <v>13</v>
      </c>
      <c r="F8">
        <v>7</v>
      </c>
      <c r="G8">
        <v>7</v>
      </c>
      <c r="I8" s="5" t="s">
        <v>21</v>
      </c>
      <c r="J8" s="6" t="s">
        <v>15</v>
      </c>
      <c r="K8" s="6">
        <v>32.851999999999997</v>
      </c>
      <c r="L8" s="6">
        <v>31.977999999999998</v>
      </c>
      <c r="M8" s="6">
        <v>34.1</v>
      </c>
      <c r="N8" s="6">
        <v>35.1</v>
      </c>
      <c r="O8" s="6">
        <v>36.18</v>
      </c>
      <c r="P8" s="6">
        <v>37.15</v>
      </c>
      <c r="Q8" s="6">
        <v>36.256999999999998</v>
      </c>
      <c r="R8" s="6">
        <v>39.489999999999995</v>
      </c>
      <c r="S8" s="6">
        <v>36.573</v>
      </c>
      <c r="T8" s="6">
        <v>39.68</v>
      </c>
      <c r="U8" s="6">
        <v>40.730000000000004</v>
      </c>
      <c r="V8" s="6">
        <v>35.998000000000005</v>
      </c>
      <c r="W8" s="6">
        <v>39.277000000000001</v>
      </c>
      <c r="X8" s="6">
        <v>41.292999999999999</v>
      </c>
      <c r="Y8" s="6">
        <v>41.69</v>
      </c>
      <c r="Z8" s="6">
        <v>41.18</v>
      </c>
      <c r="AA8" s="6">
        <v>42.96</v>
      </c>
      <c r="AB8" s="6">
        <v>42.7</v>
      </c>
      <c r="AC8" s="6">
        <v>37.78</v>
      </c>
      <c r="AD8" s="6">
        <v>40.229999999999997</v>
      </c>
      <c r="AE8" s="6">
        <v>43.015000000000001</v>
      </c>
    </row>
    <row r="9" spans="1:31" ht="26.4" x14ac:dyDescent="0.7">
      <c r="B9" s="3" t="s">
        <v>11</v>
      </c>
      <c r="D9" s="4" t="s">
        <v>28</v>
      </c>
      <c r="E9" t="s">
        <v>13</v>
      </c>
      <c r="F9">
        <v>8</v>
      </c>
      <c r="G9">
        <v>8</v>
      </c>
      <c r="I9" s="5" t="s">
        <v>22</v>
      </c>
      <c r="J9" s="6" t="s">
        <v>15</v>
      </c>
      <c r="K9" s="6">
        <v>32.561</v>
      </c>
      <c r="L9" s="6">
        <v>32.65</v>
      </c>
      <c r="M9" s="6">
        <v>34.5</v>
      </c>
      <c r="N9" s="6">
        <v>34.700000000000003</v>
      </c>
      <c r="O9" s="6">
        <v>34.339999999999996</v>
      </c>
      <c r="P9" s="6">
        <v>37.160000000000004</v>
      </c>
      <c r="Q9" s="6">
        <v>37.113999999999997</v>
      </c>
      <c r="R9" s="6">
        <v>40.03</v>
      </c>
      <c r="S9" s="6">
        <v>37.305999999999997</v>
      </c>
      <c r="T9" s="6">
        <v>40.44</v>
      </c>
      <c r="U9" s="6">
        <v>40.15</v>
      </c>
      <c r="V9" s="6">
        <v>36.438000000000002</v>
      </c>
      <c r="W9" s="6">
        <v>39.847999999999999</v>
      </c>
      <c r="X9" s="6">
        <v>42.216000000000001</v>
      </c>
      <c r="Y9" s="6">
        <v>41.35</v>
      </c>
      <c r="Z9" s="6">
        <v>40.71</v>
      </c>
      <c r="AA9" s="6">
        <v>43.99</v>
      </c>
      <c r="AB9" s="6">
        <v>42.6</v>
      </c>
      <c r="AC9" s="6">
        <v>38.19</v>
      </c>
      <c r="AD9" s="6">
        <v>41.3</v>
      </c>
      <c r="AE9" s="6">
        <v>43.694999999999993</v>
      </c>
    </row>
    <row r="10" spans="1:31" ht="26.4" x14ac:dyDescent="0.7">
      <c r="B10" s="3" t="s">
        <v>11</v>
      </c>
      <c r="D10" s="4" t="s">
        <v>28</v>
      </c>
      <c r="E10" t="s">
        <v>13</v>
      </c>
      <c r="F10">
        <v>9</v>
      </c>
      <c r="G10">
        <v>9</v>
      </c>
      <c r="I10" s="5" t="s">
        <v>23</v>
      </c>
      <c r="J10" s="6" t="s">
        <v>15</v>
      </c>
      <c r="K10" s="6">
        <v>32.512999999999998</v>
      </c>
      <c r="L10" s="6">
        <v>32.536999999999999</v>
      </c>
      <c r="M10" s="6">
        <v>34.200000000000003</v>
      </c>
      <c r="N10" s="6">
        <v>35.510000000000005</v>
      </c>
      <c r="O10" s="6">
        <v>33.339999999999996</v>
      </c>
      <c r="P10" s="6">
        <v>37.82</v>
      </c>
      <c r="Q10" s="6">
        <v>37.380000000000003</v>
      </c>
      <c r="R10" s="6">
        <v>39.21</v>
      </c>
      <c r="S10" s="6">
        <v>38.689</v>
      </c>
      <c r="T10" s="6">
        <v>40.450000000000003</v>
      </c>
      <c r="U10" s="6">
        <v>39.049999999999997</v>
      </c>
      <c r="V10" s="6">
        <v>36.962000000000003</v>
      </c>
      <c r="W10" s="6">
        <v>39.951999999999998</v>
      </c>
      <c r="X10" s="6">
        <v>42.381</v>
      </c>
      <c r="Y10" s="6">
        <v>41.62</v>
      </c>
      <c r="Z10" s="6">
        <v>40.409999999999997</v>
      </c>
      <c r="AA10" s="6">
        <v>43.57</v>
      </c>
      <c r="AB10" s="6">
        <v>42.6</v>
      </c>
      <c r="AC10" s="6">
        <v>37.525000000000006</v>
      </c>
      <c r="AD10" s="6">
        <v>40.61</v>
      </c>
      <c r="AE10" s="6">
        <v>44.04</v>
      </c>
    </row>
    <row r="11" spans="1:31" ht="26.4" x14ac:dyDescent="0.7">
      <c r="B11" s="3" t="s">
        <v>11</v>
      </c>
      <c r="D11" s="4" t="s">
        <v>28</v>
      </c>
      <c r="E11" t="s">
        <v>13</v>
      </c>
      <c r="F11">
        <v>10</v>
      </c>
      <c r="G11">
        <v>10</v>
      </c>
      <c r="I11" s="5" t="s">
        <v>24</v>
      </c>
      <c r="J11" s="6" t="s">
        <v>15</v>
      </c>
      <c r="K11" s="6">
        <v>33.191000000000003</v>
      </c>
      <c r="L11" s="6">
        <v>32.048999999999999</v>
      </c>
      <c r="M11" s="6">
        <v>33.9</v>
      </c>
      <c r="N11" s="6">
        <v>36.33</v>
      </c>
      <c r="O11" s="6">
        <v>32.589999999999996</v>
      </c>
      <c r="P11" s="6">
        <v>38.660000000000004</v>
      </c>
      <c r="Q11" s="6">
        <v>39.537999999999997</v>
      </c>
      <c r="R11" s="6">
        <v>39.54</v>
      </c>
      <c r="S11" s="6">
        <v>39.130000000000003</v>
      </c>
      <c r="T11" s="6">
        <v>40.989999999999995</v>
      </c>
      <c r="U11" s="6">
        <v>38.46</v>
      </c>
      <c r="V11" s="6">
        <v>37.410000000000004</v>
      </c>
      <c r="W11" s="6">
        <v>39.355000000000004</v>
      </c>
      <c r="X11" s="6">
        <v>41.801000000000002</v>
      </c>
      <c r="Y11" s="6">
        <v>41.16</v>
      </c>
      <c r="Z11" s="6">
        <v>40.9</v>
      </c>
      <c r="AA11" s="6">
        <v>43.5</v>
      </c>
      <c r="AB11" s="6">
        <v>41.9</v>
      </c>
      <c r="AC11" s="6">
        <v>37.204285714285724</v>
      </c>
      <c r="AD11" s="6">
        <v>40.65</v>
      </c>
      <c r="AE11" s="6">
        <v>43.355000000000004</v>
      </c>
    </row>
    <row r="12" spans="1:31" ht="26.4" x14ac:dyDescent="0.7">
      <c r="B12" s="3" t="s">
        <v>11</v>
      </c>
      <c r="D12" s="4" t="s">
        <v>28</v>
      </c>
      <c r="E12" t="s">
        <v>13</v>
      </c>
      <c r="F12">
        <v>11</v>
      </c>
      <c r="G12">
        <v>11</v>
      </c>
      <c r="I12" s="5" t="s">
        <v>25</v>
      </c>
      <c r="J12" s="6" t="s">
        <v>15</v>
      </c>
      <c r="K12" s="6">
        <v>34.265000000000001</v>
      </c>
      <c r="L12" s="6">
        <v>31.637999999999998</v>
      </c>
      <c r="M12" s="6">
        <v>34.6</v>
      </c>
      <c r="N12" s="6">
        <v>36.86</v>
      </c>
      <c r="O12" s="6">
        <v>31.97</v>
      </c>
      <c r="P12" s="6">
        <v>38.980000000000004</v>
      </c>
      <c r="Q12" s="6">
        <v>38.579000000000001</v>
      </c>
      <c r="R12" s="6">
        <v>39</v>
      </c>
      <c r="S12" s="6">
        <v>38.29</v>
      </c>
      <c r="T12" s="6">
        <v>39.96</v>
      </c>
      <c r="U12" s="6">
        <v>38.07</v>
      </c>
      <c r="V12" s="6">
        <v>36.013999999999996</v>
      </c>
      <c r="W12" s="6">
        <v>38.648000000000003</v>
      </c>
      <c r="X12" s="6">
        <v>41.492000000000004</v>
      </c>
      <c r="Y12" s="6">
        <v>41.25</v>
      </c>
      <c r="Z12" s="6">
        <v>41.07</v>
      </c>
      <c r="AA12" s="6">
        <v>43.67</v>
      </c>
      <c r="AB12" s="6">
        <v>41.3</v>
      </c>
      <c r="AC12" s="6">
        <v>38.489523809523803</v>
      </c>
      <c r="AD12" s="6">
        <v>42.67</v>
      </c>
      <c r="AE12" s="6">
        <v>42.480000000000004</v>
      </c>
    </row>
    <row r="13" spans="1:31" ht="26.4" x14ac:dyDescent="0.7">
      <c r="B13" s="3" t="s">
        <v>11</v>
      </c>
      <c r="D13" s="4" t="s">
        <v>28</v>
      </c>
      <c r="E13" t="s">
        <v>13</v>
      </c>
      <c r="F13">
        <v>12</v>
      </c>
      <c r="G13">
        <v>12</v>
      </c>
      <c r="I13" s="5" t="s">
        <v>26</v>
      </c>
      <c r="J13" s="6" t="s">
        <v>15</v>
      </c>
      <c r="K13" s="6">
        <v>34.660000000000004</v>
      </c>
      <c r="L13" s="6">
        <v>31.873000000000001</v>
      </c>
      <c r="M13" s="6">
        <v>35.521000000000001</v>
      </c>
      <c r="N13" s="6">
        <v>36.589999999999996</v>
      </c>
      <c r="O13" s="6">
        <v>34.42</v>
      </c>
      <c r="P13" s="6">
        <v>38.36</v>
      </c>
      <c r="Q13" s="6">
        <v>37.212000000000003</v>
      </c>
      <c r="R13" s="6">
        <v>38.03</v>
      </c>
      <c r="S13" s="6">
        <v>39.519999999999996</v>
      </c>
      <c r="T13" s="6">
        <v>40.65</v>
      </c>
      <c r="U13" s="6">
        <v>38.29</v>
      </c>
      <c r="V13" s="6">
        <v>36.567999999999998</v>
      </c>
      <c r="W13" s="6">
        <v>37.702999999999996</v>
      </c>
      <c r="X13" s="6">
        <v>41.932000000000002</v>
      </c>
      <c r="Y13" s="6">
        <v>41.37</v>
      </c>
      <c r="Z13" s="6">
        <v>41.37</v>
      </c>
      <c r="AA13" s="6">
        <v>44.16</v>
      </c>
      <c r="AB13" s="6">
        <v>41.1</v>
      </c>
      <c r="AC13" s="6">
        <v>39.509545454545453</v>
      </c>
      <c r="AD13" s="6">
        <v>43.22</v>
      </c>
      <c r="AE13" s="6">
        <v>41.754999999999995</v>
      </c>
    </row>
    <row r="14" spans="1:31" ht="26.4" x14ac:dyDescent="0.7">
      <c r="B14" s="3" t="s">
        <v>11</v>
      </c>
      <c r="D14" s="4" t="s">
        <v>28</v>
      </c>
      <c r="E14" t="s">
        <v>13</v>
      </c>
      <c r="F14">
        <v>13</v>
      </c>
      <c r="G14">
        <v>13</v>
      </c>
      <c r="I14" s="5" t="s">
        <v>27</v>
      </c>
      <c r="J14" s="6" t="s">
        <v>15</v>
      </c>
      <c r="K14" s="6">
        <v>32.575833333333335</v>
      </c>
      <c r="L14" s="6">
        <v>32.948249999999994</v>
      </c>
      <c r="M14" s="6">
        <v>33.75333333333333</v>
      </c>
      <c r="N14" s="6">
        <v>35.556666666666665</v>
      </c>
      <c r="O14" s="6">
        <v>35.523333333333333</v>
      </c>
      <c r="P14" s="6">
        <v>36.549999999999997</v>
      </c>
      <c r="Q14" s="6">
        <v>36.848333333333336</v>
      </c>
      <c r="R14" s="6">
        <v>39.118333333333332</v>
      </c>
      <c r="S14" s="6">
        <v>38.098416666666672</v>
      </c>
      <c r="T14" s="6">
        <v>39.913333333333334</v>
      </c>
      <c r="U14" s="6">
        <v>40.102499999999999</v>
      </c>
      <c r="V14" s="6">
        <v>36.042749999999998</v>
      </c>
      <c r="W14" s="6">
        <v>39.019833333333331</v>
      </c>
      <c r="X14" s="6">
        <v>40.34308333333334</v>
      </c>
      <c r="Y14" s="6">
        <v>42.134999999999998</v>
      </c>
      <c r="Z14" s="6">
        <v>41.057272727272725</v>
      </c>
      <c r="AA14" s="6">
        <v>42.451666666666661</v>
      </c>
      <c r="AB14" s="6">
        <v>42.725000000000001</v>
      </c>
      <c r="AC14" s="6">
        <v>38.977362914862915</v>
      </c>
      <c r="AD14" s="6">
        <v>39.520000000000003</v>
      </c>
      <c r="AE14" s="6">
        <f>AVERAGE(AE2:AE13)</f>
        <v>43.010833333333345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E166-77B1-4ED7-8F34-D26849822970}">
  <sheetPr>
    <tabColor rgb="FF92D050"/>
  </sheetPr>
  <dimension ref="A1:AE14"/>
  <sheetViews>
    <sheetView zoomScale="52" workbookViewId="0">
      <selection activeCell="I8" sqref="I8"/>
    </sheetView>
  </sheetViews>
  <sheetFormatPr baseColWidth="10" defaultRowHeight="14.4" x14ac:dyDescent="0.3"/>
  <cols>
    <col min="10" max="10" width="19.6640625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11</v>
      </c>
      <c r="D2" s="4" t="s">
        <v>29</v>
      </c>
      <c r="E2" s="3" t="s">
        <v>13</v>
      </c>
      <c r="F2">
        <v>1</v>
      </c>
      <c r="G2">
        <v>1</v>
      </c>
      <c r="I2" s="9" t="s">
        <v>14</v>
      </c>
      <c r="J2" s="9" t="s">
        <v>15</v>
      </c>
      <c r="K2" s="6">
        <v>46.917000000000002</v>
      </c>
      <c r="L2" s="6">
        <v>51.725000000000001</v>
      </c>
      <c r="M2" s="6">
        <v>49.626999999999995</v>
      </c>
      <c r="N2" s="6">
        <v>53</v>
      </c>
      <c r="O2" s="6">
        <v>56.08</v>
      </c>
      <c r="P2" s="6">
        <v>53</v>
      </c>
      <c r="Q2" s="6">
        <v>57.04</v>
      </c>
      <c r="R2" s="6">
        <v>59.087000000000003</v>
      </c>
      <c r="S2" s="6">
        <v>57.089999999999996</v>
      </c>
      <c r="T2" s="6">
        <v>60.64</v>
      </c>
      <c r="U2" s="6">
        <v>62.622</v>
      </c>
      <c r="V2" s="6">
        <v>55.646000000000001</v>
      </c>
      <c r="W2" s="6">
        <v>56.403999999999996</v>
      </c>
      <c r="X2" s="6">
        <v>57.833000000000006</v>
      </c>
      <c r="Y2" s="6">
        <v>65.589999999999989</v>
      </c>
      <c r="Z2" s="6">
        <v>63.17</v>
      </c>
      <c r="AA2" s="6">
        <v>63.3</v>
      </c>
      <c r="AB2" s="6">
        <v>67.2</v>
      </c>
      <c r="AC2" s="6">
        <v>62.704999999999998</v>
      </c>
      <c r="AD2" s="6">
        <v>59.4</v>
      </c>
      <c r="AE2" s="6">
        <v>66.210000000000008</v>
      </c>
    </row>
    <row r="3" spans="1:31" ht="26.4" x14ac:dyDescent="0.7">
      <c r="B3" s="3" t="s">
        <v>11</v>
      </c>
      <c r="D3" s="4" t="s">
        <v>29</v>
      </c>
      <c r="E3" s="3" t="s">
        <v>13</v>
      </c>
      <c r="F3">
        <v>2</v>
      </c>
      <c r="G3">
        <v>2</v>
      </c>
      <c r="I3" s="9" t="s">
        <v>16</v>
      </c>
      <c r="J3" s="9" t="s">
        <v>15</v>
      </c>
      <c r="K3" s="6">
        <v>48.137999999999998</v>
      </c>
      <c r="L3" s="6">
        <v>50.082000000000001</v>
      </c>
      <c r="M3" s="6">
        <v>48.914000000000001</v>
      </c>
      <c r="N3" s="6">
        <v>53</v>
      </c>
      <c r="O3" s="6">
        <v>56.239999999999995</v>
      </c>
      <c r="P3" s="6">
        <v>51</v>
      </c>
      <c r="Q3" s="6">
        <v>54.660000000000004</v>
      </c>
      <c r="R3" s="6">
        <v>60.213000000000001</v>
      </c>
      <c r="S3" s="6">
        <v>58.94</v>
      </c>
      <c r="T3" s="6">
        <v>60.9</v>
      </c>
      <c r="U3" s="6">
        <v>62.640999999999998</v>
      </c>
      <c r="V3" s="6">
        <v>54.144000000000005</v>
      </c>
      <c r="W3" s="6">
        <v>58.073</v>
      </c>
      <c r="X3" s="6">
        <v>58.103999999999999</v>
      </c>
      <c r="Y3" s="6">
        <v>66.260000000000005</v>
      </c>
      <c r="Z3" s="6">
        <v>63.04</v>
      </c>
      <c r="AA3" s="6">
        <v>62.2</v>
      </c>
      <c r="AB3" s="6">
        <v>66.5</v>
      </c>
      <c r="AC3" s="6">
        <v>62.745000000000005</v>
      </c>
      <c r="AD3" s="6">
        <v>57.4</v>
      </c>
      <c r="AE3" s="6">
        <v>65.775000000000006</v>
      </c>
    </row>
    <row r="4" spans="1:31" ht="26.4" x14ac:dyDescent="0.7">
      <c r="B4" s="3" t="s">
        <v>11</v>
      </c>
      <c r="D4" s="4" t="s">
        <v>29</v>
      </c>
      <c r="E4" s="3" t="s">
        <v>13</v>
      </c>
      <c r="F4">
        <v>3</v>
      </c>
      <c r="G4">
        <v>3</v>
      </c>
      <c r="I4" s="9" t="s">
        <v>17</v>
      </c>
      <c r="J4" s="9" t="s">
        <v>15</v>
      </c>
      <c r="K4" s="6">
        <v>49.061999999999998</v>
      </c>
      <c r="L4" s="6">
        <v>52.753999999999998</v>
      </c>
      <c r="M4" s="6">
        <v>49.242000000000004</v>
      </c>
      <c r="N4" s="6">
        <v>54</v>
      </c>
      <c r="O4" s="6">
        <v>57.720000000000006</v>
      </c>
      <c r="P4" s="6">
        <v>52</v>
      </c>
      <c r="Q4" s="6">
        <v>54.73</v>
      </c>
      <c r="R4" s="6">
        <v>60.375</v>
      </c>
      <c r="S4" s="6">
        <v>58.989999999999995</v>
      </c>
      <c r="T4" s="6">
        <v>59.1</v>
      </c>
      <c r="U4" s="6">
        <v>63.169000000000004</v>
      </c>
      <c r="V4" s="6">
        <v>52.39</v>
      </c>
      <c r="W4" s="6">
        <v>58.814</v>
      </c>
      <c r="X4" s="6">
        <v>58.472000000000001</v>
      </c>
      <c r="Y4" s="6">
        <v>66.28</v>
      </c>
      <c r="Z4" s="6">
        <v>62.87</v>
      </c>
      <c r="AA4" s="6">
        <v>62.9</v>
      </c>
      <c r="AB4" s="6">
        <v>65.400000000000006</v>
      </c>
      <c r="AC4" s="6">
        <v>61.174999999999997</v>
      </c>
      <c r="AD4" s="6">
        <v>56.2</v>
      </c>
      <c r="AE4" s="6">
        <v>66.08</v>
      </c>
    </row>
    <row r="5" spans="1:31" ht="26.4" x14ac:dyDescent="0.7">
      <c r="B5" s="3" t="s">
        <v>11</v>
      </c>
      <c r="D5" s="4" t="s">
        <v>29</v>
      </c>
      <c r="E5" s="3" t="s">
        <v>13</v>
      </c>
      <c r="F5">
        <v>4</v>
      </c>
      <c r="G5">
        <v>4</v>
      </c>
      <c r="I5" s="9" t="s">
        <v>18</v>
      </c>
      <c r="J5" s="9" t="s">
        <v>15</v>
      </c>
      <c r="K5" s="6">
        <v>48.652999999999999</v>
      </c>
      <c r="L5" s="6">
        <v>52.21</v>
      </c>
      <c r="M5" s="6">
        <v>50.239999999999995</v>
      </c>
      <c r="N5" s="6">
        <v>55</v>
      </c>
      <c r="O5" s="6">
        <v>57.970000000000006</v>
      </c>
      <c r="P5" s="6">
        <v>53</v>
      </c>
      <c r="Q5" s="6">
        <v>54.69</v>
      </c>
      <c r="R5" s="6">
        <v>59.725000000000001</v>
      </c>
      <c r="S5" s="6">
        <v>58.496000000000002</v>
      </c>
      <c r="T5" s="6">
        <v>59.410000000000004</v>
      </c>
      <c r="U5" s="6">
        <v>63.022000000000006</v>
      </c>
      <c r="V5" s="6">
        <v>52.419000000000004</v>
      </c>
      <c r="W5" s="6">
        <v>60.765999999999998</v>
      </c>
      <c r="X5" s="6">
        <v>58.708000000000006</v>
      </c>
      <c r="Y5" s="6">
        <v>66.320000000000007</v>
      </c>
      <c r="Z5" s="6">
        <v>62.53</v>
      </c>
      <c r="AA5" s="6">
        <v>62</v>
      </c>
      <c r="AB5" s="6">
        <v>65.599999999999994</v>
      </c>
      <c r="AC5" s="6">
        <v>60.22</v>
      </c>
      <c r="AD5" s="6">
        <v>57.2</v>
      </c>
      <c r="AE5" s="6">
        <v>64.75</v>
      </c>
    </row>
    <row r="6" spans="1:31" ht="26.4" x14ac:dyDescent="0.7">
      <c r="B6" s="3" t="s">
        <v>11</v>
      </c>
      <c r="D6" s="4" t="s">
        <v>29</v>
      </c>
      <c r="E6" s="3" t="s">
        <v>13</v>
      </c>
      <c r="F6">
        <v>5</v>
      </c>
      <c r="G6">
        <v>5</v>
      </c>
      <c r="I6" s="9" t="s">
        <v>19</v>
      </c>
      <c r="J6" s="9" t="s">
        <v>15</v>
      </c>
      <c r="K6" s="6">
        <v>48.888999999999996</v>
      </c>
      <c r="L6" s="6">
        <v>51.361000000000004</v>
      </c>
      <c r="M6" s="6">
        <v>52</v>
      </c>
      <c r="N6" s="6">
        <v>54</v>
      </c>
      <c r="O6" s="6">
        <v>56.779999999999994</v>
      </c>
      <c r="P6" s="6">
        <v>55</v>
      </c>
      <c r="Q6" s="6">
        <v>52.410000000000004</v>
      </c>
      <c r="R6" s="6">
        <v>60.226999999999997</v>
      </c>
      <c r="S6" s="6">
        <v>57.305999999999997</v>
      </c>
      <c r="T6" s="6">
        <v>59.92</v>
      </c>
      <c r="U6" s="6">
        <v>62.911999999999999</v>
      </c>
      <c r="V6" s="6">
        <v>54.790999999999997</v>
      </c>
      <c r="W6" s="6">
        <v>61.02</v>
      </c>
      <c r="X6" s="6">
        <v>60.524000000000001</v>
      </c>
      <c r="Y6" s="6">
        <v>64.14</v>
      </c>
      <c r="Z6" s="6">
        <v>62.39</v>
      </c>
      <c r="AA6" s="6">
        <v>62.8</v>
      </c>
      <c r="AB6" s="6">
        <v>66.8</v>
      </c>
      <c r="AC6" s="6">
        <v>58.805</v>
      </c>
      <c r="AD6" s="6">
        <v>56.9</v>
      </c>
      <c r="AE6" s="6">
        <v>65.295000000000002</v>
      </c>
    </row>
    <row r="7" spans="1:31" ht="26.4" x14ac:dyDescent="0.7">
      <c r="B7" s="3" t="s">
        <v>11</v>
      </c>
      <c r="D7" s="4" t="s">
        <v>29</v>
      </c>
      <c r="E7" s="3" t="s">
        <v>13</v>
      </c>
      <c r="F7">
        <v>6</v>
      </c>
      <c r="G7">
        <v>6</v>
      </c>
      <c r="I7" s="9" t="s">
        <v>20</v>
      </c>
      <c r="J7" s="9" t="s">
        <v>15</v>
      </c>
      <c r="K7" s="6">
        <v>49.347999999999999</v>
      </c>
      <c r="L7" s="6">
        <v>49.249000000000002</v>
      </c>
      <c r="M7" s="6">
        <v>51.916999999999994</v>
      </c>
      <c r="N7" s="6">
        <v>53</v>
      </c>
      <c r="O7" s="6">
        <v>55.86</v>
      </c>
      <c r="P7" s="6">
        <v>57</v>
      </c>
      <c r="Q7" s="6">
        <v>51.820000000000007</v>
      </c>
      <c r="R7" s="6">
        <v>60.205999999999996</v>
      </c>
      <c r="S7" s="6">
        <v>56.317999999999998</v>
      </c>
      <c r="T7" s="6">
        <v>60.989999999999995</v>
      </c>
      <c r="U7" s="6">
        <v>62.315999999999995</v>
      </c>
      <c r="V7" s="6">
        <v>55.513999999999996</v>
      </c>
      <c r="W7" s="6">
        <v>60.823</v>
      </c>
      <c r="X7" s="6">
        <v>61.567999999999998</v>
      </c>
      <c r="Y7" s="6">
        <v>63.45</v>
      </c>
      <c r="Z7" s="6">
        <v>63.1</v>
      </c>
      <c r="AA7" s="6">
        <v>64.599999999999994</v>
      </c>
      <c r="AB7" s="6">
        <v>66.599999999999994</v>
      </c>
      <c r="AC7" s="6">
        <v>58.730000000000004</v>
      </c>
      <c r="AD7" s="6">
        <v>56.8</v>
      </c>
      <c r="AE7" s="6">
        <v>64.615000000000009</v>
      </c>
    </row>
    <row r="8" spans="1:31" ht="26.4" x14ac:dyDescent="0.7">
      <c r="B8" s="3" t="s">
        <v>11</v>
      </c>
      <c r="D8" s="4" t="s">
        <v>29</v>
      </c>
      <c r="E8" s="3" t="s">
        <v>13</v>
      </c>
      <c r="F8">
        <v>7</v>
      </c>
      <c r="G8">
        <v>7</v>
      </c>
      <c r="I8" s="9" t="s">
        <v>21</v>
      </c>
      <c r="J8" s="9" t="s">
        <v>15</v>
      </c>
      <c r="K8" s="6">
        <v>50.082000000000001</v>
      </c>
      <c r="L8" s="6">
        <v>60.204999999999998</v>
      </c>
      <c r="M8" s="6">
        <v>51.94</v>
      </c>
      <c r="N8" s="6">
        <v>54</v>
      </c>
      <c r="O8" s="6">
        <v>55.160000000000004</v>
      </c>
      <c r="P8" s="6">
        <v>57</v>
      </c>
      <c r="Q8" s="6">
        <v>55.274000000000001</v>
      </c>
      <c r="R8" s="6">
        <v>61.030999999999992</v>
      </c>
      <c r="S8" s="6">
        <v>55.754999999999995</v>
      </c>
      <c r="T8" s="6">
        <v>60.489999999999995</v>
      </c>
      <c r="U8" s="6">
        <v>62.253999999999998</v>
      </c>
      <c r="V8" s="6">
        <v>54.878999999999998</v>
      </c>
      <c r="W8" s="6">
        <v>59.876999999999995</v>
      </c>
      <c r="X8" s="6">
        <v>52.951000000000001</v>
      </c>
      <c r="Y8" s="6">
        <v>63.56</v>
      </c>
      <c r="Z8" s="6">
        <v>62.78</v>
      </c>
      <c r="AA8" s="6">
        <v>66.5</v>
      </c>
      <c r="AB8" s="6">
        <v>65.2</v>
      </c>
      <c r="AC8" s="6">
        <v>57.584999999999994</v>
      </c>
      <c r="AD8" s="6">
        <v>61.3</v>
      </c>
      <c r="AE8" s="6">
        <v>65.484999999999999</v>
      </c>
    </row>
    <row r="9" spans="1:31" ht="26.4" x14ac:dyDescent="0.7">
      <c r="B9" s="3" t="s">
        <v>11</v>
      </c>
      <c r="D9" s="4" t="s">
        <v>29</v>
      </c>
      <c r="E9" s="3" t="s">
        <v>13</v>
      </c>
      <c r="F9">
        <v>8</v>
      </c>
      <c r="G9">
        <v>8</v>
      </c>
      <c r="I9" s="9" t="s">
        <v>22</v>
      </c>
      <c r="J9" s="9" t="s">
        <v>15</v>
      </c>
      <c r="K9" s="6">
        <v>49.637999999999998</v>
      </c>
      <c r="L9" s="6">
        <v>49.774999999999999</v>
      </c>
      <c r="M9" s="6">
        <v>52.475999999999999</v>
      </c>
      <c r="N9" s="6">
        <v>53</v>
      </c>
      <c r="O9" s="6">
        <v>52.35</v>
      </c>
      <c r="P9" s="6">
        <v>57</v>
      </c>
      <c r="Q9" s="6">
        <v>56.578999999999994</v>
      </c>
      <c r="R9" s="6">
        <v>59.771000000000001</v>
      </c>
      <c r="S9" s="6">
        <v>56.872</v>
      </c>
      <c r="T9" s="6">
        <v>61.65</v>
      </c>
      <c r="U9" s="6">
        <v>61.358000000000004</v>
      </c>
      <c r="V9" s="6">
        <v>55.55</v>
      </c>
      <c r="W9" s="6">
        <v>60.748000000000005</v>
      </c>
      <c r="X9" s="6">
        <v>64.358000000000004</v>
      </c>
      <c r="Y9" s="6">
        <v>63.04</v>
      </c>
      <c r="Z9" s="6">
        <v>62.07</v>
      </c>
      <c r="AA9" s="6">
        <v>66.7</v>
      </c>
      <c r="AB9" s="6">
        <v>65.099999999999994</v>
      </c>
      <c r="AC9" s="6">
        <v>58.22</v>
      </c>
      <c r="AD9" s="6">
        <v>63</v>
      </c>
      <c r="AE9" s="6">
        <v>66.14</v>
      </c>
    </row>
    <row r="10" spans="1:31" ht="26.4" x14ac:dyDescent="0.7">
      <c r="B10" s="3" t="s">
        <v>11</v>
      </c>
      <c r="D10" s="4" t="s">
        <v>29</v>
      </c>
      <c r="E10" s="3" t="s">
        <v>13</v>
      </c>
      <c r="F10">
        <v>9</v>
      </c>
      <c r="G10">
        <v>9</v>
      </c>
      <c r="I10" s="9" t="s">
        <v>23</v>
      </c>
      <c r="J10" s="9" t="s">
        <v>15</v>
      </c>
      <c r="K10" s="6">
        <v>49.567</v>
      </c>
      <c r="L10" s="6">
        <v>49.601999999999997</v>
      </c>
      <c r="M10" s="6">
        <v>52.154999999999994</v>
      </c>
      <c r="N10" s="6">
        <v>54</v>
      </c>
      <c r="O10" s="6">
        <v>50.83</v>
      </c>
      <c r="P10" s="6">
        <v>58</v>
      </c>
      <c r="Q10" s="6">
        <v>56.991999999999997</v>
      </c>
      <c r="R10" s="6">
        <v>57.274999999999999</v>
      </c>
      <c r="S10" s="6">
        <v>58.98</v>
      </c>
      <c r="T10" s="6">
        <v>61.660000000000004</v>
      </c>
      <c r="U10" s="6">
        <v>59.672000000000004</v>
      </c>
      <c r="V10" s="6">
        <v>56.349000000000004</v>
      </c>
      <c r="W10" s="6">
        <v>60.905999999999992</v>
      </c>
      <c r="X10" s="6">
        <v>64.609000000000009</v>
      </c>
      <c r="Y10" s="6">
        <v>63.45</v>
      </c>
      <c r="Z10" s="6">
        <v>61.6</v>
      </c>
      <c r="AA10" s="6">
        <v>67.5</v>
      </c>
      <c r="AB10" s="6">
        <v>65</v>
      </c>
      <c r="AC10" s="6">
        <v>57.204999999999998</v>
      </c>
      <c r="AD10" s="6">
        <v>61.9</v>
      </c>
      <c r="AE10" s="6">
        <v>67.10499999999999</v>
      </c>
    </row>
    <row r="11" spans="1:31" ht="26.4" x14ac:dyDescent="0.7">
      <c r="B11" s="3" t="s">
        <v>11</v>
      </c>
      <c r="D11" s="4" t="s">
        <v>29</v>
      </c>
      <c r="E11" s="3" t="s">
        <v>13</v>
      </c>
      <c r="F11">
        <v>10</v>
      </c>
      <c r="G11">
        <v>10</v>
      </c>
      <c r="I11" s="9" t="s">
        <v>24</v>
      </c>
      <c r="J11" s="9" t="s">
        <v>15</v>
      </c>
      <c r="K11" s="6">
        <v>50.597999999999999</v>
      </c>
      <c r="L11" s="6">
        <v>46.558999999999997</v>
      </c>
      <c r="M11" s="6">
        <v>51.67</v>
      </c>
      <c r="N11" s="6">
        <v>55</v>
      </c>
      <c r="O11" s="6">
        <v>49.69</v>
      </c>
      <c r="P11" s="6">
        <v>59</v>
      </c>
      <c r="Q11" s="6">
        <v>60.275999999999996</v>
      </c>
      <c r="R11" s="6">
        <v>60.280999999999992</v>
      </c>
      <c r="S11" s="6">
        <v>59.660000000000004</v>
      </c>
      <c r="T11" s="6">
        <v>62.489999999999995</v>
      </c>
      <c r="U11" s="6">
        <v>58.512</v>
      </c>
      <c r="V11" s="6">
        <v>57.032000000000004</v>
      </c>
      <c r="W11" s="6">
        <v>59.996000000000002</v>
      </c>
      <c r="X11" s="6">
        <v>63.725999999999999</v>
      </c>
      <c r="Y11" s="6">
        <v>62.75</v>
      </c>
      <c r="Z11" s="6">
        <v>62.35</v>
      </c>
      <c r="AA11" s="6">
        <v>66.5</v>
      </c>
      <c r="AB11" s="6">
        <v>64</v>
      </c>
      <c r="AC11" s="6">
        <v>56.719047619047629</v>
      </c>
      <c r="AD11" s="6">
        <v>62</v>
      </c>
      <c r="AE11" s="6">
        <v>66.23</v>
      </c>
    </row>
    <row r="12" spans="1:31" ht="26.4" x14ac:dyDescent="0.7">
      <c r="B12" s="3" t="s">
        <v>11</v>
      </c>
      <c r="D12" s="4" t="s">
        <v>29</v>
      </c>
      <c r="E12" s="3" t="s">
        <v>13</v>
      </c>
      <c r="F12">
        <v>11</v>
      </c>
      <c r="G12">
        <v>11</v>
      </c>
      <c r="I12" s="9" t="s">
        <v>25</v>
      </c>
      <c r="J12" s="9" t="s">
        <v>15</v>
      </c>
      <c r="K12" s="6">
        <v>52.246000000000002</v>
      </c>
      <c r="L12" s="6">
        <v>48.238999999999997</v>
      </c>
      <c r="M12" s="6">
        <v>52.69</v>
      </c>
      <c r="N12" s="6">
        <v>56</v>
      </c>
      <c r="O12" s="6">
        <v>48.739999999999995</v>
      </c>
      <c r="P12" s="6">
        <v>59</v>
      </c>
      <c r="Q12" s="6">
        <v>58.813000000000002</v>
      </c>
      <c r="R12" s="6">
        <v>59.45</v>
      </c>
      <c r="S12" s="6">
        <v>58.379999999999995</v>
      </c>
      <c r="T12" s="6">
        <v>60.92</v>
      </c>
      <c r="U12" s="6">
        <v>58.188000000000002</v>
      </c>
      <c r="V12" s="6">
        <v>54.903999999999996</v>
      </c>
      <c r="W12" s="6">
        <v>58.919000000000004</v>
      </c>
      <c r="X12" s="6">
        <v>63.254999999999995</v>
      </c>
      <c r="Y12" s="6">
        <v>62.88</v>
      </c>
      <c r="Z12" s="6">
        <v>62.61</v>
      </c>
      <c r="AA12" s="6">
        <v>66.7</v>
      </c>
      <c r="AB12" s="6">
        <v>63.1</v>
      </c>
      <c r="AC12" s="6">
        <v>58.675714285714299</v>
      </c>
      <c r="AD12" s="6">
        <v>65.099999999999994</v>
      </c>
      <c r="AE12" s="6">
        <v>64.889999999999986</v>
      </c>
    </row>
    <row r="13" spans="1:31" ht="26.4" x14ac:dyDescent="0.7">
      <c r="B13" s="3" t="s">
        <v>11</v>
      </c>
      <c r="D13" s="4" t="s">
        <v>29</v>
      </c>
      <c r="E13" s="3" t="s">
        <v>13</v>
      </c>
      <c r="F13">
        <v>12</v>
      </c>
      <c r="G13">
        <v>12</v>
      </c>
      <c r="I13" s="9" t="s">
        <v>26</v>
      </c>
      <c r="J13" s="9" t="s">
        <v>15</v>
      </c>
      <c r="K13" s="6">
        <v>52.845000000000006</v>
      </c>
      <c r="L13" s="6">
        <v>48.558999999999997</v>
      </c>
      <c r="M13" s="6">
        <v>54.150999999999996</v>
      </c>
      <c r="N13" s="6">
        <v>56</v>
      </c>
      <c r="O13" s="6">
        <v>52.48</v>
      </c>
      <c r="P13" s="6">
        <v>58</v>
      </c>
      <c r="Q13" s="6">
        <v>56.73</v>
      </c>
      <c r="R13" s="6">
        <v>57.983000000000004</v>
      </c>
      <c r="S13" s="6">
        <v>60.25</v>
      </c>
      <c r="T13" s="6">
        <v>61.96</v>
      </c>
      <c r="U13" s="6">
        <v>58.524000000000001</v>
      </c>
      <c r="V13" s="6">
        <v>55.747</v>
      </c>
      <c r="W13" s="6">
        <v>57.477999999999994</v>
      </c>
      <c r="X13" s="6">
        <v>63.924999999999997</v>
      </c>
      <c r="Y13" s="6">
        <v>63.07</v>
      </c>
      <c r="Z13" s="6">
        <v>63.07</v>
      </c>
      <c r="AA13" s="6">
        <v>67.5</v>
      </c>
      <c r="AB13" s="6">
        <v>62.6</v>
      </c>
      <c r="AC13" s="6">
        <v>60.23</v>
      </c>
      <c r="AD13" s="6">
        <v>65.7</v>
      </c>
      <c r="AE13" s="6">
        <v>63.8</v>
      </c>
    </row>
    <row r="14" spans="1:31" ht="26.4" x14ac:dyDescent="0.7">
      <c r="B14" s="3" t="s">
        <v>11</v>
      </c>
      <c r="D14" s="4" t="s">
        <v>29</v>
      </c>
      <c r="E14" s="3" t="s">
        <v>13</v>
      </c>
      <c r="F14">
        <v>13</v>
      </c>
      <c r="G14">
        <v>13</v>
      </c>
      <c r="I14" s="9" t="s">
        <v>27</v>
      </c>
      <c r="J14" s="9" t="s">
        <v>15</v>
      </c>
      <c r="K14" s="6">
        <v>49.66525</v>
      </c>
      <c r="L14" s="6">
        <v>50.860000000000014</v>
      </c>
      <c r="M14" s="6">
        <v>51.418500000000009</v>
      </c>
      <c r="N14" s="6">
        <v>54.166666666666664</v>
      </c>
      <c r="O14" s="6">
        <v>54.158333333333324</v>
      </c>
      <c r="P14" s="6">
        <v>55.75</v>
      </c>
      <c r="Q14" s="6">
        <v>55.834499999999998</v>
      </c>
      <c r="R14" s="6">
        <v>59.635333333333335</v>
      </c>
      <c r="S14" s="6">
        <v>58.086416666666658</v>
      </c>
      <c r="T14" s="6">
        <v>60.844166666666666</v>
      </c>
      <c r="U14" s="6">
        <v>61.26583333333334</v>
      </c>
      <c r="V14" s="6">
        <v>54.947083333333332</v>
      </c>
      <c r="W14" s="6">
        <v>59.485333333333323</v>
      </c>
      <c r="X14" s="6">
        <v>60.66941666666667</v>
      </c>
      <c r="Y14" s="6">
        <v>64.232500000000002</v>
      </c>
      <c r="Z14" s="6">
        <v>62.582727272727283</v>
      </c>
      <c r="AA14" s="6">
        <v>65.081818181818193</v>
      </c>
      <c r="AB14" s="6">
        <v>65.25833333333334</v>
      </c>
      <c r="AC14" s="6">
        <v>59.417896825396831</v>
      </c>
      <c r="AD14" s="6">
        <v>60.2</v>
      </c>
      <c r="AE14" s="6">
        <f>AVERAGE(AE2:AE13)</f>
        <v>65.53125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79B-7558-4329-845D-012C144B3E13}">
  <sheetPr>
    <tabColor rgb="FF92D050"/>
  </sheetPr>
  <dimension ref="A1:AE14"/>
  <sheetViews>
    <sheetView zoomScale="76" workbookViewId="0">
      <selection activeCell="M7" sqref="M7"/>
    </sheetView>
  </sheetViews>
  <sheetFormatPr baseColWidth="10" defaultRowHeight="14.4" x14ac:dyDescent="0.3"/>
  <cols>
    <col min="9" max="9" width="23.109375" customWidth="1"/>
    <col min="10" max="10" width="19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B2" s="3" t="s">
        <v>11</v>
      </c>
      <c r="D2" t="s">
        <v>30</v>
      </c>
      <c r="E2" t="s">
        <v>13</v>
      </c>
      <c r="F2">
        <v>1</v>
      </c>
      <c r="G2">
        <v>1</v>
      </c>
      <c r="I2" s="10" t="s">
        <v>14</v>
      </c>
      <c r="J2" s="9" t="s">
        <v>15</v>
      </c>
      <c r="K2" s="11">
        <v>248.78100000000001</v>
      </c>
      <c r="L2" s="11">
        <v>250.01699999999997</v>
      </c>
      <c r="M2" s="11">
        <v>232.61099999999999</v>
      </c>
      <c r="N2" s="11">
        <v>223</v>
      </c>
      <c r="O2" s="11">
        <v>231.66000000000003</v>
      </c>
      <c r="P2" s="11">
        <v>287</v>
      </c>
      <c r="Q2" s="11">
        <v>286.43</v>
      </c>
      <c r="R2" s="11">
        <v>343.82</v>
      </c>
      <c r="S2" s="11">
        <v>376.83</v>
      </c>
      <c r="T2" s="11">
        <v>338.59</v>
      </c>
      <c r="U2" s="11">
        <v>290</v>
      </c>
      <c r="V2" s="11">
        <v>264.983</v>
      </c>
      <c r="W2" s="11">
        <v>288.59299999999996</v>
      </c>
      <c r="X2" s="11">
        <v>310</v>
      </c>
      <c r="Y2" s="11">
        <v>318.41000000000003</v>
      </c>
      <c r="Z2" s="11">
        <v>333.34999999999997</v>
      </c>
      <c r="AA2" s="11">
        <v>340</v>
      </c>
      <c r="AB2" s="11">
        <v>349.3</v>
      </c>
      <c r="AC2" s="11">
        <v>315.91499999999996</v>
      </c>
      <c r="AD2" s="11">
        <v>277.3</v>
      </c>
      <c r="AE2" s="11">
        <v>272.35000000000002</v>
      </c>
    </row>
    <row r="3" spans="1:31" ht="26.4" x14ac:dyDescent="0.7">
      <c r="B3" s="3" t="s">
        <v>11</v>
      </c>
      <c r="D3" t="s">
        <v>30</v>
      </c>
      <c r="E3" t="s">
        <v>13</v>
      </c>
      <c r="F3">
        <v>2</v>
      </c>
      <c r="G3">
        <v>2</v>
      </c>
      <c r="I3" s="10" t="s">
        <v>16</v>
      </c>
      <c r="J3" s="9" t="s">
        <v>15</v>
      </c>
      <c r="K3" s="11">
        <v>261.01600000000002</v>
      </c>
      <c r="L3" s="11">
        <v>248.25300000000001</v>
      </c>
      <c r="M3" s="11">
        <v>228.017</v>
      </c>
      <c r="N3" s="11">
        <v>222.00000000000003</v>
      </c>
      <c r="O3" s="11">
        <v>236.87</v>
      </c>
      <c r="P3" s="11">
        <v>283</v>
      </c>
      <c r="Q3" s="11">
        <v>289.93</v>
      </c>
      <c r="R3" s="11">
        <v>346.01000000000005</v>
      </c>
      <c r="S3" s="11">
        <v>373.88</v>
      </c>
      <c r="T3" s="11">
        <v>321</v>
      </c>
      <c r="U3" s="11">
        <v>290</v>
      </c>
      <c r="V3" s="11">
        <v>263.38300000000004</v>
      </c>
      <c r="W3" s="11">
        <v>298.435</v>
      </c>
      <c r="X3" s="11">
        <v>320</v>
      </c>
      <c r="Y3" s="11">
        <v>325.54000000000002</v>
      </c>
      <c r="Z3" s="11">
        <v>330.07</v>
      </c>
      <c r="AA3" s="11">
        <v>340</v>
      </c>
      <c r="AB3" s="11">
        <v>342.2</v>
      </c>
      <c r="AC3" s="11">
        <v>315.44</v>
      </c>
      <c r="AD3" s="11">
        <v>264.5</v>
      </c>
      <c r="AE3" s="11">
        <v>267.685</v>
      </c>
    </row>
    <row r="4" spans="1:31" ht="26.4" x14ac:dyDescent="0.7">
      <c r="B4" s="3" t="s">
        <v>11</v>
      </c>
      <c r="D4" t="s">
        <v>30</v>
      </c>
      <c r="E4" t="s">
        <v>13</v>
      </c>
      <c r="F4">
        <v>3</v>
      </c>
      <c r="G4">
        <v>3</v>
      </c>
      <c r="I4" s="10" t="s">
        <v>17</v>
      </c>
      <c r="J4" s="9" t="s">
        <v>15</v>
      </c>
      <c r="K4" s="11">
        <v>244.58199999999999</v>
      </c>
      <c r="L4" s="11">
        <v>249.08100000000002</v>
      </c>
      <c r="M4" s="11">
        <v>224.56900000000002</v>
      </c>
      <c r="N4" s="11">
        <v>229</v>
      </c>
      <c r="O4" s="11">
        <v>241.66</v>
      </c>
      <c r="P4" s="11">
        <v>269</v>
      </c>
      <c r="Q4" s="11">
        <v>292.03999999999996</v>
      </c>
      <c r="R4" s="11">
        <v>330.24700000000001</v>
      </c>
      <c r="S4" s="11">
        <v>355.92999999999995</v>
      </c>
      <c r="T4" s="11">
        <v>315.84000000000003</v>
      </c>
      <c r="U4" s="11">
        <v>290</v>
      </c>
      <c r="V4" s="11">
        <v>263.06799999999998</v>
      </c>
      <c r="W4" s="11">
        <v>307.99199999999996</v>
      </c>
      <c r="X4" s="11">
        <v>320</v>
      </c>
      <c r="Y4" s="11">
        <v>332.14</v>
      </c>
      <c r="Z4" s="11">
        <v>327.72</v>
      </c>
      <c r="AA4" s="11">
        <v>350</v>
      </c>
      <c r="AB4" s="11">
        <v>331.7</v>
      </c>
      <c r="AC4" s="11">
        <v>307.40499999999997</v>
      </c>
      <c r="AD4" s="11">
        <v>257.60000000000002</v>
      </c>
      <c r="AE4" s="11">
        <v>266.43</v>
      </c>
    </row>
    <row r="5" spans="1:31" ht="26.4" x14ac:dyDescent="0.7">
      <c r="B5" s="3" t="s">
        <v>11</v>
      </c>
      <c r="D5" t="s">
        <v>30</v>
      </c>
      <c r="E5" t="s">
        <v>13</v>
      </c>
      <c r="F5">
        <v>4</v>
      </c>
      <c r="G5">
        <v>4</v>
      </c>
      <c r="I5" s="10" t="s">
        <v>18</v>
      </c>
      <c r="J5" s="9" t="s">
        <v>15</v>
      </c>
      <c r="K5" s="11">
        <v>248.11799999999997</v>
      </c>
      <c r="L5" s="11">
        <v>248.28</v>
      </c>
      <c r="M5" s="11">
        <v>229.47700000000003</v>
      </c>
      <c r="N5" s="11">
        <v>225</v>
      </c>
      <c r="O5" s="11">
        <v>235.84</v>
      </c>
      <c r="P5" s="11">
        <v>269</v>
      </c>
      <c r="Q5" s="11">
        <v>285.83999999999997</v>
      </c>
      <c r="R5" s="11">
        <v>336.20800000000003</v>
      </c>
      <c r="S5" s="11">
        <v>344.464</v>
      </c>
      <c r="T5" s="11">
        <v>307.18999999999994</v>
      </c>
      <c r="U5" s="11">
        <v>290</v>
      </c>
      <c r="V5" s="11">
        <v>266.73200000000003</v>
      </c>
      <c r="W5" s="11">
        <v>320.56300000000005</v>
      </c>
      <c r="X5" s="11">
        <v>329.99999999999994</v>
      </c>
      <c r="Y5" s="11">
        <v>329.31</v>
      </c>
      <c r="Z5" s="11">
        <v>327.08</v>
      </c>
      <c r="AA5" s="11">
        <v>350</v>
      </c>
      <c r="AB5" s="11">
        <v>329.7</v>
      </c>
      <c r="AC5" s="11">
        <v>289.185</v>
      </c>
      <c r="AD5" s="11">
        <v>256.89999999999998</v>
      </c>
      <c r="AE5" s="11">
        <v>258.08500000000004</v>
      </c>
    </row>
    <row r="6" spans="1:31" ht="26.4" x14ac:dyDescent="0.7">
      <c r="B6" s="3" t="s">
        <v>11</v>
      </c>
      <c r="D6" t="s">
        <v>30</v>
      </c>
      <c r="E6" t="s">
        <v>13</v>
      </c>
      <c r="F6">
        <v>5</v>
      </c>
      <c r="G6">
        <v>5</v>
      </c>
      <c r="I6" s="10" t="s">
        <v>19</v>
      </c>
      <c r="J6" s="9" t="s">
        <v>15</v>
      </c>
      <c r="K6" s="11">
        <v>238.77800000000002</v>
      </c>
      <c r="L6" s="11">
        <v>248.83600000000001</v>
      </c>
      <c r="M6" s="11">
        <v>240.34900000000002</v>
      </c>
      <c r="N6" s="11">
        <v>216</v>
      </c>
      <c r="O6" s="11">
        <v>229.35</v>
      </c>
      <c r="P6" s="11">
        <v>276</v>
      </c>
      <c r="Q6" s="11">
        <v>294.77999999999997</v>
      </c>
      <c r="R6" s="11">
        <v>341.06800000000004</v>
      </c>
      <c r="S6" s="11">
        <v>367.56600000000003</v>
      </c>
      <c r="T6" s="11">
        <v>300.59000000000003</v>
      </c>
      <c r="U6" s="11">
        <v>290</v>
      </c>
      <c r="V6" s="11">
        <v>266.495</v>
      </c>
      <c r="W6" s="11">
        <v>324.81799999999998</v>
      </c>
      <c r="X6" s="11">
        <v>320</v>
      </c>
      <c r="Y6" s="11">
        <v>324.13</v>
      </c>
      <c r="Z6" s="11">
        <v>332.45000000000005</v>
      </c>
      <c r="AA6" s="11">
        <v>340</v>
      </c>
      <c r="AB6" s="11">
        <v>330.8</v>
      </c>
      <c r="AC6" s="11">
        <v>283.315</v>
      </c>
      <c r="AD6" s="11">
        <v>250.9</v>
      </c>
      <c r="AE6" s="11">
        <v>254.56</v>
      </c>
    </row>
    <row r="7" spans="1:31" ht="26.4" x14ac:dyDescent="0.7">
      <c r="B7" s="3" t="s">
        <v>11</v>
      </c>
      <c r="D7" t="s">
        <v>30</v>
      </c>
      <c r="E7" t="s">
        <v>13</v>
      </c>
      <c r="F7">
        <v>6</v>
      </c>
      <c r="G7">
        <v>6</v>
      </c>
      <c r="I7" s="10" t="s">
        <v>20</v>
      </c>
      <c r="J7" s="9" t="s">
        <v>15</v>
      </c>
      <c r="K7" s="11">
        <v>247.57600000000002</v>
      </c>
      <c r="L7" s="11">
        <v>242.64500000000001</v>
      </c>
      <c r="M7" s="11">
        <v>225.71500000000003</v>
      </c>
      <c r="N7" s="11">
        <v>211</v>
      </c>
      <c r="O7" s="11">
        <v>220.71999999999997</v>
      </c>
      <c r="P7" s="11">
        <v>274</v>
      </c>
      <c r="Q7" s="11">
        <v>305.65000000000003</v>
      </c>
      <c r="R7" s="11">
        <v>347.46700000000004</v>
      </c>
      <c r="S7" s="11">
        <v>371.89600000000002</v>
      </c>
      <c r="T7" s="11">
        <v>311.01</v>
      </c>
      <c r="U7" s="11">
        <v>290</v>
      </c>
      <c r="V7" s="11">
        <v>262.351</v>
      </c>
      <c r="W7" s="11">
        <v>335.21600000000001</v>
      </c>
      <c r="X7" s="11">
        <v>320</v>
      </c>
      <c r="Y7" s="11">
        <v>323.95</v>
      </c>
      <c r="Z7" s="11">
        <v>339.13</v>
      </c>
      <c r="AA7" s="11">
        <v>350</v>
      </c>
      <c r="AB7" s="11">
        <v>328.9</v>
      </c>
      <c r="AC7" s="11">
        <v>272.62</v>
      </c>
      <c r="AD7" s="11">
        <v>244.6</v>
      </c>
      <c r="AE7" s="11">
        <v>249.655</v>
      </c>
    </row>
    <row r="8" spans="1:31" ht="26.4" x14ac:dyDescent="0.7">
      <c r="B8" s="3" t="s">
        <v>11</v>
      </c>
      <c r="D8" t="s">
        <v>30</v>
      </c>
      <c r="E8" t="s">
        <v>13</v>
      </c>
      <c r="F8">
        <v>7</v>
      </c>
      <c r="G8">
        <v>7</v>
      </c>
      <c r="I8" s="10" t="s">
        <v>21</v>
      </c>
      <c r="J8" s="9" t="s">
        <v>15</v>
      </c>
      <c r="K8" s="11">
        <v>244.85799999999998</v>
      </c>
      <c r="L8" s="11">
        <v>237.154</v>
      </c>
      <c r="M8" s="11">
        <v>231.80900000000003</v>
      </c>
      <c r="N8" s="11">
        <v>210.56900000000002</v>
      </c>
      <c r="O8" s="11">
        <v>215.11999999999998</v>
      </c>
      <c r="P8" s="11">
        <v>279</v>
      </c>
      <c r="Q8" s="11">
        <v>324.91400000000004</v>
      </c>
      <c r="R8" s="11">
        <v>362.93700000000001</v>
      </c>
      <c r="S8" s="11">
        <v>376.13099999999997</v>
      </c>
      <c r="T8" s="11">
        <v>304.59999999999997</v>
      </c>
      <c r="U8" s="11">
        <v>300</v>
      </c>
      <c r="V8" s="11">
        <v>265.20500000000004</v>
      </c>
      <c r="W8" s="11">
        <v>339.39299999999997</v>
      </c>
      <c r="X8" s="11">
        <v>320</v>
      </c>
      <c r="Y8" s="11">
        <v>320.40000000000003</v>
      </c>
      <c r="Z8" s="11">
        <v>339.14</v>
      </c>
      <c r="AA8" s="11">
        <v>350</v>
      </c>
      <c r="AB8" s="11">
        <v>328</v>
      </c>
      <c r="AC8" s="11">
        <v>270.73</v>
      </c>
      <c r="AD8" s="11">
        <v>257.89999999999998</v>
      </c>
      <c r="AE8" s="11">
        <v>251.32499999999999</v>
      </c>
    </row>
    <row r="9" spans="1:31" ht="26.4" x14ac:dyDescent="0.7">
      <c r="B9" s="3" t="s">
        <v>11</v>
      </c>
      <c r="D9" t="s">
        <v>30</v>
      </c>
      <c r="E9" t="s">
        <v>13</v>
      </c>
      <c r="F9">
        <v>8</v>
      </c>
      <c r="G9">
        <v>8</v>
      </c>
      <c r="I9" s="10" t="s">
        <v>22</v>
      </c>
      <c r="J9" s="9" t="s">
        <v>15</v>
      </c>
      <c r="K9" s="11">
        <v>242.06099999999998</v>
      </c>
      <c r="L9" s="11">
        <v>242.79400000000001</v>
      </c>
      <c r="M9" s="11">
        <v>232.35000000000002</v>
      </c>
      <c r="N9" s="11">
        <v>218.54599999999999</v>
      </c>
      <c r="O9" s="11">
        <v>209.24999999999997</v>
      </c>
      <c r="P9" s="11">
        <v>275</v>
      </c>
      <c r="Q9" s="11">
        <v>335.36100000000005</v>
      </c>
      <c r="R9" s="11">
        <v>369.23699999999997</v>
      </c>
      <c r="S9" s="11">
        <v>383.07299999999998</v>
      </c>
      <c r="T9" s="11">
        <v>310.31</v>
      </c>
      <c r="U9" s="11">
        <v>290</v>
      </c>
      <c r="V9" s="11">
        <v>265.73700000000002</v>
      </c>
      <c r="W9" s="11">
        <v>351.101</v>
      </c>
      <c r="X9" s="11">
        <v>320</v>
      </c>
      <c r="Y9" s="11">
        <v>322</v>
      </c>
      <c r="Z9" s="11">
        <v>343.8</v>
      </c>
      <c r="AA9" s="11">
        <v>354</v>
      </c>
      <c r="AB9" s="11">
        <v>330</v>
      </c>
      <c r="AC9" s="11">
        <v>279.03999999999996</v>
      </c>
      <c r="AD9" s="11">
        <v>261.39999999999998</v>
      </c>
      <c r="AE9" s="11">
        <v>271.26</v>
      </c>
    </row>
    <row r="10" spans="1:31" ht="26.4" x14ac:dyDescent="0.7">
      <c r="B10" s="3" t="s">
        <v>11</v>
      </c>
      <c r="D10" t="s">
        <v>30</v>
      </c>
      <c r="E10" t="s">
        <v>13</v>
      </c>
      <c r="F10">
        <v>9</v>
      </c>
      <c r="G10">
        <v>9</v>
      </c>
      <c r="I10" s="10" t="s">
        <v>23</v>
      </c>
      <c r="J10" s="9" t="s">
        <v>15</v>
      </c>
      <c r="K10" s="11">
        <v>240.68600000000001</v>
      </c>
      <c r="L10" s="11">
        <v>239.10399999999998</v>
      </c>
      <c r="M10" s="11">
        <v>229.41799999999998</v>
      </c>
      <c r="N10" s="11">
        <v>222.00000000000003</v>
      </c>
      <c r="O10" s="11">
        <v>217.07</v>
      </c>
      <c r="P10" s="11">
        <v>284</v>
      </c>
      <c r="Q10" s="11">
        <v>339.56599999999997</v>
      </c>
      <c r="R10" s="11">
        <v>340.53499999999997</v>
      </c>
      <c r="S10" s="11">
        <v>386.06700000000001</v>
      </c>
      <c r="T10" s="11">
        <v>305.65999999999997</v>
      </c>
      <c r="U10" s="11">
        <v>279.99999999999994</v>
      </c>
      <c r="V10" s="11">
        <v>273.642</v>
      </c>
      <c r="W10" s="11">
        <v>349.66200000000003</v>
      </c>
      <c r="X10" s="11">
        <v>320</v>
      </c>
      <c r="Y10" s="11">
        <v>318.82</v>
      </c>
      <c r="Z10" s="11">
        <v>341.84</v>
      </c>
      <c r="AA10" s="11">
        <v>350</v>
      </c>
      <c r="AB10" s="11">
        <v>329.2</v>
      </c>
      <c r="AC10" s="11">
        <v>264.81</v>
      </c>
      <c r="AD10" s="11">
        <v>257.2</v>
      </c>
      <c r="AE10" s="11">
        <v>276.47000000000003</v>
      </c>
    </row>
    <row r="11" spans="1:31" ht="26.4" x14ac:dyDescent="0.7">
      <c r="B11" s="3" t="s">
        <v>11</v>
      </c>
      <c r="D11" t="s">
        <v>30</v>
      </c>
      <c r="E11" t="s">
        <v>13</v>
      </c>
      <c r="F11">
        <v>10</v>
      </c>
      <c r="G11">
        <v>10</v>
      </c>
      <c r="I11" s="10" t="s">
        <v>24</v>
      </c>
      <c r="J11" s="9" t="s">
        <v>15</v>
      </c>
      <c r="K11" s="11">
        <v>243.785</v>
      </c>
      <c r="L11" s="11">
        <v>228.25799999999998</v>
      </c>
      <c r="M11" s="11">
        <v>226.44600000000003</v>
      </c>
      <c r="N11" s="11">
        <v>221</v>
      </c>
      <c r="O11" s="11">
        <v>244.13</v>
      </c>
      <c r="P11" s="11">
        <v>289</v>
      </c>
      <c r="Q11" s="11">
        <v>347.57400000000001</v>
      </c>
      <c r="R11" s="11">
        <v>377.26500000000004</v>
      </c>
      <c r="S11" s="11">
        <v>382.64</v>
      </c>
      <c r="T11" s="11">
        <v>307.41999999999996</v>
      </c>
      <c r="U11" s="11">
        <v>279.99999999999994</v>
      </c>
      <c r="V11" s="11">
        <v>277.24299999999999</v>
      </c>
      <c r="W11" s="11">
        <v>343.78399999999999</v>
      </c>
      <c r="X11" s="11">
        <v>310</v>
      </c>
      <c r="Y11" s="11">
        <v>317.17</v>
      </c>
      <c r="Z11" s="11">
        <v>342.54</v>
      </c>
      <c r="AA11" s="11">
        <v>350</v>
      </c>
      <c r="AB11" s="11">
        <v>320.3</v>
      </c>
      <c r="AC11" s="11">
        <v>257.45952380952377</v>
      </c>
      <c r="AD11" s="11">
        <v>257.3</v>
      </c>
      <c r="AE11" s="11">
        <v>265.94499999999999</v>
      </c>
    </row>
    <row r="12" spans="1:31" ht="26.4" x14ac:dyDescent="0.7">
      <c r="B12" s="3" t="s">
        <v>11</v>
      </c>
      <c r="D12" t="s">
        <v>30</v>
      </c>
      <c r="E12" t="s">
        <v>13</v>
      </c>
      <c r="F12">
        <v>11</v>
      </c>
      <c r="G12">
        <v>11</v>
      </c>
      <c r="I12" s="10" t="s">
        <v>25</v>
      </c>
      <c r="J12" s="9" t="s">
        <v>15</v>
      </c>
      <c r="K12" s="11">
        <v>252.34699999999998</v>
      </c>
      <c r="L12" s="11">
        <v>226.80600000000001</v>
      </c>
      <c r="M12" s="11">
        <v>228.905</v>
      </c>
      <c r="N12" s="11">
        <v>225</v>
      </c>
      <c r="O12" s="11">
        <v>258.49</v>
      </c>
      <c r="P12" s="11">
        <v>290</v>
      </c>
      <c r="Q12" s="11">
        <v>341.83200000000005</v>
      </c>
      <c r="R12" s="11">
        <v>370.59100000000001</v>
      </c>
      <c r="S12" s="11">
        <v>369.41</v>
      </c>
      <c r="T12" s="11">
        <v>297.19</v>
      </c>
      <c r="U12" s="11">
        <v>260</v>
      </c>
      <c r="V12" s="11">
        <v>273.49400000000003</v>
      </c>
      <c r="W12" s="11">
        <v>331.39599999999996</v>
      </c>
      <c r="X12" s="11">
        <v>310</v>
      </c>
      <c r="Y12" s="11">
        <v>320.28000000000003</v>
      </c>
      <c r="Z12" s="11">
        <v>341.16999999999996</v>
      </c>
      <c r="AA12" s="11">
        <v>350</v>
      </c>
      <c r="AB12" s="11">
        <v>317.39999999999998</v>
      </c>
      <c r="AC12" s="11">
        <v>265.24428571428564</v>
      </c>
      <c r="AD12" s="11">
        <v>263.60000000000002</v>
      </c>
      <c r="AE12" s="11">
        <v>258.94499999999999</v>
      </c>
    </row>
    <row r="13" spans="1:31" ht="26.4" x14ac:dyDescent="0.7">
      <c r="B13" s="3" t="s">
        <v>11</v>
      </c>
      <c r="D13" t="s">
        <v>30</v>
      </c>
      <c r="E13" t="s">
        <v>13</v>
      </c>
      <c r="F13">
        <v>12</v>
      </c>
      <c r="G13">
        <v>12</v>
      </c>
      <c r="I13" s="10" t="s">
        <v>26</v>
      </c>
      <c r="J13" s="9" t="s">
        <v>15</v>
      </c>
      <c r="K13" s="11">
        <v>253.91900000000001</v>
      </c>
      <c r="L13" s="11">
        <v>231.91899999999998</v>
      </c>
      <c r="M13" s="11">
        <v>229.32999999999998</v>
      </c>
      <c r="N13" s="11">
        <v>223</v>
      </c>
      <c r="O13" s="11">
        <v>280.69</v>
      </c>
      <c r="P13" s="11">
        <v>292</v>
      </c>
      <c r="Q13" s="11">
        <v>337.78100000000001</v>
      </c>
      <c r="R13" s="11">
        <v>370.16499999999996</v>
      </c>
      <c r="S13" s="11">
        <v>361.33000000000004</v>
      </c>
      <c r="T13" s="11">
        <v>287.71000000000004</v>
      </c>
      <c r="U13" s="11">
        <v>260</v>
      </c>
      <c r="V13" s="11">
        <v>276.53499999999997</v>
      </c>
      <c r="W13" s="11">
        <v>308.02600000000001</v>
      </c>
      <c r="X13" s="11">
        <v>310</v>
      </c>
      <c r="Y13" s="11">
        <v>323.34000000000003</v>
      </c>
      <c r="Z13" s="11">
        <v>341.48</v>
      </c>
      <c r="AA13" s="11">
        <v>350</v>
      </c>
      <c r="AB13" s="11">
        <v>318.7</v>
      </c>
      <c r="AC13" s="11">
        <v>276.49863636363636</v>
      </c>
      <c r="AD13" s="11">
        <v>274.7</v>
      </c>
      <c r="AE13" s="11">
        <v>259.66499999999996</v>
      </c>
    </row>
    <row r="14" spans="1:31" ht="26.4" x14ac:dyDescent="0.7">
      <c r="B14" s="3" t="s">
        <v>11</v>
      </c>
      <c r="D14" t="s">
        <v>30</v>
      </c>
      <c r="E14" t="s">
        <v>13</v>
      </c>
      <c r="F14">
        <v>13</v>
      </c>
      <c r="G14">
        <v>13</v>
      </c>
      <c r="I14" s="10" t="s">
        <v>27</v>
      </c>
      <c r="J14" s="9" t="s">
        <v>15</v>
      </c>
      <c r="K14" s="11">
        <v>247.20891666666671</v>
      </c>
      <c r="L14" s="11">
        <v>241.09558333333331</v>
      </c>
      <c r="M14" s="11">
        <v>229.91633333333331</v>
      </c>
      <c r="N14" s="11">
        <v>220.50958333333335</v>
      </c>
      <c r="O14" s="11">
        <v>235.07083333333338</v>
      </c>
      <c r="P14" s="11">
        <v>280.58333333333326</v>
      </c>
      <c r="Q14" s="11">
        <v>315.14150000000001</v>
      </c>
      <c r="R14" s="11">
        <v>352.96250000000003</v>
      </c>
      <c r="S14" s="11">
        <v>370.76808333333332</v>
      </c>
      <c r="T14" s="11">
        <v>308.9258333333334</v>
      </c>
      <c r="U14" s="11">
        <v>284.16666666666663</v>
      </c>
      <c r="V14" s="11">
        <v>268.23900000000003</v>
      </c>
      <c r="W14" s="11">
        <v>324.91491666666661</v>
      </c>
      <c r="X14" s="11">
        <v>317.49999999999994</v>
      </c>
      <c r="Y14" s="11">
        <v>322.95749999999998</v>
      </c>
      <c r="Z14" s="11">
        <v>336.94727272727272</v>
      </c>
      <c r="AA14" s="11">
        <v>348.54545454545462</v>
      </c>
      <c r="AB14" s="11">
        <v>329.68333333333334</v>
      </c>
      <c r="AC14" s="11">
        <v>283.13853715728715</v>
      </c>
      <c r="AD14" s="11">
        <v>260.3</v>
      </c>
      <c r="AE14" s="11">
        <f>AVERAGE(AE2:AE13)</f>
        <v>262.69791666666674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5E2D-2C17-411C-A257-17AE0535CA13}">
  <sheetPr>
    <tabColor rgb="FF92D050"/>
  </sheetPr>
  <dimension ref="A1:AN10"/>
  <sheetViews>
    <sheetView zoomScale="58" workbookViewId="0">
      <selection activeCell="I4" sqref="I4"/>
    </sheetView>
  </sheetViews>
  <sheetFormatPr baseColWidth="10" defaultRowHeight="14.4" x14ac:dyDescent="0.3"/>
  <cols>
    <col min="9" max="9" width="41.44140625" customWidth="1"/>
    <col min="10" max="10" width="24.33203125" customWidth="1"/>
    <col min="11" max="18" width="11.6640625" bestFit="1" customWidth="1"/>
    <col min="19" max="26" width="12.77734375" bestFit="1" customWidth="1"/>
    <col min="27" max="27" width="14.5546875" customWidth="1"/>
    <col min="28" max="28" width="14.88671875" customWidth="1"/>
    <col min="29" max="29" width="14.44140625" customWidth="1"/>
    <col min="30" max="30" width="14.33203125" customWidth="1"/>
    <col min="31" max="31" width="15.6640625" customWidth="1"/>
    <col min="32" max="32" width="13.88671875" customWidth="1"/>
    <col min="33" max="33" width="12.77734375" bestFit="1" customWidth="1"/>
    <col min="34" max="37" width="14.21875" bestFit="1" customWidth="1"/>
  </cols>
  <sheetData>
    <row r="1" spans="1:40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4">
        <v>1995</v>
      </c>
      <c r="L1" s="14">
        <v>1996</v>
      </c>
      <c r="M1" s="14">
        <v>1997</v>
      </c>
      <c r="N1" s="14">
        <v>1998</v>
      </c>
      <c r="O1" s="14">
        <v>1999</v>
      </c>
      <c r="P1" s="14">
        <v>2000</v>
      </c>
      <c r="Q1" s="14">
        <v>2001</v>
      </c>
      <c r="R1" s="14">
        <v>2002</v>
      </c>
      <c r="S1" s="14">
        <v>2003</v>
      </c>
      <c r="T1" s="14">
        <v>2004</v>
      </c>
      <c r="U1" s="14">
        <v>2005</v>
      </c>
      <c r="V1" s="14">
        <v>2006</v>
      </c>
      <c r="W1" s="14">
        <v>2007</v>
      </c>
      <c r="X1" s="14">
        <v>2008</v>
      </c>
      <c r="Y1" s="14">
        <v>2009</v>
      </c>
      <c r="Z1" s="14">
        <v>2010</v>
      </c>
      <c r="AA1" s="15">
        <v>2011</v>
      </c>
      <c r="AB1" s="15">
        <v>2012</v>
      </c>
      <c r="AC1" s="15">
        <v>2013</v>
      </c>
      <c r="AD1" s="15">
        <v>2014</v>
      </c>
      <c r="AE1" s="16">
        <v>2015</v>
      </c>
      <c r="AF1" s="17">
        <v>2016</v>
      </c>
      <c r="AG1" s="17">
        <v>2017</v>
      </c>
      <c r="AH1" s="17">
        <v>2018</v>
      </c>
      <c r="AI1" s="17">
        <v>2019</v>
      </c>
      <c r="AJ1" s="18">
        <v>2020</v>
      </c>
      <c r="AK1" s="17">
        <v>2021</v>
      </c>
      <c r="AL1" s="19">
        <v>2022</v>
      </c>
      <c r="AM1" s="17">
        <v>2023</v>
      </c>
      <c r="AN1" s="19">
        <v>2024</v>
      </c>
    </row>
    <row r="2" spans="1:40" ht="27" x14ac:dyDescent="0.7">
      <c r="B2" s="3" t="s">
        <v>11</v>
      </c>
      <c r="D2" s="20" t="s">
        <v>31</v>
      </c>
      <c r="E2" s="21" t="s">
        <v>32</v>
      </c>
      <c r="F2">
        <v>1</v>
      </c>
      <c r="G2">
        <v>1</v>
      </c>
      <c r="I2" s="22" t="s">
        <v>34</v>
      </c>
      <c r="J2" s="23" t="s">
        <v>35</v>
      </c>
      <c r="K2" s="24">
        <v>34542.497034</v>
      </c>
      <c r="L2" s="24">
        <v>51076.510716999997</v>
      </c>
      <c r="M2" s="24">
        <v>53937.511476000007</v>
      </c>
      <c r="N2" s="24">
        <v>70249.039946000004</v>
      </c>
      <c r="O2" s="24">
        <v>68994.676798</v>
      </c>
      <c r="P2" s="24">
        <v>84528.509680999981</v>
      </c>
      <c r="Q2" s="24">
        <v>95624.851888999998</v>
      </c>
      <c r="R2" s="24">
        <v>96871.864727999986</v>
      </c>
      <c r="S2" s="24">
        <v>101840.28734299997</v>
      </c>
      <c r="T2" s="24">
        <v>346265.81481600006</v>
      </c>
      <c r="U2" s="24">
        <v>356729.85031900002</v>
      </c>
      <c r="V2" s="24">
        <v>292385.25881199999</v>
      </c>
      <c r="W2" s="24">
        <v>369791.98843000003</v>
      </c>
      <c r="X2" s="24">
        <v>395102.60832300002</v>
      </c>
      <c r="Y2" s="24">
        <v>350661.64320200001</v>
      </c>
      <c r="Z2" s="24">
        <v>474099.33780900005</v>
      </c>
      <c r="AA2" s="25">
        <f>SUM(AA3:AA9)</f>
        <v>57083.214222399867</v>
      </c>
      <c r="AB2" s="25">
        <f t="shared" ref="AB2:AK2" si="0">SUM(AB3:AB9)</f>
        <v>75031.685249599963</v>
      </c>
      <c r="AC2" s="25">
        <f t="shared" si="0"/>
        <v>78692.756836500004</v>
      </c>
      <c r="AD2" s="25">
        <f t="shared" si="0"/>
        <v>78811.793316700103</v>
      </c>
      <c r="AE2" s="25">
        <f t="shared" si="0"/>
        <v>63982.049837500112</v>
      </c>
      <c r="AF2" s="25">
        <f t="shared" si="0"/>
        <v>62746.083256701269</v>
      </c>
      <c r="AG2" s="25">
        <f t="shared" si="0"/>
        <v>81290.197328686001</v>
      </c>
      <c r="AH2" s="25">
        <f t="shared" si="0"/>
        <v>107108.96271551981</v>
      </c>
      <c r="AI2" s="25">
        <f t="shared" si="0"/>
        <v>105873.03941299993</v>
      </c>
      <c r="AJ2" s="25">
        <f t="shared" si="0"/>
        <v>103562.3252687702</v>
      </c>
      <c r="AK2" s="25">
        <f t="shared" si="0"/>
        <v>131675.55154792083</v>
      </c>
      <c r="AL2" s="25">
        <v>181259.7</v>
      </c>
      <c r="AM2" s="25">
        <v>172133.2</v>
      </c>
      <c r="AN2" s="25">
        <v>187826.73199667994</v>
      </c>
    </row>
    <row r="3" spans="1:40" ht="27" x14ac:dyDescent="0.3">
      <c r="B3" s="3" t="s">
        <v>11</v>
      </c>
      <c r="D3" s="20" t="s">
        <v>31</v>
      </c>
      <c r="E3" s="21" t="s">
        <v>32</v>
      </c>
      <c r="F3">
        <v>2</v>
      </c>
      <c r="G3">
        <v>2</v>
      </c>
      <c r="H3">
        <v>1</v>
      </c>
      <c r="I3" s="26" t="s">
        <v>36</v>
      </c>
      <c r="J3" s="23" t="s">
        <v>35</v>
      </c>
      <c r="K3" s="27">
        <v>5375.7862269999996</v>
      </c>
      <c r="L3" s="27">
        <v>8885.9515179999999</v>
      </c>
      <c r="M3" s="27">
        <v>8400.8508980000006</v>
      </c>
      <c r="N3" s="27">
        <v>9788.8722510000007</v>
      </c>
      <c r="O3" s="27">
        <v>11260.871921</v>
      </c>
      <c r="P3" s="27">
        <v>19669.428188000002</v>
      </c>
      <c r="Q3" s="27">
        <v>22894.983488999998</v>
      </c>
      <c r="R3" s="27">
        <v>21415.240384000001</v>
      </c>
      <c r="S3" s="27">
        <v>16725.374588999999</v>
      </c>
      <c r="T3" s="27">
        <v>21926.065827999999</v>
      </c>
      <c r="U3" s="27">
        <v>35938.496265000002</v>
      </c>
      <c r="V3" s="27">
        <v>77825.280952000001</v>
      </c>
      <c r="W3" s="27">
        <v>113299.50609900001</v>
      </c>
      <c r="X3" s="27">
        <v>138549.162511</v>
      </c>
      <c r="Y3" s="27">
        <v>70855.472183999998</v>
      </c>
      <c r="Z3" s="27">
        <v>125955.58497700001</v>
      </c>
      <c r="AA3" s="25">
        <v>16907.698976299991</v>
      </c>
      <c r="AB3" s="25">
        <v>19657.842794000007</v>
      </c>
      <c r="AC3" s="25">
        <v>20181.040090799979</v>
      </c>
      <c r="AD3" s="25">
        <v>19817.62895490001</v>
      </c>
      <c r="AE3" s="28">
        <v>13744.999900500037</v>
      </c>
      <c r="AF3" s="28">
        <v>14638.284785999986</v>
      </c>
      <c r="AG3" s="25">
        <v>24030.103648399985</v>
      </c>
      <c r="AH3" s="25">
        <v>37079.078698730002</v>
      </c>
      <c r="AI3" s="25">
        <v>35050.798853039996</v>
      </c>
      <c r="AJ3" s="25">
        <v>29602.380500860003</v>
      </c>
      <c r="AK3" s="25">
        <v>36235.955099179984</v>
      </c>
      <c r="AL3" s="25">
        <v>71686</v>
      </c>
      <c r="AM3" s="25">
        <v>62195.9</v>
      </c>
      <c r="AN3" s="25">
        <v>64324.992325749998</v>
      </c>
    </row>
    <row r="4" spans="1:40" ht="27" x14ac:dyDescent="0.7">
      <c r="B4" s="3" t="s">
        <v>11</v>
      </c>
      <c r="D4" s="20" t="s">
        <v>31</v>
      </c>
      <c r="E4" s="21" t="s">
        <v>32</v>
      </c>
      <c r="F4">
        <v>3</v>
      </c>
      <c r="G4">
        <v>3</v>
      </c>
      <c r="H4">
        <v>1</v>
      </c>
      <c r="I4" s="22" t="s">
        <v>37</v>
      </c>
      <c r="J4" s="23" t="s">
        <v>35</v>
      </c>
      <c r="K4" s="24">
        <v>7011.2008820000001</v>
      </c>
      <c r="L4" s="24">
        <v>15239.094317999999</v>
      </c>
      <c r="M4" s="24">
        <v>19236.489291000002</v>
      </c>
      <c r="N4" s="24">
        <v>24305.932653</v>
      </c>
      <c r="O4" s="24">
        <v>23706.78585</v>
      </c>
      <c r="P4" s="24">
        <v>18770.951233</v>
      </c>
      <c r="Q4" s="24">
        <v>16409.291569000001</v>
      </c>
      <c r="R4" s="24">
        <v>19795.259236000002</v>
      </c>
      <c r="S4" s="24">
        <v>22568.741375000001</v>
      </c>
      <c r="T4" s="24">
        <v>33766.483162999997</v>
      </c>
      <c r="U4" s="24">
        <v>32329.30386</v>
      </c>
      <c r="V4" s="24">
        <v>64963.037708000003</v>
      </c>
      <c r="W4" s="24">
        <v>84015.014402999994</v>
      </c>
      <c r="X4" s="24">
        <v>105271.357756</v>
      </c>
      <c r="Y4" s="24">
        <v>96048.552527000007</v>
      </c>
      <c r="Z4" s="24">
        <v>86541.684991000002</v>
      </c>
      <c r="AA4" s="25">
        <v>9334.9816341999431</v>
      </c>
      <c r="AB4" s="25">
        <v>12103.41568279993</v>
      </c>
      <c r="AC4" s="25">
        <v>12574.375988600044</v>
      </c>
      <c r="AD4" s="25">
        <v>12687.761898800059</v>
      </c>
      <c r="AE4" s="28">
        <v>14345.355762600073</v>
      </c>
      <c r="AF4" s="28">
        <v>13501.831193300182</v>
      </c>
      <c r="AG4" s="25">
        <v>16909.993120500039</v>
      </c>
      <c r="AH4" s="25">
        <v>19824.244951365261</v>
      </c>
      <c r="AI4" s="25">
        <v>19972.982802659975</v>
      </c>
      <c r="AJ4" s="25">
        <v>29294.975974080418</v>
      </c>
      <c r="AK4" s="25">
        <v>32411.829525190617</v>
      </c>
      <c r="AL4" s="25">
        <v>40071.9</v>
      </c>
      <c r="AM4" s="25">
        <v>42326.400000000001</v>
      </c>
      <c r="AN4" s="25">
        <v>43362.666065519865</v>
      </c>
    </row>
    <row r="5" spans="1:40" ht="27" x14ac:dyDescent="0.7">
      <c r="B5" s="3" t="s">
        <v>11</v>
      </c>
      <c r="D5" s="20" t="s">
        <v>31</v>
      </c>
      <c r="E5" s="21" t="s">
        <v>32</v>
      </c>
      <c r="F5">
        <v>4</v>
      </c>
      <c r="G5">
        <v>4</v>
      </c>
      <c r="H5">
        <v>1</v>
      </c>
      <c r="I5" s="22" t="s">
        <v>38</v>
      </c>
      <c r="J5" s="23" t="s">
        <v>35</v>
      </c>
      <c r="K5" s="24">
        <v>9932.5529320000005</v>
      </c>
      <c r="L5" s="24">
        <v>12527.273268999999</v>
      </c>
      <c r="M5" s="24">
        <v>10320.691849000001</v>
      </c>
      <c r="N5" s="24">
        <v>15966.061768</v>
      </c>
      <c r="O5" s="24">
        <v>11891.256717</v>
      </c>
      <c r="P5" s="24">
        <v>22166.080134</v>
      </c>
      <c r="Q5" s="24">
        <v>27543.794569999998</v>
      </c>
      <c r="R5" s="24">
        <v>23092.246609000002</v>
      </c>
      <c r="S5" s="24">
        <v>27420.148432999998</v>
      </c>
      <c r="T5" s="24">
        <v>232580.10073999999</v>
      </c>
      <c r="U5" s="24">
        <v>231727.10850500001</v>
      </c>
      <c r="V5" s="24">
        <v>52526.317757999997</v>
      </c>
      <c r="W5" s="24">
        <v>68125.756777000002</v>
      </c>
      <c r="X5" s="24">
        <v>55807.158188000001</v>
      </c>
      <c r="Y5" s="24">
        <v>78685.575104000003</v>
      </c>
      <c r="Z5" s="24">
        <v>134825.443726</v>
      </c>
      <c r="AA5" s="25">
        <v>11796.576105999988</v>
      </c>
      <c r="AB5" s="25">
        <v>15108.514742100031</v>
      </c>
      <c r="AC5" s="25">
        <v>20592.056583599944</v>
      </c>
      <c r="AD5" s="25">
        <v>17243.562624099977</v>
      </c>
      <c r="AE5" s="28">
        <v>12582.897419400013</v>
      </c>
      <c r="AF5" s="28">
        <v>11120.165306801018</v>
      </c>
      <c r="AG5" s="25">
        <v>12870.576180700004</v>
      </c>
      <c r="AH5" s="25">
        <v>13128.892676980031</v>
      </c>
      <c r="AI5" s="25">
        <v>13651.675179570035</v>
      </c>
      <c r="AJ5" s="25">
        <v>13241.946559329883</v>
      </c>
      <c r="AK5" s="25">
        <v>15876.282884849847</v>
      </c>
      <c r="AL5" s="25">
        <v>23100.6</v>
      </c>
      <c r="AM5" s="25">
        <v>13403.4</v>
      </c>
      <c r="AN5" s="25">
        <v>16008.026928940004</v>
      </c>
    </row>
    <row r="6" spans="1:40" ht="27" x14ac:dyDescent="0.7">
      <c r="B6" s="3" t="s">
        <v>11</v>
      </c>
      <c r="D6" s="20" t="s">
        <v>31</v>
      </c>
      <c r="E6" s="21" t="s">
        <v>32</v>
      </c>
      <c r="F6">
        <v>5</v>
      </c>
      <c r="G6">
        <v>5</v>
      </c>
      <c r="H6">
        <v>1</v>
      </c>
      <c r="I6" s="22" t="s">
        <v>39</v>
      </c>
      <c r="J6" s="23" t="s">
        <v>35</v>
      </c>
      <c r="K6" s="24">
        <v>2810.1039529999998</v>
      </c>
      <c r="L6" s="24">
        <v>4842.4032010000001</v>
      </c>
      <c r="M6" s="24">
        <v>4758.9654280000004</v>
      </c>
      <c r="N6" s="24">
        <v>6739.3206959999998</v>
      </c>
      <c r="O6" s="24">
        <v>6625.7116660000002</v>
      </c>
      <c r="P6" s="24">
        <v>6928.8842029999996</v>
      </c>
      <c r="Q6" s="24">
        <v>9243.5963470000006</v>
      </c>
      <c r="R6" s="24">
        <v>9611.5833149999999</v>
      </c>
      <c r="S6" s="24">
        <v>9382.1233749999992</v>
      </c>
      <c r="T6" s="24">
        <v>20607.349481000001</v>
      </c>
      <c r="U6" s="24">
        <v>17600.577047999999</v>
      </c>
      <c r="V6" s="24">
        <v>24325.881561999999</v>
      </c>
      <c r="W6" s="24">
        <v>31292.976153</v>
      </c>
      <c r="X6" s="24">
        <v>24067.669096000001</v>
      </c>
      <c r="Y6" s="24">
        <v>26536.486131000001</v>
      </c>
      <c r="Z6" s="24">
        <v>38754.556852000002</v>
      </c>
      <c r="AA6" s="25">
        <v>5777.1962357999882</v>
      </c>
      <c r="AB6" s="25">
        <v>6954.3143205000015</v>
      </c>
      <c r="AC6" s="25">
        <v>7566.981161100045</v>
      </c>
      <c r="AD6" s="25">
        <v>8202.2574524000211</v>
      </c>
      <c r="AE6" s="28">
        <v>8077.4071326000048</v>
      </c>
      <c r="AF6" s="28">
        <v>7174.5880766000473</v>
      </c>
      <c r="AG6" s="25">
        <v>7774.0599048860668</v>
      </c>
      <c r="AH6" s="25">
        <v>10323.054374914987</v>
      </c>
      <c r="AI6" s="25">
        <v>11402.173668320009</v>
      </c>
      <c r="AJ6" s="25">
        <v>9235.9048967699455</v>
      </c>
      <c r="AK6" s="25">
        <v>9507.6547152900148</v>
      </c>
      <c r="AL6" s="25">
        <v>16118.9</v>
      </c>
      <c r="AM6" s="25">
        <v>20715.099999999999</v>
      </c>
      <c r="AN6" s="25">
        <v>23218.708932290057</v>
      </c>
    </row>
    <row r="7" spans="1:40" ht="27" x14ac:dyDescent="0.7">
      <c r="B7" s="3" t="s">
        <v>11</v>
      </c>
      <c r="D7" s="20" t="s">
        <v>31</v>
      </c>
      <c r="E7" s="21" t="s">
        <v>32</v>
      </c>
      <c r="F7">
        <v>6</v>
      </c>
      <c r="G7">
        <v>6</v>
      </c>
      <c r="H7">
        <v>1</v>
      </c>
      <c r="I7" s="22" t="s">
        <v>40</v>
      </c>
      <c r="J7" s="23" t="s">
        <v>35</v>
      </c>
      <c r="K7" s="24">
        <v>5323.6094419999999</v>
      </c>
      <c r="L7" s="24">
        <v>2360.0833670000002</v>
      </c>
      <c r="M7" s="24">
        <v>4527.0209160000004</v>
      </c>
      <c r="N7" s="24">
        <v>5133.578818</v>
      </c>
      <c r="O7" s="24">
        <v>6147.8860670000004</v>
      </c>
      <c r="P7" s="24">
        <v>7269.6862030000002</v>
      </c>
      <c r="Q7" s="24">
        <v>7786.3804529999998</v>
      </c>
      <c r="R7" s="24">
        <v>8514.2229530000004</v>
      </c>
      <c r="S7" s="24">
        <v>9574.7355750000006</v>
      </c>
      <c r="T7" s="24">
        <v>14487.112878</v>
      </c>
      <c r="U7" s="24">
        <v>11592.663079</v>
      </c>
      <c r="V7" s="24">
        <v>20141.188353000001</v>
      </c>
      <c r="W7" s="24">
        <v>26033.295665000001</v>
      </c>
      <c r="X7" s="24">
        <v>27138.965972000002</v>
      </c>
      <c r="Y7" s="24">
        <v>26024.492661</v>
      </c>
      <c r="Z7" s="24">
        <v>37801.205156999997</v>
      </c>
      <c r="AA7" s="25">
        <v>6411.3692669999618</v>
      </c>
      <c r="AB7" s="25">
        <v>8207.7760990000043</v>
      </c>
      <c r="AC7" s="25">
        <v>7612.1504105000022</v>
      </c>
      <c r="AD7" s="25">
        <v>10084.050558500032</v>
      </c>
      <c r="AE7" s="28">
        <v>5828.2947633000031</v>
      </c>
      <c r="AF7" s="28">
        <v>5565.478736500072</v>
      </c>
      <c r="AG7" s="25">
        <v>7229.8792332999492</v>
      </c>
      <c r="AH7" s="25">
        <v>11867.227197609518</v>
      </c>
      <c r="AI7" s="25">
        <v>8697.2467310298816</v>
      </c>
      <c r="AJ7" s="25">
        <v>8697.2815713099462</v>
      </c>
      <c r="AK7" s="25">
        <v>14536.792422450359</v>
      </c>
      <c r="AL7" s="25">
        <v>11078.6</v>
      </c>
      <c r="AM7" s="25">
        <v>12648.5</v>
      </c>
      <c r="AN7" s="25">
        <v>18830.180153789999</v>
      </c>
    </row>
    <row r="8" spans="1:40" ht="27" x14ac:dyDescent="0.7">
      <c r="B8" s="3" t="s">
        <v>11</v>
      </c>
      <c r="D8" s="20" t="s">
        <v>31</v>
      </c>
      <c r="E8" s="21" t="s">
        <v>32</v>
      </c>
      <c r="F8">
        <v>7</v>
      </c>
      <c r="G8">
        <v>7</v>
      </c>
      <c r="H8">
        <v>1</v>
      </c>
      <c r="I8" s="22" t="s">
        <v>41</v>
      </c>
      <c r="J8" s="23" t="s">
        <v>35</v>
      </c>
      <c r="K8" s="24">
        <v>912.24016700000004</v>
      </c>
      <c r="L8" s="24">
        <v>1033.958558</v>
      </c>
      <c r="M8" s="24">
        <v>1044.025926</v>
      </c>
      <c r="N8" s="24">
        <v>1654.590457</v>
      </c>
      <c r="O8" s="24">
        <v>1452.6043380000001</v>
      </c>
      <c r="P8" s="24">
        <v>1880.114865</v>
      </c>
      <c r="Q8" s="24">
        <v>1318.5225009999999</v>
      </c>
      <c r="R8" s="24">
        <v>2106.197334</v>
      </c>
      <c r="S8" s="24">
        <v>2761.1220859999999</v>
      </c>
      <c r="T8" s="24">
        <v>3342.8692540000002</v>
      </c>
      <c r="U8" s="24">
        <v>4147.3870390000002</v>
      </c>
      <c r="V8" s="24">
        <v>6113.2718530000002</v>
      </c>
      <c r="W8" s="24">
        <v>6244.7031239999997</v>
      </c>
      <c r="X8" s="24">
        <v>7543.3435170000002</v>
      </c>
      <c r="Y8" s="24">
        <v>9399.3836310000006</v>
      </c>
      <c r="Z8" s="24">
        <v>10168.171063</v>
      </c>
      <c r="AA8" s="25">
        <v>2038.757808499998</v>
      </c>
      <c r="AB8" s="25">
        <v>3788.9421468999944</v>
      </c>
      <c r="AC8" s="25">
        <v>4271.2814078999991</v>
      </c>
      <c r="AD8" s="25">
        <v>4042.4286611999942</v>
      </c>
      <c r="AE8" s="28">
        <v>3388.7115278999991</v>
      </c>
      <c r="AF8" s="28">
        <v>3498.8665467999913</v>
      </c>
      <c r="AG8" s="25">
        <v>4006.7113077000008</v>
      </c>
      <c r="AH8" s="25">
        <v>5054.4024232100055</v>
      </c>
      <c r="AI8" s="25">
        <v>4834.039691220014</v>
      </c>
      <c r="AJ8" s="25">
        <v>5562.403012669989</v>
      </c>
      <c r="AK8" s="25">
        <v>8876.1108431699704</v>
      </c>
      <c r="AL8" s="25">
        <v>7672</v>
      </c>
      <c r="AM8" s="25">
        <v>9914.9</v>
      </c>
      <c r="AN8" s="25">
        <v>8798.5172837399932</v>
      </c>
    </row>
    <row r="9" spans="1:40" ht="27" x14ac:dyDescent="0.7">
      <c r="B9" s="3" t="s">
        <v>11</v>
      </c>
      <c r="D9" s="20" t="s">
        <v>31</v>
      </c>
      <c r="E9" s="21" t="s">
        <v>32</v>
      </c>
      <c r="F9">
        <v>8</v>
      </c>
      <c r="G9">
        <v>8</v>
      </c>
      <c r="H9">
        <v>1</v>
      </c>
      <c r="I9" s="22" t="s">
        <v>42</v>
      </c>
      <c r="J9" s="23" t="s">
        <v>35</v>
      </c>
      <c r="K9" s="24">
        <v>3177.0034310000001</v>
      </c>
      <c r="L9" s="24">
        <v>6187.746486</v>
      </c>
      <c r="M9" s="24">
        <v>5649.4671680000001</v>
      </c>
      <c r="N9" s="24">
        <v>6660.6833029999998</v>
      </c>
      <c r="O9" s="24">
        <v>7909.5602390000004</v>
      </c>
      <c r="P9" s="24">
        <v>7843.3648549999998</v>
      </c>
      <c r="Q9" s="24">
        <v>10428.28296</v>
      </c>
      <c r="R9" s="24">
        <v>12337.114896999999</v>
      </c>
      <c r="S9" s="24">
        <v>13408.04191</v>
      </c>
      <c r="T9" s="24">
        <v>19555.833472000002</v>
      </c>
      <c r="U9" s="24">
        <v>23394.314523000001</v>
      </c>
      <c r="V9" s="24">
        <v>46490.280626</v>
      </c>
      <c r="W9" s="24">
        <v>40780.736208999995</v>
      </c>
      <c r="X9" s="24">
        <v>36724.951283000002</v>
      </c>
      <c r="Y9" s="24">
        <v>43111.680963999999</v>
      </c>
      <c r="Z9" s="24">
        <v>40052.691042999999</v>
      </c>
      <c r="AA9" s="25">
        <v>4816.634194600003</v>
      </c>
      <c r="AB9" s="25">
        <v>9210.8794642999947</v>
      </c>
      <c r="AC9" s="25">
        <v>5894.8711939999885</v>
      </c>
      <c r="AD9" s="25">
        <v>6734.1031668000069</v>
      </c>
      <c r="AE9" s="28">
        <v>6014.3833311999861</v>
      </c>
      <c r="AF9" s="28">
        <v>7246.8686106999767</v>
      </c>
      <c r="AG9" s="25">
        <v>8468.8739331999641</v>
      </c>
      <c r="AH9" s="25">
        <v>9832.0623927100005</v>
      </c>
      <c r="AI9" s="25">
        <v>12264.122487160006</v>
      </c>
      <c r="AJ9" s="25">
        <v>7927.4327537500185</v>
      </c>
      <c r="AK9" s="25">
        <v>14230.92605779002</v>
      </c>
      <c r="AL9" s="25">
        <v>11531.7</v>
      </c>
      <c r="AM9" s="25">
        <v>10928.9</v>
      </c>
      <c r="AN9" s="25">
        <v>13283.640306649993</v>
      </c>
    </row>
    <row r="10" spans="1:40" ht="26.4" x14ac:dyDescent="0.7">
      <c r="J10" s="2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0"/>
      <c r="AB10" s="30"/>
      <c r="AC10" s="30"/>
      <c r="AD10" s="30"/>
      <c r="AE10" s="30"/>
      <c r="AF10" s="31"/>
      <c r="AG10" s="32"/>
      <c r="AH10" s="32"/>
      <c r="AI10" s="32"/>
      <c r="AJ10" s="32"/>
      <c r="AK10" s="32"/>
      <c r="AL10" s="32"/>
      <c r="AM1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691C-0BD5-408B-ABDD-30F8867E337E}">
  <sheetPr>
    <tabColor theme="6"/>
  </sheetPr>
  <dimension ref="A1:X26"/>
  <sheetViews>
    <sheetView zoomScale="44" workbookViewId="0">
      <selection activeCell="I13" sqref="I13"/>
    </sheetView>
  </sheetViews>
  <sheetFormatPr baseColWidth="10" defaultRowHeight="14.4" x14ac:dyDescent="0.3"/>
  <cols>
    <col min="2" max="2" width="25.6640625" customWidth="1"/>
    <col min="9" max="9" width="36.44140625" customWidth="1"/>
    <col min="10" max="10" width="28.88671875" customWidth="1"/>
    <col min="24" max="24" width="13.6640625" customWidth="1"/>
    <col min="25" max="25" width="37.21875" customWidth="1"/>
    <col min="27" max="27" width="28.109375" customWidth="1"/>
    <col min="28" max="28" width="17.6640625" customWidth="1"/>
    <col min="29" max="29" width="15.109375" customWidth="1"/>
    <col min="30" max="30" width="16.6640625" customWidth="1"/>
    <col min="31" max="31" width="15.77734375" customWidth="1"/>
    <col min="32" max="32" width="22" customWidth="1"/>
  </cols>
  <sheetData>
    <row r="1" spans="1:24" ht="30.6" thickBo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33" t="s">
        <v>43</v>
      </c>
      <c r="L1" s="33" t="s">
        <v>44</v>
      </c>
      <c r="M1" s="33" t="s">
        <v>45</v>
      </c>
      <c r="N1" s="33" t="s">
        <v>46</v>
      </c>
      <c r="O1" s="33" t="s">
        <v>47</v>
      </c>
      <c r="P1" s="33" t="s">
        <v>48</v>
      </c>
      <c r="Q1" s="33" t="s">
        <v>49</v>
      </c>
      <c r="R1" s="33" t="s">
        <v>50</v>
      </c>
      <c r="S1" s="33" t="s">
        <v>51</v>
      </c>
      <c r="T1" s="33" t="s">
        <v>52</v>
      </c>
      <c r="U1" s="33">
        <v>2021</v>
      </c>
      <c r="V1" s="33">
        <v>2022</v>
      </c>
      <c r="W1" s="33">
        <v>2023</v>
      </c>
      <c r="X1" s="33">
        <v>2024</v>
      </c>
    </row>
    <row r="2" spans="1:24" ht="27" x14ac:dyDescent="0.7">
      <c r="B2" s="3" t="s">
        <v>11</v>
      </c>
      <c r="D2" s="34" t="s">
        <v>53</v>
      </c>
      <c r="E2" s="21" t="s">
        <v>32</v>
      </c>
      <c r="F2">
        <v>1</v>
      </c>
      <c r="G2">
        <v>1</v>
      </c>
      <c r="I2" s="35" t="s">
        <v>37</v>
      </c>
      <c r="J2" s="36" t="s">
        <v>35</v>
      </c>
      <c r="K2" s="37">
        <v>9355.322130999999</v>
      </c>
      <c r="L2" s="37">
        <v>12141.490592699996</v>
      </c>
      <c r="M2" s="37">
        <v>12605.395978199997</v>
      </c>
      <c r="N2" s="37">
        <v>12712.0022226</v>
      </c>
      <c r="O2" s="37">
        <v>14383.100572400002</v>
      </c>
      <c r="P2" s="37">
        <v>13512.731431800001</v>
      </c>
      <c r="Q2" s="37">
        <v>16888.024153699997</v>
      </c>
      <c r="R2" s="37">
        <v>19976.70061268501</v>
      </c>
      <c r="S2" s="37">
        <v>19980.667718350014</v>
      </c>
      <c r="T2" s="37">
        <v>28587.649677520003</v>
      </c>
      <c r="U2" s="37">
        <v>33217.730898809925</v>
      </c>
      <c r="V2" s="37">
        <v>40071.9</v>
      </c>
      <c r="W2" s="37">
        <v>42326.400000000001</v>
      </c>
      <c r="X2" s="38">
        <v>43362.666065520003</v>
      </c>
    </row>
    <row r="3" spans="1:24" ht="27" x14ac:dyDescent="0.7">
      <c r="B3" s="3" t="s">
        <v>11</v>
      </c>
      <c r="D3" s="34" t="s">
        <v>53</v>
      </c>
      <c r="E3" s="21" t="s">
        <v>32</v>
      </c>
      <c r="F3">
        <v>2</v>
      </c>
      <c r="G3">
        <v>2</v>
      </c>
      <c r="H3">
        <v>1</v>
      </c>
      <c r="I3" s="35" t="s">
        <v>54</v>
      </c>
      <c r="J3" s="36" t="s">
        <v>35</v>
      </c>
      <c r="K3" s="39">
        <v>102.82229190000005</v>
      </c>
      <c r="L3" s="39">
        <v>147.31177</v>
      </c>
      <c r="M3" s="39">
        <v>154.83429789999991</v>
      </c>
      <c r="N3" s="39">
        <v>184.33918289999991</v>
      </c>
      <c r="O3" s="39">
        <v>162.53262569999998</v>
      </c>
      <c r="P3" s="39">
        <v>216.76847010000012</v>
      </c>
      <c r="Q3" s="39">
        <v>257.50565750000004</v>
      </c>
      <c r="R3" s="39">
        <v>232.10485952499997</v>
      </c>
      <c r="S3" s="39">
        <v>188.70751547</v>
      </c>
      <c r="T3" s="39">
        <v>180.4074713599999</v>
      </c>
      <c r="U3" s="39">
        <v>274.2846524000002</v>
      </c>
      <c r="V3" s="39">
        <v>312.10000000000002</v>
      </c>
      <c r="W3" s="39">
        <v>296.8</v>
      </c>
      <c r="X3" s="40">
        <v>411.10215517000006</v>
      </c>
    </row>
    <row r="4" spans="1:24" ht="38.4" customHeight="1" x14ac:dyDescent="0.7">
      <c r="B4" s="3" t="s">
        <v>11</v>
      </c>
      <c r="D4" s="34" t="s">
        <v>53</v>
      </c>
      <c r="E4" s="21" t="s">
        <v>32</v>
      </c>
      <c r="F4">
        <v>3</v>
      </c>
      <c r="G4">
        <v>3</v>
      </c>
      <c r="H4">
        <v>2</v>
      </c>
      <c r="I4" s="35" t="s">
        <v>55</v>
      </c>
      <c r="J4" s="36" t="s">
        <v>35</v>
      </c>
      <c r="K4" s="39">
        <v>352.40324120000002</v>
      </c>
      <c r="L4" s="39">
        <v>425.3591077000001</v>
      </c>
      <c r="M4" s="39">
        <v>505.0561583999999</v>
      </c>
      <c r="N4" s="39">
        <v>577.70197480000024</v>
      </c>
      <c r="O4" s="39">
        <v>444.50675010000009</v>
      </c>
      <c r="P4" s="39">
        <v>721.91659700000048</v>
      </c>
      <c r="Q4" s="39">
        <v>735.95463749999965</v>
      </c>
      <c r="R4" s="39">
        <v>761.55254504000004</v>
      </c>
      <c r="S4" s="39">
        <v>773.01193472</v>
      </c>
      <c r="T4" s="39">
        <v>780.99068390000002</v>
      </c>
      <c r="U4" s="39">
        <v>927.21525925000003</v>
      </c>
      <c r="V4" s="39">
        <v>1241.4000000000001</v>
      </c>
      <c r="W4" s="39">
        <v>1237.4000000000001</v>
      </c>
      <c r="X4" s="40">
        <v>1090.1117393</v>
      </c>
    </row>
    <row r="5" spans="1:24" ht="27" x14ac:dyDescent="0.7">
      <c r="B5" s="3" t="s">
        <v>11</v>
      </c>
      <c r="D5" s="34" t="s">
        <v>53</v>
      </c>
      <c r="E5" s="21" t="s">
        <v>32</v>
      </c>
      <c r="F5">
        <v>4</v>
      </c>
      <c r="G5">
        <v>4</v>
      </c>
      <c r="H5">
        <v>1</v>
      </c>
      <c r="I5" s="35" t="s">
        <v>56</v>
      </c>
      <c r="J5" s="36" t="s">
        <v>35</v>
      </c>
      <c r="K5" s="39">
        <v>3684.7614985999994</v>
      </c>
      <c r="L5" s="39">
        <v>5735.8044111000008</v>
      </c>
      <c r="M5" s="39">
        <v>5047.8704985000004</v>
      </c>
      <c r="N5" s="39">
        <v>5169.2374355000002</v>
      </c>
      <c r="O5" s="39">
        <v>5570.3323915000001</v>
      </c>
      <c r="P5" s="39">
        <v>4046.5856864000002</v>
      </c>
      <c r="Q5" s="39">
        <v>4848.9783321999994</v>
      </c>
      <c r="R5" s="39">
        <v>7451.9775564100009</v>
      </c>
      <c r="S5" s="39">
        <v>7078.1975362499988</v>
      </c>
      <c r="T5" s="39">
        <v>7543.8653020999991</v>
      </c>
      <c r="U5" s="39">
        <v>8942.6159726000024</v>
      </c>
      <c r="V5" s="39">
        <v>12497.9</v>
      </c>
      <c r="W5" s="39">
        <v>8871</v>
      </c>
      <c r="X5" s="40">
        <v>10890.493646110001</v>
      </c>
    </row>
    <row r="6" spans="1:24" ht="27" x14ac:dyDescent="0.7">
      <c r="B6" s="3" t="s">
        <v>11</v>
      </c>
      <c r="D6" s="34" t="s">
        <v>53</v>
      </c>
      <c r="E6" s="21" t="s">
        <v>32</v>
      </c>
      <c r="F6">
        <v>5</v>
      </c>
      <c r="G6">
        <v>5</v>
      </c>
      <c r="H6">
        <v>4</v>
      </c>
      <c r="I6" s="35" t="s">
        <v>57</v>
      </c>
      <c r="J6" s="36" t="s">
        <v>35</v>
      </c>
      <c r="K6" s="39">
        <v>2768.4482460999993</v>
      </c>
      <c r="L6" s="39">
        <v>4125.2154257000002</v>
      </c>
      <c r="M6" s="39">
        <v>3227.3782717000004</v>
      </c>
      <c r="N6" s="39">
        <v>3334.0412762999999</v>
      </c>
      <c r="O6" s="39">
        <v>3996.1814188999997</v>
      </c>
      <c r="P6" s="39">
        <v>3012.3317651999996</v>
      </c>
      <c r="Q6" s="39">
        <v>3903.4687983999997</v>
      </c>
      <c r="R6" s="39">
        <v>5972.1093175700007</v>
      </c>
      <c r="S6" s="39">
        <v>5060.1213551999999</v>
      </c>
      <c r="T6" s="39">
        <v>6529.6225807800001</v>
      </c>
      <c r="U6" s="39">
        <v>7845.4412100000018</v>
      </c>
      <c r="V6" s="39">
        <v>11226.3</v>
      </c>
      <c r="W6" s="39">
        <v>8021.9</v>
      </c>
      <c r="X6" s="40">
        <v>9948.8830208899999</v>
      </c>
    </row>
    <row r="7" spans="1:24" ht="27" x14ac:dyDescent="0.7">
      <c r="B7" s="3" t="s">
        <v>11</v>
      </c>
      <c r="D7" s="34" t="s">
        <v>53</v>
      </c>
      <c r="E7" s="21" t="s">
        <v>32</v>
      </c>
      <c r="F7">
        <v>6</v>
      </c>
      <c r="G7">
        <v>6</v>
      </c>
      <c r="H7">
        <v>4</v>
      </c>
      <c r="I7" s="35" t="s">
        <v>58</v>
      </c>
      <c r="J7" s="36" t="s">
        <v>35</v>
      </c>
      <c r="K7" s="39">
        <v>0.59469519999999998</v>
      </c>
      <c r="L7" s="39">
        <v>3.1826442999999998</v>
      </c>
      <c r="M7" s="39">
        <v>0.12765000000000001</v>
      </c>
      <c r="N7" s="39">
        <v>0.4044275</v>
      </c>
      <c r="O7" s="39">
        <v>0.65091739999999998</v>
      </c>
      <c r="P7" s="39">
        <v>1.3138784999999999</v>
      </c>
      <c r="Q7" s="39">
        <v>2.9324496</v>
      </c>
      <c r="R7" s="39">
        <v>99.248375580000001</v>
      </c>
      <c r="S7" s="39">
        <v>100.10132846</v>
      </c>
      <c r="T7" s="39">
        <v>52.816364110000009</v>
      </c>
      <c r="U7" s="39">
        <v>196.67306750999995</v>
      </c>
      <c r="V7" s="39">
        <v>393.2</v>
      </c>
      <c r="W7" s="39">
        <v>174.4</v>
      </c>
      <c r="X7" s="40">
        <v>258.58853328999999</v>
      </c>
    </row>
    <row r="8" spans="1:24" ht="27" x14ac:dyDescent="0.7">
      <c r="B8" s="3" t="s">
        <v>11</v>
      </c>
      <c r="D8" s="34" t="s">
        <v>53</v>
      </c>
      <c r="E8" s="21" t="s">
        <v>32</v>
      </c>
      <c r="F8">
        <v>7</v>
      </c>
      <c r="G8">
        <v>7</v>
      </c>
      <c r="H8">
        <v>4</v>
      </c>
      <c r="I8" s="35" t="s">
        <v>59</v>
      </c>
      <c r="J8" s="36" t="s">
        <v>35</v>
      </c>
      <c r="K8" s="39">
        <v>913.17902300000014</v>
      </c>
      <c r="L8" s="39">
        <v>1604.0285616000001</v>
      </c>
      <c r="M8" s="39">
        <v>1804.4243150999996</v>
      </c>
      <c r="N8" s="39">
        <v>1834.5212223000001</v>
      </c>
      <c r="O8" s="39">
        <v>1567.9663072000003</v>
      </c>
      <c r="P8" s="39">
        <v>1032.0356792999999</v>
      </c>
      <c r="Q8" s="39">
        <v>936.65531240000041</v>
      </c>
      <c r="R8" s="39">
        <v>1378.6727344600004</v>
      </c>
      <c r="S8" s="39">
        <v>1913.6526630599997</v>
      </c>
      <c r="T8" s="39">
        <v>950.88938494999991</v>
      </c>
      <c r="U8" s="39">
        <v>896.51555926000003</v>
      </c>
      <c r="V8" s="39">
        <v>861</v>
      </c>
      <c r="W8" s="39">
        <v>637.6</v>
      </c>
      <c r="X8" s="40">
        <v>617.26262890999999</v>
      </c>
    </row>
    <row r="9" spans="1:24" ht="27" x14ac:dyDescent="0.7">
      <c r="B9" s="3" t="s">
        <v>11</v>
      </c>
      <c r="D9" s="34" t="s">
        <v>53</v>
      </c>
      <c r="E9" s="21" t="s">
        <v>32</v>
      </c>
      <c r="F9">
        <v>8</v>
      </c>
      <c r="G9">
        <v>8</v>
      </c>
      <c r="H9">
        <v>1</v>
      </c>
      <c r="I9" s="35" t="s">
        <v>60</v>
      </c>
      <c r="J9" s="36" t="s">
        <v>35</v>
      </c>
      <c r="K9" s="39">
        <v>254.63081560000006</v>
      </c>
      <c r="L9" s="39">
        <v>248.60184669999998</v>
      </c>
      <c r="M9" s="39">
        <v>223.48671240000004</v>
      </c>
      <c r="N9" s="39">
        <v>107.4600895</v>
      </c>
      <c r="O9" s="39">
        <v>245.84613220000003</v>
      </c>
      <c r="P9" s="39">
        <v>116.37675510000001</v>
      </c>
      <c r="Q9" s="39">
        <v>82.437278300000017</v>
      </c>
      <c r="R9" s="39">
        <v>87.676286989999994</v>
      </c>
      <c r="S9" s="39">
        <v>141.73180316000003</v>
      </c>
      <c r="T9" s="39">
        <v>61.691081919999988</v>
      </c>
      <c r="U9" s="39">
        <v>39.363343</v>
      </c>
      <c r="V9" s="41">
        <v>33.200000000000003</v>
      </c>
      <c r="W9" s="41">
        <v>101</v>
      </c>
      <c r="X9" s="40">
        <v>36.341778020000014</v>
      </c>
    </row>
    <row r="10" spans="1:24" ht="37.200000000000003" customHeight="1" x14ac:dyDescent="0.7">
      <c r="B10" s="3" t="s">
        <v>11</v>
      </c>
      <c r="D10" s="34" t="s">
        <v>53</v>
      </c>
      <c r="E10" s="21" t="s">
        <v>32</v>
      </c>
      <c r="F10">
        <v>9</v>
      </c>
      <c r="G10">
        <v>9</v>
      </c>
      <c r="H10">
        <v>8</v>
      </c>
      <c r="I10" s="35" t="s">
        <v>61</v>
      </c>
      <c r="J10" s="36" t="s">
        <v>35</v>
      </c>
      <c r="K10" s="39">
        <v>1.0047849</v>
      </c>
      <c r="L10" s="39">
        <v>45.716558999999997</v>
      </c>
      <c r="M10" s="39">
        <v>42.473171100000002</v>
      </c>
      <c r="N10" s="39">
        <v>6.0339301999999995</v>
      </c>
      <c r="O10" s="39">
        <v>12.240923399999998</v>
      </c>
      <c r="P10" s="39">
        <v>10.630293299999998</v>
      </c>
      <c r="Q10" s="39">
        <v>41.478338600000008</v>
      </c>
      <c r="R10" s="39">
        <v>21.222983189999997</v>
      </c>
      <c r="S10" s="39">
        <v>17.688437920000009</v>
      </c>
      <c r="T10" s="39">
        <v>21.245387680000004</v>
      </c>
      <c r="U10" s="39">
        <v>11.026723779999989</v>
      </c>
      <c r="V10" s="39">
        <v>9.1999999999999993</v>
      </c>
      <c r="W10" s="39">
        <v>16.399999999999999</v>
      </c>
      <c r="X10" s="40">
        <v>16.051060340000014</v>
      </c>
    </row>
    <row r="11" spans="1:24" ht="30" customHeight="1" x14ac:dyDescent="0.7">
      <c r="B11" s="3" t="s">
        <v>11</v>
      </c>
      <c r="D11" s="34" t="s">
        <v>53</v>
      </c>
      <c r="E11" s="21" t="s">
        <v>32</v>
      </c>
      <c r="F11">
        <v>10</v>
      </c>
      <c r="G11">
        <v>10</v>
      </c>
      <c r="H11">
        <v>8</v>
      </c>
      <c r="I11" s="35" t="s">
        <v>62</v>
      </c>
      <c r="J11" s="36" t="s">
        <v>35</v>
      </c>
      <c r="K11" s="39">
        <v>248.13381010000006</v>
      </c>
      <c r="L11" s="39">
        <v>201.7010042</v>
      </c>
      <c r="M11" s="39">
        <v>142.61349690000003</v>
      </c>
      <c r="N11" s="39">
        <v>80.430296899999988</v>
      </c>
      <c r="O11" s="39">
        <v>226.93174860000002</v>
      </c>
      <c r="P11" s="39">
        <v>105.62931980000002</v>
      </c>
      <c r="Q11" s="39">
        <v>39.930441000000002</v>
      </c>
      <c r="R11" s="39">
        <v>66.111327799999998</v>
      </c>
      <c r="S11" s="39">
        <v>123.87542404000001</v>
      </c>
      <c r="T11" s="39">
        <v>39.918663059999986</v>
      </c>
      <c r="U11" s="39">
        <v>27.599451980000012</v>
      </c>
      <c r="V11" s="39">
        <v>22.5</v>
      </c>
      <c r="W11" s="39">
        <v>18.399999999999999</v>
      </c>
      <c r="X11" s="40">
        <v>18.947797689999998</v>
      </c>
    </row>
    <row r="12" spans="1:24" ht="27" x14ac:dyDescent="0.7">
      <c r="B12" s="3" t="s">
        <v>11</v>
      </c>
      <c r="D12" s="34" t="s">
        <v>53</v>
      </c>
      <c r="E12" s="21" t="s">
        <v>32</v>
      </c>
      <c r="F12">
        <v>11</v>
      </c>
      <c r="G12">
        <v>11</v>
      </c>
      <c r="H12">
        <v>1</v>
      </c>
      <c r="I12" s="35" t="s">
        <v>63</v>
      </c>
      <c r="J12" s="36" t="s">
        <v>35</v>
      </c>
      <c r="K12" s="39">
        <v>91.790440500000017</v>
      </c>
      <c r="L12" s="39">
        <v>124.73282699999999</v>
      </c>
      <c r="M12" s="39">
        <v>134.1196123</v>
      </c>
      <c r="N12" s="39">
        <v>200.90061759999998</v>
      </c>
      <c r="O12" s="39">
        <v>272.29717260000018</v>
      </c>
      <c r="P12" s="39">
        <v>229.16755050000017</v>
      </c>
      <c r="Q12" s="39">
        <v>332.10830420000002</v>
      </c>
      <c r="R12" s="39">
        <v>333.26964086999993</v>
      </c>
      <c r="S12" s="39">
        <v>356.78266231999987</v>
      </c>
      <c r="T12" s="39">
        <v>416.69948412999992</v>
      </c>
      <c r="U12" s="39">
        <v>451.19219070999929</v>
      </c>
      <c r="V12" s="39">
        <v>586.5</v>
      </c>
      <c r="W12" s="39">
        <v>595.29999999999995</v>
      </c>
      <c r="X12" s="40">
        <v>732.78684690000011</v>
      </c>
    </row>
    <row r="13" spans="1:24" ht="27" x14ac:dyDescent="0.7">
      <c r="B13" s="3" t="s">
        <v>11</v>
      </c>
      <c r="D13" s="34" t="s">
        <v>53</v>
      </c>
      <c r="E13" s="21" t="s">
        <v>32</v>
      </c>
      <c r="F13">
        <v>12</v>
      </c>
      <c r="G13">
        <v>12</v>
      </c>
      <c r="H13">
        <v>1</v>
      </c>
      <c r="I13" s="35" t="s">
        <v>64</v>
      </c>
      <c r="J13" s="36" t="s">
        <v>35</v>
      </c>
      <c r="K13" s="39">
        <v>1207.8894249000002</v>
      </c>
      <c r="L13" s="39">
        <v>1348.3906405999999</v>
      </c>
      <c r="M13" s="39">
        <v>1563.048188100001</v>
      </c>
      <c r="N13" s="39">
        <v>1431.7785702999993</v>
      </c>
      <c r="O13" s="39">
        <v>1429.4547894000016</v>
      </c>
      <c r="P13" s="39">
        <v>1572.8251914999996</v>
      </c>
      <c r="Q13" s="39">
        <v>2050.7728627999991</v>
      </c>
      <c r="R13" s="39">
        <v>2015.5036080399998</v>
      </c>
      <c r="S13" s="39">
        <v>1913.1994710099993</v>
      </c>
      <c r="T13" s="39">
        <v>5966.9022071300005</v>
      </c>
      <c r="U13" s="39">
        <v>6672.8614366800075</v>
      </c>
      <c r="V13" s="39">
        <v>6559.5</v>
      </c>
      <c r="W13" s="39">
        <v>12126.2</v>
      </c>
      <c r="X13" s="40">
        <v>7358.6057546500051</v>
      </c>
    </row>
    <row r="14" spans="1:24" ht="27" x14ac:dyDescent="0.7">
      <c r="B14" s="3" t="s">
        <v>11</v>
      </c>
      <c r="D14" s="34" t="s">
        <v>53</v>
      </c>
      <c r="E14" s="21" t="s">
        <v>32</v>
      </c>
      <c r="F14">
        <v>13</v>
      </c>
      <c r="G14">
        <v>13</v>
      </c>
      <c r="H14">
        <v>1</v>
      </c>
      <c r="I14" s="35" t="s">
        <v>65</v>
      </c>
      <c r="J14" s="36" t="s">
        <v>35</v>
      </c>
      <c r="K14" s="39">
        <v>1732.4063120999995</v>
      </c>
      <c r="L14" s="39">
        <v>1961.3346227000006</v>
      </c>
      <c r="M14" s="39">
        <v>2282.6722905999991</v>
      </c>
      <c r="N14" s="39">
        <v>2218.3801965999987</v>
      </c>
      <c r="O14" s="39">
        <v>2370.9356348999991</v>
      </c>
      <c r="P14" s="39">
        <v>2303.7895593999992</v>
      </c>
      <c r="Q14" s="39">
        <v>2890.703239699998</v>
      </c>
      <c r="R14" s="39">
        <v>3458.8198976400004</v>
      </c>
      <c r="S14" s="39">
        <v>4089.3733168200024</v>
      </c>
      <c r="T14" s="39">
        <v>2844.16131202</v>
      </c>
      <c r="U14" s="39">
        <v>3036.6007213399994</v>
      </c>
      <c r="V14" s="39">
        <v>2998.8</v>
      </c>
      <c r="W14" s="39">
        <v>2854.8</v>
      </c>
      <c r="X14" s="40">
        <v>3488.6140773200018</v>
      </c>
    </row>
    <row r="15" spans="1:24" ht="27" x14ac:dyDescent="0.7">
      <c r="B15" s="3" t="s">
        <v>11</v>
      </c>
      <c r="D15" s="34" t="s">
        <v>53</v>
      </c>
      <c r="E15" s="21" t="s">
        <v>32</v>
      </c>
      <c r="F15">
        <v>14</v>
      </c>
      <c r="G15">
        <v>14</v>
      </c>
      <c r="H15">
        <v>1</v>
      </c>
      <c r="I15" s="35" t="s">
        <v>66</v>
      </c>
      <c r="J15" s="36" t="s">
        <v>35</v>
      </c>
      <c r="K15" s="39">
        <v>452.10123030000017</v>
      </c>
      <c r="L15" s="39">
        <v>596.28309469999908</v>
      </c>
      <c r="M15" s="39">
        <v>651.11577579999823</v>
      </c>
      <c r="N15" s="39">
        <v>720.65429460000007</v>
      </c>
      <c r="O15" s="39">
        <v>793.37624269999992</v>
      </c>
      <c r="P15" s="39">
        <v>831.60932140000102</v>
      </c>
      <c r="Q15" s="39">
        <v>1628.4599292999974</v>
      </c>
      <c r="R15" s="39">
        <v>1844.1742608700047</v>
      </c>
      <c r="S15" s="39">
        <v>1552.6547355800101</v>
      </c>
      <c r="T15" s="39">
        <v>2495.2043234899966</v>
      </c>
      <c r="U15" s="39">
        <v>4033.1395192299119</v>
      </c>
      <c r="V15" s="39">
        <v>3672.2</v>
      </c>
      <c r="W15" s="39">
        <v>2728.4</v>
      </c>
      <c r="X15" s="40">
        <v>2753.8225370099995</v>
      </c>
    </row>
    <row r="16" spans="1:24" ht="27" x14ac:dyDescent="0.7">
      <c r="B16" s="3" t="s">
        <v>11</v>
      </c>
      <c r="D16" s="34" t="s">
        <v>53</v>
      </c>
      <c r="E16" s="21" t="s">
        <v>32</v>
      </c>
      <c r="F16">
        <v>15</v>
      </c>
      <c r="G16">
        <v>15</v>
      </c>
      <c r="H16">
        <v>1</v>
      </c>
      <c r="I16" s="35" t="s">
        <v>67</v>
      </c>
      <c r="J16" s="36" t="s">
        <v>35</v>
      </c>
      <c r="K16" s="39">
        <v>22.294015999999992</v>
      </c>
      <c r="L16" s="39">
        <v>25.253791299999996</v>
      </c>
      <c r="M16" s="39">
        <v>45.612126100000012</v>
      </c>
      <c r="N16" s="39">
        <v>69.602833700000005</v>
      </c>
      <c r="O16" s="39">
        <v>66.319801200000029</v>
      </c>
      <c r="P16" s="39">
        <v>56.490024700000006</v>
      </c>
      <c r="Q16" s="39">
        <v>49.691734999999994</v>
      </c>
      <c r="R16" s="39">
        <v>51.921555330000004</v>
      </c>
      <c r="S16" s="39">
        <v>46.217464189999987</v>
      </c>
      <c r="T16" s="39">
        <v>57.397458829999998</v>
      </c>
      <c r="U16" s="39">
        <v>67.057430079999847</v>
      </c>
      <c r="V16" s="39">
        <v>49.5</v>
      </c>
      <c r="W16" s="39">
        <v>44.6</v>
      </c>
      <c r="X16" s="42">
        <v>42.946826380000005</v>
      </c>
    </row>
    <row r="17" spans="2:24" ht="27" x14ac:dyDescent="0.7">
      <c r="B17" s="3" t="s">
        <v>11</v>
      </c>
      <c r="D17" s="34" t="s">
        <v>53</v>
      </c>
      <c r="E17" s="21" t="s">
        <v>32</v>
      </c>
      <c r="F17">
        <v>16</v>
      </c>
      <c r="G17">
        <v>16</v>
      </c>
      <c r="H17">
        <v>1</v>
      </c>
      <c r="I17" s="35" t="s">
        <v>68</v>
      </c>
      <c r="J17" s="36" t="s">
        <v>35</v>
      </c>
      <c r="K17" s="39">
        <v>220.91595609999987</v>
      </c>
      <c r="L17" s="39">
        <v>241.96440099999995</v>
      </c>
      <c r="M17" s="39">
        <v>383.40930069999973</v>
      </c>
      <c r="N17" s="39">
        <v>507.89871389999985</v>
      </c>
      <c r="O17" s="39">
        <v>587.7772455999999</v>
      </c>
      <c r="P17" s="39">
        <v>611.98928689999968</v>
      </c>
      <c r="Q17" s="39">
        <v>403.68168209999982</v>
      </c>
      <c r="R17" s="39">
        <v>721.12147167000001</v>
      </c>
      <c r="S17" s="39">
        <v>503.57387920000002</v>
      </c>
      <c r="T17" s="39">
        <v>801.67157000999987</v>
      </c>
      <c r="U17" s="39">
        <v>995.04662401999963</v>
      </c>
      <c r="V17" s="39">
        <v>465.6</v>
      </c>
      <c r="W17" s="39">
        <v>533.79999999999995</v>
      </c>
      <c r="X17" s="40">
        <v>621.70961328999999</v>
      </c>
    </row>
    <row r="18" spans="2:24" ht="27" x14ac:dyDescent="0.7">
      <c r="B18" s="3" t="s">
        <v>11</v>
      </c>
      <c r="D18" s="34" t="s">
        <v>53</v>
      </c>
      <c r="E18" s="21" t="s">
        <v>32</v>
      </c>
      <c r="F18">
        <v>17</v>
      </c>
      <c r="G18">
        <v>17</v>
      </c>
      <c r="H18">
        <v>1</v>
      </c>
      <c r="I18" s="35" t="s">
        <v>69</v>
      </c>
      <c r="J18" s="36" t="s">
        <v>35</v>
      </c>
      <c r="K18" s="39">
        <v>140.41336819999995</v>
      </c>
      <c r="L18" s="39">
        <v>270.32808199999994</v>
      </c>
      <c r="M18" s="39">
        <v>398.65402320000004</v>
      </c>
      <c r="N18" s="39">
        <v>470.54167910000029</v>
      </c>
      <c r="O18" s="39">
        <v>473.93743130000018</v>
      </c>
      <c r="P18" s="39">
        <v>496.8973008000001</v>
      </c>
      <c r="Q18" s="39">
        <v>531.4500869000002</v>
      </c>
      <c r="R18" s="39">
        <v>316.37424396000017</v>
      </c>
      <c r="S18" s="39">
        <v>217.27421505999988</v>
      </c>
      <c r="T18" s="39">
        <v>277.69597863000001</v>
      </c>
      <c r="U18" s="39">
        <v>356.43601681000013</v>
      </c>
      <c r="V18" s="39">
        <v>271.5</v>
      </c>
      <c r="W18" s="39">
        <v>311.5</v>
      </c>
      <c r="X18" s="40">
        <v>410.77437072000009</v>
      </c>
    </row>
    <row r="19" spans="2:24" ht="27" x14ac:dyDescent="0.7">
      <c r="B19" s="3" t="s">
        <v>11</v>
      </c>
      <c r="D19" s="34" t="s">
        <v>53</v>
      </c>
      <c r="E19" s="21" t="s">
        <v>32</v>
      </c>
      <c r="F19">
        <v>18</v>
      </c>
      <c r="G19">
        <v>18</v>
      </c>
      <c r="H19">
        <v>1</v>
      </c>
      <c r="I19" s="35" t="s">
        <v>70</v>
      </c>
      <c r="J19" s="36" t="s">
        <v>35</v>
      </c>
      <c r="K19" s="39">
        <v>20.5394334</v>
      </c>
      <c r="L19" s="39">
        <v>33.74406530000001</v>
      </c>
      <c r="M19" s="39">
        <v>32.165064500000007</v>
      </c>
      <c r="N19" s="39">
        <v>42.041099100000004</v>
      </c>
      <c r="O19" s="39">
        <v>39.1046938</v>
      </c>
      <c r="P19" s="39">
        <v>149.39939290000001</v>
      </c>
      <c r="Q19" s="39">
        <v>60.743987600000011</v>
      </c>
      <c r="R19" s="39">
        <v>82.145218360000001</v>
      </c>
      <c r="S19" s="39">
        <v>66.76083263999999</v>
      </c>
      <c r="T19" s="39">
        <v>87.463699330000011</v>
      </c>
      <c r="U19" s="39">
        <v>185.44776518999993</v>
      </c>
      <c r="V19" s="39">
        <v>170.6</v>
      </c>
      <c r="W19" s="39">
        <v>183.7</v>
      </c>
      <c r="X19" s="40">
        <v>160.99922523999999</v>
      </c>
    </row>
    <row r="20" spans="2:24" ht="27" x14ac:dyDescent="0.7">
      <c r="B20" s="3" t="s">
        <v>11</v>
      </c>
      <c r="D20" s="34" t="s">
        <v>53</v>
      </c>
      <c r="E20" s="21" t="s">
        <v>32</v>
      </c>
      <c r="F20">
        <v>19</v>
      </c>
      <c r="G20">
        <v>19</v>
      </c>
      <c r="H20">
        <v>1</v>
      </c>
      <c r="I20" s="35" t="s">
        <v>71</v>
      </c>
      <c r="J20" s="36" t="s">
        <v>35</v>
      </c>
      <c r="K20" s="39">
        <v>4.3324197999999994</v>
      </c>
      <c r="L20" s="39">
        <v>2.7322706000000001</v>
      </c>
      <c r="M20" s="39">
        <v>4.5785301999999994</v>
      </c>
      <c r="N20" s="39">
        <v>1.7380576000000001</v>
      </c>
      <c r="O20" s="39">
        <v>7.1383388999999999</v>
      </c>
      <c r="P20" s="39">
        <v>1.1568164000000001</v>
      </c>
      <c r="Q20" s="39">
        <v>10.257240300000005</v>
      </c>
      <c r="R20" s="39">
        <v>9.6354250399999994</v>
      </c>
      <c r="S20" s="39">
        <v>2.5292917699999999</v>
      </c>
      <c r="T20" s="39">
        <v>12.118753620000001</v>
      </c>
      <c r="U20" s="39">
        <v>3.3086048299999997</v>
      </c>
      <c r="V20" s="39">
        <v>7.2</v>
      </c>
      <c r="W20" s="39">
        <v>5.6</v>
      </c>
      <c r="X20" s="40">
        <v>11.127451000000001</v>
      </c>
    </row>
    <row r="21" spans="2:24" ht="27" x14ac:dyDescent="0.7">
      <c r="B21" s="3" t="s">
        <v>11</v>
      </c>
      <c r="D21" s="34" t="s">
        <v>53</v>
      </c>
      <c r="E21" s="21" t="s">
        <v>32</v>
      </c>
      <c r="F21">
        <v>20</v>
      </c>
      <c r="G21">
        <v>20</v>
      </c>
      <c r="H21">
        <v>1</v>
      </c>
      <c r="I21" s="35" t="s">
        <v>72</v>
      </c>
      <c r="J21" s="36" t="s">
        <v>35</v>
      </c>
      <c r="K21" s="39">
        <v>755.75865490000012</v>
      </c>
      <c r="L21" s="39">
        <v>616.78404049999995</v>
      </c>
      <c r="M21" s="39">
        <v>628.74300929999993</v>
      </c>
      <c r="N21" s="39">
        <v>456.07767059999998</v>
      </c>
      <c r="O21" s="39">
        <v>1130.1178104000001</v>
      </c>
      <c r="P21" s="39">
        <v>1352.7080332999997</v>
      </c>
      <c r="Q21" s="39">
        <v>2131.1484181000005</v>
      </c>
      <c r="R21" s="39">
        <v>1647.6739870900001</v>
      </c>
      <c r="S21" s="39">
        <v>1962.8681738099999</v>
      </c>
      <c r="T21" s="39">
        <v>6155.2393524199997</v>
      </c>
      <c r="U21" s="39">
        <v>6020.3669529500012</v>
      </c>
      <c r="V21" s="39">
        <v>9747.2999999999993</v>
      </c>
      <c r="W21" s="39">
        <v>10885.3</v>
      </c>
      <c r="X21" s="40">
        <v>13667.913388799996</v>
      </c>
    </row>
    <row r="22" spans="2:24" ht="27" x14ac:dyDescent="0.7">
      <c r="B22" s="3" t="s">
        <v>11</v>
      </c>
      <c r="D22" s="34" t="s">
        <v>53</v>
      </c>
      <c r="E22" s="21" t="s">
        <v>32</v>
      </c>
      <c r="F22">
        <v>21</v>
      </c>
      <c r="G22">
        <v>21</v>
      </c>
      <c r="H22">
        <v>20</v>
      </c>
      <c r="I22" s="43" t="s">
        <v>73</v>
      </c>
      <c r="J22" s="36" t="s">
        <v>35</v>
      </c>
      <c r="K22" s="39">
        <v>28.478608400000006</v>
      </c>
      <c r="L22" s="39">
        <v>26.156959900000007</v>
      </c>
      <c r="M22" s="39">
        <v>53.506008399999992</v>
      </c>
      <c r="N22" s="39">
        <v>71.43001689999997</v>
      </c>
      <c r="O22" s="39">
        <v>71.507854800000004</v>
      </c>
      <c r="P22" s="39">
        <v>75.632271099999997</v>
      </c>
      <c r="Q22" s="39">
        <v>71.738942599999987</v>
      </c>
      <c r="R22" s="39">
        <v>56.830958310000007</v>
      </c>
      <c r="S22" s="39">
        <v>38.378877699999997</v>
      </c>
      <c r="T22" s="39">
        <v>44.697983380000004</v>
      </c>
      <c r="U22" s="39">
        <v>85.278277029999884</v>
      </c>
      <c r="V22" s="39">
        <v>56.2</v>
      </c>
      <c r="W22" s="39">
        <v>52.6</v>
      </c>
      <c r="X22" s="40">
        <v>75.26797581999999</v>
      </c>
    </row>
    <row r="23" spans="2:24" ht="27" x14ac:dyDescent="0.7">
      <c r="B23" s="3" t="s">
        <v>11</v>
      </c>
      <c r="D23" s="34" t="s">
        <v>53</v>
      </c>
      <c r="E23" s="21" t="s">
        <v>32</v>
      </c>
      <c r="F23">
        <v>22</v>
      </c>
      <c r="G23">
        <v>22</v>
      </c>
      <c r="H23">
        <v>20</v>
      </c>
      <c r="I23" s="43" t="s">
        <v>74</v>
      </c>
      <c r="J23" s="36" t="s">
        <v>35</v>
      </c>
      <c r="K23" s="39">
        <v>0.35474479999999997</v>
      </c>
      <c r="L23" s="39">
        <v>0.84244479999999988</v>
      </c>
      <c r="M23" s="39">
        <v>0.17163239999999999</v>
      </c>
      <c r="N23" s="39">
        <v>0.29239999999999999</v>
      </c>
      <c r="O23" s="39">
        <v>0.151922</v>
      </c>
      <c r="P23" s="39">
        <v>0.38196920000000001</v>
      </c>
      <c r="Q23" s="39">
        <v>0.67409180000000002</v>
      </c>
      <c r="R23" s="39">
        <v>0.68343823999999997</v>
      </c>
      <c r="S23" s="39">
        <v>2.6146206599999999</v>
      </c>
      <c r="T23" s="39">
        <v>2.1006911600000002</v>
      </c>
      <c r="U23" s="39">
        <v>1.76995992</v>
      </c>
      <c r="V23" s="39">
        <v>1.7</v>
      </c>
      <c r="W23" s="39">
        <v>2.6</v>
      </c>
      <c r="X23" s="40">
        <v>75.26797581999999</v>
      </c>
    </row>
    <row r="24" spans="2:24" ht="27" x14ac:dyDescent="0.7">
      <c r="B24" s="3" t="s">
        <v>11</v>
      </c>
      <c r="D24" s="34" t="s">
        <v>53</v>
      </c>
      <c r="E24" s="21" t="s">
        <v>32</v>
      </c>
      <c r="F24">
        <v>23</v>
      </c>
      <c r="G24">
        <v>23</v>
      </c>
      <c r="H24">
        <v>20</v>
      </c>
      <c r="I24" s="43" t="s">
        <v>75</v>
      </c>
      <c r="J24" s="36" t="s">
        <v>35</v>
      </c>
      <c r="K24" s="39">
        <v>726.92530170000009</v>
      </c>
      <c r="L24" s="39">
        <v>589.78463579999993</v>
      </c>
      <c r="M24" s="39">
        <v>575.06536849999998</v>
      </c>
      <c r="N24" s="39">
        <v>384.35525369999999</v>
      </c>
      <c r="O24" s="39">
        <v>1058.4580336000001</v>
      </c>
      <c r="P24" s="39">
        <v>1276.6937929999997</v>
      </c>
      <c r="Q24" s="39">
        <v>2058.7353837000005</v>
      </c>
      <c r="R24" s="39">
        <v>1590.1595905400002</v>
      </c>
      <c r="S24" s="39">
        <v>1921.87467545</v>
      </c>
      <c r="T24" s="39">
        <v>6108.4406778800003</v>
      </c>
      <c r="U24" s="39">
        <v>5933.3187160000007</v>
      </c>
      <c r="V24" s="39">
        <v>9689.4</v>
      </c>
      <c r="W24" s="39">
        <v>10830.1</v>
      </c>
      <c r="X24" s="40">
        <v>13590.357572499996</v>
      </c>
    </row>
    <row r="25" spans="2:24" ht="27" x14ac:dyDescent="0.7">
      <c r="B25" s="3" t="s">
        <v>11</v>
      </c>
      <c r="D25" s="34" t="s">
        <v>53</v>
      </c>
      <c r="E25" s="21" t="s">
        <v>32</v>
      </c>
      <c r="F25">
        <v>24</v>
      </c>
      <c r="G25">
        <v>24</v>
      </c>
      <c r="H25">
        <v>1</v>
      </c>
      <c r="I25" s="35" t="s">
        <v>76</v>
      </c>
      <c r="J25" s="36" t="s">
        <v>35</v>
      </c>
      <c r="K25" s="39">
        <v>309.27038040000002</v>
      </c>
      <c r="L25" s="39">
        <v>354.49358649999994</v>
      </c>
      <c r="M25" s="39">
        <v>543.56654280000009</v>
      </c>
      <c r="N25" s="39">
        <v>549.83578710000006</v>
      </c>
      <c r="O25" s="39">
        <v>785.0093807999998</v>
      </c>
      <c r="P25" s="39">
        <v>800.56439029999967</v>
      </c>
      <c r="Q25" s="39">
        <v>867.33095400000025</v>
      </c>
      <c r="R25" s="39">
        <v>951.73810189000005</v>
      </c>
      <c r="S25" s="39">
        <v>1071.46219498</v>
      </c>
      <c r="T25" s="39">
        <v>891.03178084000035</v>
      </c>
      <c r="U25" s="39">
        <v>1199.2079174500004</v>
      </c>
      <c r="V25" s="39">
        <v>1443.3</v>
      </c>
      <c r="W25" s="39">
        <v>1496.2</v>
      </c>
      <c r="X25" s="39">
        <v>1651.0920531700006</v>
      </c>
    </row>
    <row r="26" spans="2:24" ht="26.4" x14ac:dyDescent="0.3">
      <c r="J26" s="29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  <c r="V26" s="45"/>
      <c r="W26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2FA4-AE02-45E6-89AA-87D3C84842DC}">
  <sheetPr>
    <tabColor rgb="FF92D050"/>
  </sheetPr>
  <dimension ref="A1:X82"/>
  <sheetViews>
    <sheetView zoomScale="62" workbookViewId="0">
      <selection activeCell="J10" sqref="J10"/>
    </sheetView>
  </sheetViews>
  <sheetFormatPr baseColWidth="10" defaultRowHeight="14.4" x14ac:dyDescent="0.3"/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46">
        <v>2011</v>
      </c>
      <c r="L1" s="46">
        <v>2012</v>
      </c>
      <c r="M1" s="46">
        <v>2013</v>
      </c>
      <c r="N1" s="46">
        <v>2014</v>
      </c>
      <c r="O1" s="46">
        <v>2015</v>
      </c>
      <c r="P1" s="46">
        <v>2016</v>
      </c>
      <c r="Q1" s="46">
        <v>2017</v>
      </c>
      <c r="R1" s="46">
        <v>2018</v>
      </c>
      <c r="S1" s="46">
        <v>2019</v>
      </c>
      <c r="T1" s="46">
        <v>2020</v>
      </c>
      <c r="U1" s="46">
        <v>2021</v>
      </c>
      <c r="V1" s="46">
        <v>2022</v>
      </c>
      <c r="W1" s="46">
        <v>2023</v>
      </c>
      <c r="X1" s="46">
        <v>2024</v>
      </c>
    </row>
    <row r="2" spans="1:24" ht="26.4" x14ac:dyDescent="0.7">
      <c r="B2" s="3" t="s">
        <v>11</v>
      </c>
      <c r="D2" s="20" t="s">
        <v>77</v>
      </c>
      <c r="E2" s="20" t="s">
        <v>78</v>
      </c>
      <c r="F2">
        <v>1</v>
      </c>
      <c r="G2">
        <v>1</v>
      </c>
      <c r="I2" s="10" t="s">
        <v>66</v>
      </c>
      <c r="J2" s="47" t="s">
        <v>35</v>
      </c>
      <c r="K2" s="48">
        <v>452.1</v>
      </c>
      <c r="L2" s="48">
        <v>596.29999999999995</v>
      </c>
      <c r="M2" s="48">
        <v>651.29999999999995</v>
      </c>
      <c r="N2" s="48">
        <v>720.7</v>
      </c>
      <c r="O2" s="48">
        <v>793.4</v>
      </c>
      <c r="P2" s="48">
        <v>831.6</v>
      </c>
      <c r="Q2" s="48">
        <v>1628.5</v>
      </c>
      <c r="R2" s="48">
        <v>1845.8</v>
      </c>
      <c r="S2" s="48">
        <v>1554.1</v>
      </c>
      <c r="T2" s="48">
        <v>2504.8595937100004</v>
      </c>
      <c r="U2" s="48">
        <v>4018.9905163299977</v>
      </c>
      <c r="V2" s="48">
        <v>3672.1500961500005</v>
      </c>
      <c r="W2" s="48">
        <v>2739.0029420399997</v>
      </c>
      <c r="X2" s="48">
        <v>2753.822537009999</v>
      </c>
    </row>
    <row r="3" spans="1:24" ht="26.4" x14ac:dyDescent="0.7">
      <c r="B3" s="3" t="s">
        <v>11</v>
      </c>
      <c r="D3" s="20" t="s">
        <v>77</v>
      </c>
      <c r="E3" s="20" t="s">
        <v>78</v>
      </c>
      <c r="F3">
        <v>2</v>
      </c>
      <c r="G3">
        <v>2</v>
      </c>
      <c r="H3">
        <v>1</v>
      </c>
      <c r="I3" s="49" t="s">
        <v>79</v>
      </c>
      <c r="J3" s="47" t="s">
        <v>35</v>
      </c>
      <c r="K3" s="48">
        <v>157.6</v>
      </c>
      <c r="L3" s="48">
        <v>168.9</v>
      </c>
      <c r="M3" s="48">
        <v>231.7</v>
      </c>
      <c r="N3" s="48">
        <v>286.3</v>
      </c>
      <c r="O3" s="48">
        <v>301.8</v>
      </c>
      <c r="P3" s="48">
        <v>355.9</v>
      </c>
      <c r="Q3" s="48">
        <v>631.79999999999995</v>
      </c>
      <c r="R3" s="48">
        <v>862.5</v>
      </c>
      <c r="S3" s="48">
        <v>918.9</v>
      </c>
      <c r="T3" s="48">
        <v>721.11737620999941</v>
      </c>
      <c r="U3" s="48">
        <v>2476.5505978199981</v>
      </c>
      <c r="V3" s="48">
        <v>2111.3062805300001</v>
      </c>
      <c r="W3" s="48">
        <v>1328.3418219999994</v>
      </c>
      <c r="X3" s="48">
        <v>1240.6792734399992</v>
      </c>
    </row>
    <row r="4" spans="1:24" ht="26.4" x14ac:dyDescent="0.7">
      <c r="B4" s="3" t="s">
        <v>11</v>
      </c>
      <c r="D4" s="20" t="s">
        <v>77</v>
      </c>
      <c r="E4" s="20" t="s">
        <v>78</v>
      </c>
      <c r="F4">
        <v>3</v>
      </c>
      <c r="G4">
        <v>3</v>
      </c>
      <c r="H4">
        <v>1</v>
      </c>
      <c r="I4" s="49" t="s">
        <v>80</v>
      </c>
      <c r="J4" s="47" t="s">
        <v>35</v>
      </c>
      <c r="K4" s="48">
        <v>260.60000000000002</v>
      </c>
      <c r="L4" s="48">
        <v>351</v>
      </c>
      <c r="M4" s="48">
        <v>273.2</v>
      </c>
      <c r="N4" s="48">
        <v>350.4</v>
      </c>
      <c r="O4" s="48">
        <v>395.3</v>
      </c>
      <c r="P4" s="48">
        <v>390.7</v>
      </c>
      <c r="Q4" s="48">
        <v>922.6</v>
      </c>
      <c r="R4" s="48">
        <v>884.2</v>
      </c>
      <c r="S4" s="48">
        <v>527</v>
      </c>
      <c r="T4" s="48">
        <v>1564.2205864200014</v>
      </c>
      <c r="U4" s="48">
        <v>1428.5580841599997</v>
      </c>
      <c r="V4" s="48">
        <v>1478.9909803700004</v>
      </c>
      <c r="W4" s="48">
        <v>915.85583290000011</v>
      </c>
      <c r="X4" s="48">
        <v>928.14500797000005</v>
      </c>
    </row>
    <row r="5" spans="1:24" ht="26.4" x14ac:dyDescent="0.7">
      <c r="B5" s="3" t="s">
        <v>11</v>
      </c>
      <c r="D5" s="20" t="s">
        <v>77</v>
      </c>
      <c r="E5" s="20" t="s">
        <v>78</v>
      </c>
      <c r="F5">
        <v>4</v>
      </c>
      <c r="G5">
        <v>4</v>
      </c>
      <c r="I5" s="10" t="s">
        <v>81</v>
      </c>
      <c r="J5" s="47" t="s">
        <v>35</v>
      </c>
      <c r="K5" s="48">
        <v>301.60000000000002</v>
      </c>
      <c r="L5" s="48">
        <v>332.4</v>
      </c>
      <c r="M5" s="48">
        <v>511</v>
      </c>
      <c r="N5" s="48">
        <v>529.4</v>
      </c>
      <c r="O5" s="48">
        <v>766.1</v>
      </c>
      <c r="P5" s="48">
        <v>785.6</v>
      </c>
      <c r="Q5" s="48">
        <v>848.9</v>
      </c>
      <c r="R5" s="48">
        <v>946.3</v>
      </c>
      <c r="S5" s="48">
        <v>1059.7</v>
      </c>
      <c r="T5" s="48">
        <v>869.91803582</v>
      </c>
      <c r="U5" s="48">
        <v>1166.4482914300008</v>
      </c>
      <c r="V5" s="48">
        <v>1347.1920860900002</v>
      </c>
      <c r="W5" s="48">
        <v>1446.7888461199993</v>
      </c>
      <c r="X5" s="48">
        <v>1565.1147556700002</v>
      </c>
    </row>
    <row r="6" spans="1:24" ht="26.4" x14ac:dyDescent="0.7">
      <c r="B6" s="3" t="s">
        <v>11</v>
      </c>
      <c r="D6" s="20" t="s">
        <v>77</v>
      </c>
      <c r="E6" s="20" t="s">
        <v>78</v>
      </c>
      <c r="F6">
        <v>5</v>
      </c>
      <c r="G6">
        <v>5</v>
      </c>
      <c r="H6">
        <v>4</v>
      </c>
      <c r="I6" s="49" t="s">
        <v>82</v>
      </c>
      <c r="J6" s="47" t="s">
        <v>35</v>
      </c>
      <c r="K6" s="48">
        <v>55.6</v>
      </c>
      <c r="L6" s="48">
        <v>100.5</v>
      </c>
      <c r="M6" s="48">
        <v>167.6</v>
      </c>
      <c r="N6" s="48">
        <v>220.3</v>
      </c>
      <c r="O6" s="48">
        <v>538.4</v>
      </c>
      <c r="P6" s="48">
        <v>550</v>
      </c>
      <c r="Q6" s="48">
        <v>371</v>
      </c>
      <c r="R6" s="48">
        <v>318.7</v>
      </c>
      <c r="S6" s="48">
        <v>510.6</v>
      </c>
      <c r="T6" s="48">
        <v>442.17268663999999</v>
      </c>
      <c r="U6" s="48">
        <v>370.92073244000011</v>
      </c>
      <c r="V6" s="48">
        <v>657.5902563999997</v>
      </c>
      <c r="W6" s="48">
        <v>700.54834701999903</v>
      </c>
      <c r="X6" s="48">
        <v>879.32561626999995</v>
      </c>
    </row>
    <row r="7" spans="1:24" ht="26.4" x14ac:dyDescent="0.7">
      <c r="B7" s="3" t="s">
        <v>11</v>
      </c>
      <c r="D7" s="20" t="s">
        <v>77</v>
      </c>
      <c r="E7" s="20" t="s">
        <v>78</v>
      </c>
      <c r="F7">
        <v>6</v>
      </c>
      <c r="G7">
        <v>6</v>
      </c>
      <c r="H7">
        <v>4</v>
      </c>
      <c r="I7" s="49" t="s">
        <v>83</v>
      </c>
      <c r="J7" s="47" t="s">
        <v>35</v>
      </c>
      <c r="K7" s="48" t="s">
        <v>84</v>
      </c>
      <c r="L7" s="48" t="s">
        <v>84</v>
      </c>
      <c r="M7" s="48" t="s">
        <v>84</v>
      </c>
      <c r="N7" s="48" t="s">
        <v>84</v>
      </c>
      <c r="O7" s="48" t="s">
        <v>84</v>
      </c>
      <c r="P7" s="48" t="s">
        <v>84</v>
      </c>
      <c r="Q7" s="48">
        <v>1.2</v>
      </c>
      <c r="R7" s="48">
        <v>8.9</v>
      </c>
      <c r="S7" s="48">
        <v>51.6</v>
      </c>
      <c r="T7" s="48">
        <v>72.157284630000007</v>
      </c>
      <c r="U7" s="48">
        <v>176.91022843000007</v>
      </c>
      <c r="V7" s="48">
        <v>262.37870761000005</v>
      </c>
      <c r="W7" s="48">
        <v>371.77734270000002</v>
      </c>
      <c r="X7" s="48">
        <v>313.69077836999992</v>
      </c>
    </row>
    <row r="8" spans="1:24" ht="26.4" x14ac:dyDescent="0.7">
      <c r="B8" s="3" t="s">
        <v>11</v>
      </c>
      <c r="D8" s="20" t="s">
        <v>77</v>
      </c>
      <c r="E8" s="20" t="s">
        <v>78</v>
      </c>
      <c r="F8">
        <v>7</v>
      </c>
      <c r="G8">
        <v>7</v>
      </c>
      <c r="H8">
        <v>4</v>
      </c>
      <c r="I8" s="49" t="s">
        <v>85</v>
      </c>
      <c r="J8" s="47" t="s">
        <v>35</v>
      </c>
      <c r="K8" s="48">
        <v>173.5</v>
      </c>
      <c r="L8" s="48">
        <v>165.8</v>
      </c>
      <c r="M8" s="48">
        <v>268</v>
      </c>
      <c r="N8" s="48">
        <v>248.3</v>
      </c>
      <c r="O8" s="48">
        <v>122.8</v>
      </c>
      <c r="P8" s="48">
        <v>63.2</v>
      </c>
      <c r="Q8" s="48">
        <v>97</v>
      </c>
      <c r="R8" s="48">
        <v>228.7</v>
      </c>
      <c r="S8" s="48">
        <v>204.3</v>
      </c>
      <c r="T8" s="48">
        <v>103.54523923000008</v>
      </c>
      <c r="U8" s="48">
        <v>278.29160336000086</v>
      </c>
      <c r="V8" s="48">
        <v>216.45851173000045</v>
      </c>
      <c r="W8" s="48">
        <v>213.44852432000016</v>
      </c>
      <c r="X8" s="48">
        <v>257.24803817000037</v>
      </c>
    </row>
    <row r="9" spans="1:24" ht="26.4" x14ac:dyDescent="0.7">
      <c r="B9" s="3" t="s">
        <v>11</v>
      </c>
      <c r="D9" s="20" t="s">
        <v>77</v>
      </c>
      <c r="E9" s="20" t="s">
        <v>78</v>
      </c>
      <c r="F9">
        <v>8</v>
      </c>
      <c r="G9">
        <v>8</v>
      </c>
      <c r="H9">
        <v>4</v>
      </c>
      <c r="I9" s="49" t="s">
        <v>80</v>
      </c>
      <c r="J9" s="47" t="s">
        <v>35</v>
      </c>
      <c r="K9" s="48">
        <v>40.4</v>
      </c>
      <c r="L9" s="48">
        <v>35.6</v>
      </c>
      <c r="M9" s="48">
        <v>43.2</v>
      </c>
      <c r="N9" s="48">
        <v>31.9</v>
      </c>
      <c r="O9" s="48">
        <v>84.8</v>
      </c>
      <c r="P9" s="48">
        <v>52.5</v>
      </c>
      <c r="Q9" s="48">
        <v>258.7</v>
      </c>
      <c r="R9" s="48">
        <v>301.39999999999998</v>
      </c>
      <c r="S9" s="48">
        <v>168.8</v>
      </c>
      <c r="T9" s="48">
        <v>25.948174880000003</v>
      </c>
      <c r="U9" s="48">
        <v>36.270300909999996</v>
      </c>
      <c r="V9" s="48">
        <v>78.557391930000009</v>
      </c>
      <c r="W9" s="48">
        <v>74.178716349999988</v>
      </c>
      <c r="X9" s="48">
        <v>46.671865670000003</v>
      </c>
    </row>
    <row r="10" spans="1:24" ht="26.4" x14ac:dyDescent="0.7">
      <c r="B10" s="3" t="s">
        <v>11</v>
      </c>
      <c r="D10" s="20" t="s">
        <v>77</v>
      </c>
      <c r="E10" s="20" t="s">
        <v>78</v>
      </c>
      <c r="F10">
        <v>9</v>
      </c>
      <c r="G10">
        <v>9</v>
      </c>
      <c r="I10" s="10" t="s">
        <v>86</v>
      </c>
      <c r="J10" s="47" t="s">
        <v>35</v>
      </c>
      <c r="K10" s="48">
        <v>923.5</v>
      </c>
      <c r="L10" s="48">
        <v>943.7</v>
      </c>
      <c r="M10" s="48">
        <v>971.2</v>
      </c>
      <c r="N10" s="48">
        <v>889.7</v>
      </c>
      <c r="O10" s="48">
        <v>915.8</v>
      </c>
      <c r="P10" s="48">
        <v>862.9</v>
      </c>
      <c r="Q10" s="48">
        <v>1209.2</v>
      </c>
      <c r="R10" s="48">
        <v>1355.6</v>
      </c>
      <c r="S10" s="48">
        <v>1587.4</v>
      </c>
      <c r="T10" s="48">
        <v>803.72612655999978</v>
      </c>
      <c r="U10" s="48">
        <v>1077.96475442</v>
      </c>
      <c r="V10" s="48">
        <v>919.57962260999989</v>
      </c>
      <c r="W10" s="48">
        <v>1012.3136077299999</v>
      </c>
      <c r="X10" s="48">
        <v>923.6468080599999</v>
      </c>
    </row>
    <row r="11" spans="1:24" ht="26.4" x14ac:dyDescent="0.7">
      <c r="B11" s="3" t="s">
        <v>11</v>
      </c>
      <c r="D11" s="20" t="s">
        <v>77</v>
      </c>
      <c r="E11" s="20" t="s">
        <v>78</v>
      </c>
      <c r="F11">
        <v>10</v>
      </c>
      <c r="G11">
        <v>10</v>
      </c>
      <c r="H11">
        <v>9</v>
      </c>
      <c r="I11" s="49" t="s">
        <v>87</v>
      </c>
      <c r="J11" s="47" t="s">
        <v>35</v>
      </c>
      <c r="K11" s="48">
        <v>463</v>
      </c>
      <c r="L11" s="48">
        <v>391.8</v>
      </c>
      <c r="M11" s="48">
        <v>481.5</v>
      </c>
      <c r="N11" s="48">
        <v>206.5</v>
      </c>
      <c r="O11" s="48">
        <v>371.8</v>
      </c>
      <c r="P11" s="48">
        <v>415.8</v>
      </c>
      <c r="Q11" s="48">
        <v>163.30000000000001</v>
      </c>
      <c r="R11" s="48">
        <v>380.1</v>
      </c>
      <c r="S11" s="48">
        <v>342.9</v>
      </c>
      <c r="T11" s="48">
        <v>212.05783242999999</v>
      </c>
      <c r="U11" s="48">
        <v>279.35296744999999</v>
      </c>
      <c r="V11" s="48">
        <v>229.31347032999992</v>
      </c>
      <c r="W11" s="48">
        <v>190.80816730999993</v>
      </c>
      <c r="X11" s="48">
        <v>71.52080694</v>
      </c>
    </row>
    <row r="12" spans="1:24" ht="26.4" x14ac:dyDescent="0.7">
      <c r="B12" s="3" t="s">
        <v>11</v>
      </c>
      <c r="D12" s="20" t="s">
        <v>77</v>
      </c>
      <c r="E12" s="20" t="s">
        <v>78</v>
      </c>
      <c r="F12">
        <v>11</v>
      </c>
      <c r="G12">
        <v>11</v>
      </c>
      <c r="H12">
        <v>9</v>
      </c>
      <c r="I12" s="49" t="s">
        <v>88</v>
      </c>
      <c r="J12" s="47" t="s">
        <v>35</v>
      </c>
      <c r="K12" s="48">
        <v>12.6</v>
      </c>
      <c r="L12" s="48">
        <v>16</v>
      </c>
      <c r="M12" s="48">
        <v>44.9</v>
      </c>
      <c r="N12" s="48">
        <v>38.6</v>
      </c>
      <c r="O12" s="48">
        <v>118.7</v>
      </c>
      <c r="P12" s="48">
        <v>73</v>
      </c>
      <c r="Q12" s="48">
        <v>102.3</v>
      </c>
      <c r="R12" s="48">
        <v>105.4</v>
      </c>
      <c r="S12" s="48">
        <v>208.7</v>
      </c>
      <c r="T12" s="48">
        <v>145.35224617000006</v>
      </c>
      <c r="U12" s="48">
        <v>152.98117108999998</v>
      </c>
      <c r="V12" s="48">
        <v>119.44130706999999</v>
      </c>
      <c r="W12" s="48">
        <v>136.46626711000002</v>
      </c>
      <c r="X12" s="48">
        <v>123.25508222999999</v>
      </c>
    </row>
    <row r="13" spans="1:24" ht="26.4" x14ac:dyDescent="0.7">
      <c r="B13" s="3" t="s">
        <v>11</v>
      </c>
      <c r="D13" s="20" t="s">
        <v>77</v>
      </c>
      <c r="E13" s="20" t="s">
        <v>78</v>
      </c>
      <c r="F13">
        <v>12</v>
      </c>
      <c r="G13">
        <v>12</v>
      </c>
      <c r="H13">
        <v>9</v>
      </c>
      <c r="I13" s="49" t="s">
        <v>89</v>
      </c>
      <c r="J13" s="47" t="s">
        <v>35</v>
      </c>
      <c r="K13" s="48" t="s">
        <v>84</v>
      </c>
      <c r="L13" s="48" t="s">
        <v>84</v>
      </c>
      <c r="M13" s="48" t="s">
        <v>84</v>
      </c>
      <c r="N13" s="48">
        <v>7.2</v>
      </c>
      <c r="O13" s="48">
        <v>116.1</v>
      </c>
      <c r="P13" s="48">
        <v>56</v>
      </c>
      <c r="Q13" s="48">
        <v>80.900000000000006</v>
      </c>
      <c r="R13" s="48">
        <v>49</v>
      </c>
      <c r="S13" s="48">
        <v>83.2</v>
      </c>
      <c r="T13" s="48">
        <v>68.731857219999952</v>
      </c>
      <c r="U13" s="48">
        <v>120.18652506999993</v>
      </c>
      <c r="V13" s="48">
        <v>113.49624073999998</v>
      </c>
      <c r="W13" s="48">
        <v>6.7270457400000003</v>
      </c>
      <c r="X13" s="48">
        <v>1.4437271</v>
      </c>
    </row>
    <row r="14" spans="1:24" ht="26.4" x14ac:dyDescent="0.7">
      <c r="B14" s="3" t="s">
        <v>11</v>
      </c>
      <c r="D14" s="20" t="s">
        <v>77</v>
      </c>
      <c r="E14" s="20" t="s">
        <v>78</v>
      </c>
      <c r="F14">
        <v>13</v>
      </c>
      <c r="G14">
        <v>13</v>
      </c>
      <c r="H14">
        <v>9</v>
      </c>
      <c r="I14" s="49" t="s">
        <v>90</v>
      </c>
      <c r="J14" s="47" t="s">
        <v>35</v>
      </c>
      <c r="K14" s="48">
        <v>69.8</v>
      </c>
      <c r="L14" s="48">
        <v>67.5</v>
      </c>
      <c r="M14" s="48">
        <v>128.5</v>
      </c>
      <c r="N14" s="48">
        <v>98.7</v>
      </c>
      <c r="O14" s="48">
        <v>74</v>
      </c>
      <c r="P14" s="48">
        <v>58.7</v>
      </c>
      <c r="Q14" s="48">
        <v>55.9</v>
      </c>
      <c r="R14" s="48">
        <v>121.8</v>
      </c>
      <c r="S14" s="48">
        <v>130.1</v>
      </c>
      <c r="T14" s="48">
        <v>120.47816450999998</v>
      </c>
      <c r="U14" s="48">
        <v>148.98443031000002</v>
      </c>
      <c r="V14" s="48">
        <v>91.083539459999997</v>
      </c>
      <c r="W14" s="48">
        <v>141.84664474000002</v>
      </c>
      <c r="X14" s="48">
        <v>141.55059437</v>
      </c>
    </row>
    <row r="15" spans="1:24" ht="26.4" x14ac:dyDescent="0.7">
      <c r="B15" s="3" t="s">
        <v>11</v>
      </c>
      <c r="D15" s="20" t="s">
        <v>77</v>
      </c>
      <c r="E15" s="20" t="s">
        <v>78</v>
      </c>
      <c r="F15">
        <v>14</v>
      </c>
      <c r="G15">
        <v>14</v>
      </c>
      <c r="H15">
        <v>9</v>
      </c>
      <c r="I15" s="49" t="s">
        <v>91</v>
      </c>
      <c r="J15" s="47" t="s">
        <v>35</v>
      </c>
      <c r="K15" s="48">
        <v>5.9</v>
      </c>
      <c r="L15" s="48">
        <v>63.2</v>
      </c>
      <c r="M15" s="48">
        <v>7.9</v>
      </c>
      <c r="N15" s="48">
        <v>187.6</v>
      </c>
      <c r="O15" s="48">
        <v>17.399999999999999</v>
      </c>
      <c r="P15" s="48">
        <v>42.5</v>
      </c>
      <c r="Q15" s="48">
        <v>103.2</v>
      </c>
      <c r="R15" s="48">
        <v>35.700000000000003</v>
      </c>
      <c r="S15" s="48">
        <v>68</v>
      </c>
      <c r="T15" s="48">
        <v>81.624350369999959</v>
      </c>
      <c r="U15" s="48">
        <v>107.59452883</v>
      </c>
      <c r="V15" s="48">
        <v>87.173910679999992</v>
      </c>
      <c r="W15" s="48">
        <v>64.211209029999978</v>
      </c>
      <c r="X15" s="48">
        <v>54.514874349999992</v>
      </c>
    </row>
    <row r="16" spans="1:24" ht="26.4" x14ac:dyDescent="0.7">
      <c r="B16" s="3" t="s">
        <v>11</v>
      </c>
      <c r="D16" s="20" t="s">
        <v>77</v>
      </c>
      <c r="E16" s="20" t="s">
        <v>78</v>
      </c>
      <c r="F16">
        <v>15</v>
      </c>
      <c r="G16">
        <v>15</v>
      </c>
      <c r="H16">
        <v>9</v>
      </c>
      <c r="I16" s="49" t="s">
        <v>79</v>
      </c>
      <c r="J16" s="47" t="s">
        <v>35</v>
      </c>
      <c r="K16" s="48">
        <v>0.9</v>
      </c>
      <c r="L16" s="48">
        <v>0.2</v>
      </c>
      <c r="M16" s="48">
        <v>2.7</v>
      </c>
      <c r="N16" s="48">
        <v>1.3</v>
      </c>
      <c r="O16" s="48">
        <v>1.5</v>
      </c>
      <c r="P16" s="48">
        <v>3</v>
      </c>
      <c r="Q16" s="48">
        <v>2.7</v>
      </c>
      <c r="R16" s="48">
        <v>2.2999999999999998</v>
      </c>
      <c r="S16" s="48">
        <v>1.1000000000000001</v>
      </c>
      <c r="T16" s="48">
        <v>5.3690618099999989</v>
      </c>
      <c r="U16" s="48">
        <v>22.942508619999995</v>
      </c>
      <c r="V16" s="48">
        <v>76.224375699999996</v>
      </c>
      <c r="W16" s="48">
        <v>53.993720289999999</v>
      </c>
      <c r="X16" s="48">
        <v>49.107855280000003</v>
      </c>
    </row>
    <row r="17" spans="2:24" ht="26.4" x14ac:dyDescent="0.7">
      <c r="B17" s="3" t="s">
        <v>11</v>
      </c>
      <c r="D17" s="20" t="s">
        <v>77</v>
      </c>
      <c r="E17" s="20" t="s">
        <v>78</v>
      </c>
      <c r="F17">
        <v>16</v>
      </c>
      <c r="G17">
        <v>16</v>
      </c>
      <c r="H17">
        <v>9</v>
      </c>
      <c r="I17" s="49" t="s">
        <v>80</v>
      </c>
      <c r="J17" s="47" t="s">
        <v>35</v>
      </c>
      <c r="K17" s="48">
        <v>191.9</v>
      </c>
      <c r="L17" s="48">
        <v>222.2</v>
      </c>
      <c r="M17" s="48">
        <v>138.30000000000001</v>
      </c>
      <c r="N17" s="48">
        <v>44.8</v>
      </c>
      <c r="O17" s="48">
        <v>57.7</v>
      </c>
      <c r="P17" s="48">
        <v>70.2</v>
      </c>
      <c r="Q17" s="48">
        <v>433.9</v>
      </c>
      <c r="R17" s="48">
        <v>477.2</v>
      </c>
      <c r="S17" s="48">
        <v>573.79999999999995</v>
      </c>
      <c r="T17" s="48">
        <v>36.641576559999997</v>
      </c>
      <c r="U17" s="48">
        <v>50.254818610000001</v>
      </c>
      <c r="V17" s="48">
        <v>55.727200400000008</v>
      </c>
      <c r="W17" s="48">
        <v>54.909139040000007</v>
      </c>
      <c r="X17" s="48">
        <v>183.75943167999998</v>
      </c>
    </row>
    <row r="18" spans="2:24" ht="26.4" x14ac:dyDescent="0.7">
      <c r="B18" s="3" t="s">
        <v>11</v>
      </c>
      <c r="D18" s="20" t="s">
        <v>77</v>
      </c>
      <c r="E18" s="20" t="s">
        <v>78</v>
      </c>
      <c r="F18">
        <v>17</v>
      </c>
      <c r="G18">
        <v>17</v>
      </c>
      <c r="H18">
        <v>9</v>
      </c>
      <c r="I18" s="49" t="s">
        <v>92</v>
      </c>
      <c r="J18" s="47" t="s">
        <v>35</v>
      </c>
      <c r="K18" s="48">
        <v>21.9</v>
      </c>
      <c r="L18" s="48">
        <v>20.5</v>
      </c>
      <c r="M18" s="48">
        <v>17.3</v>
      </c>
      <c r="N18" s="48">
        <v>92.8</v>
      </c>
      <c r="O18" s="48">
        <v>49.4</v>
      </c>
      <c r="P18" s="48">
        <v>35.700000000000003</v>
      </c>
      <c r="Q18" s="48">
        <v>46.2</v>
      </c>
      <c r="R18" s="48">
        <v>55.6</v>
      </c>
      <c r="S18" s="48">
        <v>48.4</v>
      </c>
      <c r="T18" s="48">
        <v>41.940539610000002</v>
      </c>
      <c r="U18" s="48">
        <v>52.054172389999991</v>
      </c>
      <c r="V18" s="48">
        <v>50.749574730000006</v>
      </c>
      <c r="W18" s="48">
        <v>41.22838419</v>
      </c>
      <c r="X18" s="48">
        <v>55.894589320000009</v>
      </c>
    </row>
    <row r="19" spans="2:24" ht="26.4" x14ac:dyDescent="0.7">
      <c r="B19" s="3" t="s">
        <v>11</v>
      </c>
      <c r="D19" s="20" t="s">
        <v>77</v>
      </c>
      <c r="E19" s="20" t="s">
        <v>78</v>
      </c>
      <c r="F19">
        <v>18</v>
      </c>
      <c r="G19">
        <v>18</v>
      </c>
      <c r="H19">
        <v>9</v>
      </c>
      <c r="I19" s="49" t="s">
        <v>93</v>
      </c>
      <c r="J19" s="47" t="s">
        <v>35</v>
      </c>
      <c r="K19" s="48">
        <v>1.7</v>
      </c>
      <c r="L19" s="48">
        <v>3</v>
      </c>
      <c r="M19" s="48">
        <v>7.6</v>
      </c>
      <c r="N19" s="48">
        <v>4.0999999999999996</v>
      </c>
      <c r="O19" s="48">
        <v>2.2999999999999998</v>
      </c>
      <c r="P19" s="48">
        <v>8.3000000000000007</v>
      </c>
      <c r="Q19" s="48">
        <v>1.1000000000000001</v>
      </c>
      <c r="R19" s="48">
        <v>9.6999999999999993</v>
      </c>
      <c r="S19" s="48">
        <v>3.7</v>
      </c>
      <c r="T19" s="48">
        <v>27.371974809999998</v>
      </c>
      <c r="U19" s="48">
        <v>12.32258364</v>
      </c>
      <c r="V19" s="48">
        <v>39.314439199999995</v>
      </c>
      <c r="W19" s="48">
        <v>199.72651678</v>
      </c>
      <c r="X19" s="48">
        <v>189.27709374</v>
      </c>
    </row>
    <row r="20" spans="2:24" ht="26.4" x14ac:dyDescent="0.7">
      <c r="B20" s="3" t="s">
        <v>11</v>
      </c>
      <c r="D20" s="20" t="s">
        <v>77</v>
      </c>
      <c r="E20" s="20" t="s">
        <v>78</v>
      </c>
      <c r="F20">
        <v>19</v>
      </c>
      <c r="G20">
        <v>19</v>
      </c>
      <c r="H20">
        <v>9</v>
      </c>
      <c r="I20" s="49" t="s">
        <v>83</v>
      </c>
      <c r="J20" s="47" t="s">
        <v>35</v>
      </c>
      <c r="K20" s="48">
        <v>3.1</v>
      </c>
      <c r="L20" s="48">
        <v>2.1</v>
      </c>
      <c r="M20" s="48">
        <v>4</v>
      </c>
      <c r="N20" s="48">
        <v>9.4</v>
      </c>
      <c r="O20" s="48">
        <v>12.8</v>
      </c>
      <c r="P20" s="48">
        <v>9.1999999999999993</v>
      </c>
      <c r="Q20" s="48">
        <v>13.8</v>
      </c>
      <c r="R20" s="48">
        <v>17.7</v>
      </c>
      <c r="S20" s="48">
        <v>13.9</v>
      </c>
      <c r="T20" s="48">
        <v>6.9015950199999994</v>
      </c>
      <c r="U20" s="48">
        <v>10.257800300000001</v>
      </c>
      <c r="V20" s="48">
        <v>17.836074739999997</v>
      </c>
      <c r="W20" s="48">
        <v>18.326022419999997</v>
      </c>
      <c r="X20" s="48">
        <v>5.4707934300000005</v>
      </c>
    </row>
    <row r="21" spans="2:24" ht="26.4" x14ac:dyDescent="0.7">
      <c r="B21" s="3" t="s">
        <v>11</v>
      </c>
      <c r="D21" s="20" t="s">
        <v>77</v>
      </c>
      <c r="E21" s="20" t="s">
        <v>78</v>
      </c>
      <c r="F21">
        <v>20</v>
      </c>
      <c r="G21">
        <v>20</v>
      </c>
      <c r="I21" s="10" t="s">
        <v>59</v>
      </c>
      <c r="J21" s="47" t="s">
        <v>35</v>
      </c>
      <c r="K21" s="48">
        <v>913.2</v>
      </c>
      <c r="L21" s="48">
        <v>1604</v>
      </c>
      <c r="M21" s="48">
        <v>1804.4</v>
      </c>
      <c r="N21" s="48">
        <v>1834.5</v>
      </c>
      <c r="O21" s="48">
        <v>1568</v>
      </c>
      <c r="P21" s="48">
        <v>1032</v>
      </c>
      <c r="Q21" s="48">
        <v>936.7</v>
      </c>
      <c r="R21" s="48">
        <v>1378.7</v>
      </c>
      <c r="S21" s="48">
        <v>1913.7</v>
      </c>
      <c r="T21" s="48">
        <v>962.5690351500001</v>
      </c>
      <c r="U21" s="48">
        <v>884.84590906000005</v>
      </c>
      <c r="V21" s="48">
        <v>860.98769358999994</v>
      </c>
      <c r="W21" s="48">
        <v>636.84641550000003</v>
      </c>
      <c r="X21" s="48">
        <v>617.2626289100001</v>
      </c>
    </row>
    <row r="22" spans="2:24" ht="26.4" x14ac:dyDescent="0.7">
      <c r="B22" s="3" t="s">
        <v>11</v>
      </c>
      <c r="D22" s="20" t="s">
        <v>77</v>
      </c>
      <c r="E22" s="20" t="s">
        <v>78</v>
      </c>
      <c r="F22">
        <v>21</v>
      </c>
      <c r="G22">
        <v>21</v>
      </c>
      <c r="H22">
        <v>20</v>
      </c>
      <c r="I22" s="49" t="s">
        <v>94</v>
      </c>
      <c r="J22" s="47" t="s">
        <v>35</v>
      </c>
      <c r="K22" s="48">
        <v>520.79999999999995</v>
      </c>
      <c r="L22" s="48">
        <v>574.9</v>
      </c>
      <c r="M22" s="48">
        <v>368.6</v>
      </c>
      <c r="N22" s="48">
        <v>503.9</v>
      </c>
      <c r="O22" s="48">
        <v>753.8</v>
      </c>
      <c r="P22" s="48">
        <v>525</v>
      </c>
      <c r="Q22" s="48">
        <v>504.9</v>
      </c>
      <c r="R22" s="48">
        <v>807.8</v>
      </c>
      <c r="S22" s="48">
        <v>489.5</v>
      </c>
      <c r="T22" s="48">
        <v>475.76303410000003</v>
      </c>
      <c r="U22" s="48">
        <v>290.17770887</v>
      </c>
      <c r="V22" s="48">
        <v>518.51543698</v>
      </c>
      <c r="W22" s="48">
        <v>241.63316997000004</v>
      </c>
      <c r="X22" s="48">
        <v>356.07751924000002</v>
      </c>
    </row>
    <row r="23" spans="2:24" ht="26.4" x14ac:dyDescent="0.7">
      <c r="B23" s="3" t="s">
        <v>11</v>
      </c>
      <c r="D23" s="20" t="s">
        <v>77</v>
      </c>
      <c r="E23" s="20" t="s">
        <v>78</v>
      </c>
      <c r="F23">
        <v>22</v>
      </c>
      <c r="G23">
        <v>22</v>
      </c>
      <c r="H23">
        <v>20</v>
      </c>
      <c r="I23" s="49" t="s">
        <v>95</v>
      </c>
      <c r="J23" s="47" t="s">
        <v>35</v>
      </c>
      <c r="K23" s="48">
        <v>4.0999999999999996</v>
      </c>
      <c r="L23" s="48">
        <v>64.099999999999994</v>
      </c>
      <c r="M23" s="48">
        <v>68.8</v>
      </c>
      <c r="N23" s="48">
        <v>127.5</v>
      </c>
      <c r="O23" s="48">
        <v>51.2</v>
      </c>
      <c r="P23" s="48">
        <v>51.3</v>
      </c>
      <c r="Q23" s="48">
        <v>56.2</v>
      </c>
      <c r="R23" s="48">
        <v>78.7</v>
      </c>
      <c r="S23" s="48">
        <v>143.5</v>
      </c>
      <c r="T23" s="48">
        <v>127.43487647000002</v>
      </c>
      <c r="U23" s="48">
        <v>168.40734426000003</v>
      </c>
      <c r="V23" s="48">
        <v>153.64181859999997</v>
      </c>
      <c r="W23" s="48">
        <v>223.15602513000002</v>
      </c>
      <c r="X23" s="48">
        <v>217.97879807000001</v>
      </c>
    </row>
    <row r="24" spans="2:24" ht="26.4" x14ac:dyDescent="0.7">
      <c r="B24" s="3" t="s">
        <v>11</v>
      </c>
      <c r="D24" s="20" t="s">
        <v>77</v>
      </c>
      <c r="E24" s="20" t="s">
        <v>78</v>
      </c>
      <c r="F24">
        <v>23</v>
      </c>
      <c r="G24">
        <v>23</v>
      </c>
      <c r="H24">
        <v>20</v>
      </c>
      <c r="I24" s="49" t="s">
        <v>96</v>
      </c>
      <c r="J24" s="47" t="s">
        <v>35</v>
      </c>
      <c r="K24" s="48">
        <v>185.4</v>
      </c>
      <c r="L24" s="48">
        <v>160.69999999999999</v>
      </c>
      <c r="M24" s="48">
        <v>73.7</v>
      </c>
      <c r="N24" s="48" t="s">
        <v>84</v>
      </c>
      <c r="O24" s="48" t="s">
        <v>84</v>
      </c>
      <c r="P24" s="48">
        <v>0.4</v>
      </c>
      <c r="Q24" s="48" t="s">
        <v>84</v>
      </c>
      <c r="R24" s="48">
        <v>111.4</v>
      </c>
      <c r="S24" s="48">
        <v>149.1</v>
      </c>
      <c r="T24" s="48">
        <v>113.77589999999999</v>
      </c>
      <c r="U24" s="48">
        <v>209.84294600000001</v>
      </c>
      <c r="V24" s="48">
        <v>129.59010599999999</v>
      </c>
      <c r="W24" s="48">
        <v>124.13858999999999</v>
      </c>
      <c r="X24" s="48">
        <v>0</v>
      </c>
    </row>
    <row r="25" spans="2:24" ht="26.4" x14ac:dyDescent="0.7">
      <c r="B25" s="3" t="s">
        <v>11</v>
      </c>
      <c r="D25" s="20" t="s">
        <v>77</v>
      </c>
      <c r="E25" s="20" t="s">
        <v>78</v>
      </c>
      <c r="F25">
        <v>24</v>
      </c>
      <c r="G25">
        <v>24</v>
      </c>
      <c r="I25" s="10" t="s">
        <v>97</v>
      </c>
      <c r="J25" s="47" t="s">
        <v>35</v>
      </c>
      <c r="K25" s="48">
        <v>1028</v>
      </c>
      <c r="L25" s="48">
        <v>1196.9000000000001</v>
      </c>
      <c r="M25" s="48">
        <v>982.1</v>
      </c>
      <c r="N25" s="48">
        <v>1387.2</v>
      </c>
      <c r="O25" s="48">
        <v>975.8</v>
      </c>
      <c r="P25" s="48">
        <v>1298</v>
      </c>
      <c r="Q25" s="48">
        <v>1613.9</v>
      </c>
      <c r="R25" s="48">
        <v>930.5</v>
      </c>
      <c r="S25" s="48">
        <v>868.6</v>
      </c>
      <c r="T25" s="48">
        <v>527.86387121999996</v>
      </c>
      <c r="U25" s="48">
        <v>724.78430121000008</v>
      </c>
      <c r="V25" s="48">
        <v>773.27218400000004</v>
      </c>
      <c r="W25" s="48">
        <v>730.61289073</v>
      </c>
      <c r="X25" s="48">
        <v>885.19767044000002</v>
      </c>
    </row>
    <row r="26" spans="2:24" ht="26.4" x14ac:dyDescent="0.7">
      <c r="B26" s="3" t="s">
        <v>11</v>
      </c>
      <c r="D26" s="20" t="s">
        <v>77</v>
      </c>
      <c r="E26" s="20" t="s">
        <v>78</v>
      </c>
      <c r="F26">
        <v>25</v>
      </c>
      <c r="G26">
        <v>25</v>
      </c>
      <c r="H26">
        <v>24</v>
      </c>
      <c r="I26" s="49" t="s">
        <v>98</v>
      </c>
      <c r="J26" s="47" t="s">
        <v>35</v>
      </c>
      <c r="K26" s="48" t="s">
        <v>84</v>
      </c>
      <c r="L26" s="48" t="s">
        <v>84</v>
      </c>
      <c r="M26" s="48" t="s">
        <v>84</v>
      </c>
      <c r="N26" s="48" t="s">
        <v>84</v>
      </c>
      <c r="O26" s="48" t="s">
        <v>84</v>
      </c>
      <c r="P26" s="48" t="s">
        <v>84</v>
      </c>
      <c r="Q26" s="48" t="s">
        <v>84</v>
      </c>
      <c r="R26" s="48" t="s">
        <v>84</v>
      </c>
      <c r="S26" s="48" t="s">
        <v>84</v>
      </c>
      <c r="T26" s="48">
        <v>0</v>
      </c>
      <c r="U26" s="48">
        <v>34.028928350000015</v>
      </c>
      <c r="V26" s="48">
        <v>273.43286059000002</v>
      </c>
      <c r="W26" s="48">
        <v>219.6544245</v>
      </c>
      <c r="X26" s="48">
        <v>66.420297300000001</v>
      </c>
    </row>
    <row r="27" spans="2:24" ht="26.4" x14ac:dyDescent="0.7">
      <c r="B27" s="3" t="s">
        <v>11</v>
      </c>
      <c r="D27" s="20" t="s">
        <v>77</v>
      </c>
      <c r="E27" s="20" t="s">
        <v>78</v>
      </c>
      <c r="F27">
        <v>26</v>
      </c>
      <c r="G27">
        <v>26</v>
      </c>
      <c r="H27">
        <v>24</v>
      </c>
      <c r="I27" s="49" t="s">
        <v>83</v>
      </c>
      <c r="J27" s="47" t="s">
        <v>35</v>
      </c>
      <c r="K27" s="48">
        <v>277.3</v>
      </c>
      <c r="L27" s="48">
        <v>339.6</v>
      </c>
      <c r="M27" s="48">
        <v>370.8</v>
      </c>
      <c r="N27" s="48">
        <v>190.2</v>
      </c>
      <c r="O27" s="48">
        <v>241.9</v>
      </c>
      <c r="P27" s="48">
        <v>178.3</v>
      </c>
      <c r="Q27" s="48">
        <v>726.9</v>
      </c>
      <c r="R27" s="48">
        <v>820.1</v>
      </c>
      <c r="S27" s="48">
        <v>361.8</v>
      </c>
      <c r="T27" s="48">
        <v>186.04306541999998</v>
      </c>
      <c r="U27" s="48">
        <v>248.06372178000004</v>
      </c>
      <c r="V27" s="48">
        <v>230.32245112000001</v>
      </c>
      <c r="W27" s="48">
        <v>292.10761804999999</v>
      </c>
      <c r="X27" s="48">
        <v>614.02976108000007</v>
      </c>
    </row>
    <row r="28" spans="2:24" ht="26.4" x14ac:dyDescent="0.7">
      <c r="B28" s="3" t="s">
        <v>11</v>
      </c>
      <c r="D28" s="20" t="s">
        <v>77</v>
      </c>
      <c r="E28" s="20" t="s">
        <v>78</v>
      </c>
      <c r="F28">
        <v>27</v>
      </c>
      <c r="G28">
        <v>27</v>
      </c>
      <c r="H28">
        <v>24</v>
      </c>
      <c r="I28" s="49" t="s">
        <v>99</v>
      </c>
      <c r="J28" s="47" t="s">
        <v>35</v>
      </c>
      <c r="K28" s="48">
        <v>163.80000000000001</v>
      </c>
      <c r="L28" s="48">
        <v>248.5</v>
      </c>
      <c r="M28" s="48">
        <v>374.7</v>
      </c>
      <c r="N28" s="48">
        <v>309.10000000000002</v>
      </c>
      <c r="O28" s="48">
        <v>231</v>
      </c>
      <c r="P28" s="48">
        <v>189.8</v>
      </c>
      <c r="Q28" s="48">
        <v>229.5</v>
      </c>
      <c r="R28" s="48">
        <v>4.5999999999999996</v>
      </c>
      <c r="S28" s="48">
        <v>48.5</v>
      </c>
      <c r="T28" s="48">
        <v>0.378386</v>
      </c>
      <c r="U28" s="48">
        <v>18.420266999999999</v>
      </c>
      <c r="V28" s="48">
        <v>86.005762000000004</v>
      </c>
      <c r="W28" s="48">
        <v>0</v>
      </c>
      <c r="X28" s="48">
        <v>4.0997130000000004</v>
      </c>
    </row>
    <row r="29" spans="2:24" ht="26.4" x14ac:dyDescent="0.7">
      <c r="B29" s="3" t="s">
        <v>11</v>
      </c>
      <c r="D29" s="20" t="s">
        <v>77</v>
      </c>
      <c r="E29" s="20" t="s">
        <v>78</v>
      </c>
      <c r="F29">
        <v>28</v>
      </c>
      <c r="G29">
        <v>28</v>
      </c>
      <c r="H29">
        <v>24</v>
      </c>
      <c r="I29" s="49" t="s">
        <v>100</v>
      </c>
      <c r="J29" s="47" t="s">
        <v>35</v>
      </c>
      <c r="K29" s="48">
        <v>308.7</v>
      </c>
      <c r="L29" s="48">
        <v>90.5</v>
      </c>
      <c r="M29" s="48">
        <v>59.9</v>
      </c>
      <c r="N29" s="48">
        <v>89.9</v>
      </c>
      <c r="O29" s="48">
        <v>25.7</v>
      </c>
      <c r="P29" s="48">
        <v>38</v>
      </c>
      <c r="Q29" s="48">
        <v>9.1</v>
      </c>
      <c r="R29" s="48" t="s">
        <v>84</v>
      </c>
      <c r="S29" s="48">
        <v>2.4</v>
      </c>
      <c r="T29" s="48">
        <v>2.6123695200000001</v>
      </c>
      <c r="U29" s="48">
        <v>21.744441500000001</v>
      </c>
      <c r="V29" s="48">
        <v>81.243105499999999</v>
      </c>
      <c r="W29" s="48">
        <v>0</v>
      </c>
      <c r="X29" s="48">
        <v>0</v>
      </c>
    </row>
    <row r="30" spans="2:24" ht="26.4" x14ac:dyDescent="0.7">
      <c r="B30" s="3" t="s">
        <v>11</v>
      </c>
      <c r="D30" s="20" t="s">
        <v>77</v>
      </c>
      <c r="E30" s="20" t="s">
        <v>78</v>
      </c>
      <c r="F30">
        <v>29</v>
      </c>
      <c r="G30">
        <v>29</v>
      </c>
      <c r="H30">
        <v>24</v>
      </c>
      <c r="I30" s="49" t="s">
        <v>79</v>
      </c>
      <c r="J30" s="47" t="s">
        <v>35</v>
      </c>
      <c r="K30" s="48">
        <v>1.8</v>
      </c>
      <c r="L30" s="48">
        <v>1.9</v>
      </c>
      <c r="M30" s="48">
        <v>11.1</v>
      </c>
      <c r="N30" s="48">
        <v>41.7</v>
      </c>
      <c r="O30" s="48">
        <v>13.7</v>
      </c>
      <c r="P30" s="48">
        <v>27.4</v>
      </c>
      <c r="Q30" s="48">
        <v>8.6</v>
      </c>
      <c r="R30" s="48">
        <v>33.299999999999997</v>
      </c>
      <c r="S30" s="48">
        <v>111</v>
      </c>
      <c r="T30" s="48">
        <v>5.3058629400000008</v>
      </c>
      <c r="U30" s="48">
        <v>63.849957969999998</v>
      </c>
      <c r="V30" s="48">
        <v>78.164322039999988</v>
      </c>
      <c r="W30" s="48">
        <v>81.361532279999992</v>
      </c>
      <c r="X30" s="48">
        <v>112.50591975000002</v>
      </c>
    </row>
    <row r="31" spans="2:24" ht="26.4" x14ac:dyDescent="0.7">
      <c r="B31" s="3" t="s">
        <v>11</v>
      </c>
      <c r="D31" s="20" t="s">
        <v>77</v>
      </c>
      <c r="E31" s="20" t="s">
        <v>78</v>
      </c>
      <c r="F31">
        <v>30</v>
      </c>
      <c r="G31">
        <v>30</v>
      </c>
      <c r="H31">
        <v>24</v>
      </c>
      <c r="I31" s="49" t="s">
        <v>101</v>
      </c>
      <c r="J31" s="47" t="s">
        <v>35</v>
      </c>
      <c r="K31" s="48">
        <v>63</v>
      </c>
      <c r="L31" s="48">
        <v>111.6</v>
      </c>
      <c r="M31" s="48">
        <v>17.899999999999999</v>
      </c>
      <c r="N31" s="48">
        <v>274.89999999999998</v>
      </c>
      <c r="O31" s="48">
        <v>233</v>
      </c>
      <c r="P31" s="48">
        <v>634.79999999999995</v>
      </c>
      <c r="Q31" s="48">
        <v>100.9</v>
      </c>
      <c r="R31" s="48">
        <v>46.4</v>
      </c>
      <c r="S31" s="48">
        <v>38</v>
      </c>
      <c r="T31" s="48">
        <v>35.055705920000001</v>
      </c>
      <c r="U31" s="48">
        <v>9.1058961899999993</v>
      </c>
      <c r="V31" s="48">
        <v>21.134304</v>
      </c>
      <c r="W31" s="48">
        <v>133.43528552000001</v>
      </c>
      <c r="X31" s="48">
        <v>51.231633009999996</v>
      </c>
    </row>
    <row r="32" spans="2:24" ht="26.4" x14ac:dyDescent="0.7">
      <c r="B32" s="3" t="s">
        <v>11</v>
      </c>
      <c r="D32" s="20" t="s">
        <v>77</v>
      </c>
      <c r="E32" s="20" t="s">
        <v>78</v>
      </c>
      <c r="F32">
        <v>31</v>
      </c>
      <c r="G32">
        <v>31</v>
      </c>
      <c r="I32" s="10" t="s">
        <v>102</v>
      </c>
      <c r="J32" s="47" t="s">
        <v>35</v>
      </c>
      <c r="K32" s="48">
        <v>94</v>
      </c>
      <c r="L32" s="48">
        <v>216.6</v>
      </c>
      <c r="M32" s="48">
        <v>260.3</v>
      </c>
      <c r="N32" s="48">
        <v>294.89999999999998</v>
      </c>
      <c r="O32" s="48">
        <v>368.4</v>
      </c>
      <c r="P32" s="48">
        <v>461.7</v>
      </c>
      <c r="Q32" s="48">
        <v>432.8</v>
      </c>
      <c r="R32" s="48">
        <v>478.9</v>
      </c>
      <c r="S32" s="48">
        <v>423.9</v>
      </c>
      <c r="T32" s="48">
        <v>416.30154031000001</v>
      </c>
      <c r="U32" s="48">
        <v>503.43340826000008</v>
      </c>
      <c r="V32" s="48">
        <v>464.24177138000005</v>
      </c>
      <c r="W32" s="48">
        <v>551.85541178999983</v>
      </c>
      <c r="X32" s="48">
        <v>615.19318996999993</v>
      </c>
    </row>
    <row r="33" spans="2:24" ht="26.4" x14ac:dyDescent="0.7">
      <c r="B33" s="3" t="s">
        <v>11</v>
      </c>
      <c r="D33" s="20" t="s">
        <v>77</v>
      </c>
      <c r="E33" s="20" t="s">
        <v>78</v>
      </c>
      <c r="F33">
        <v>32</v>
      </c>
      <c r="G33">
        <v>32</v>
      </c>
      <c r="H33">
        <v>31</v>
      </c>
      <c r="I33" s="49" t="s">
        <v>103</v>
      </c>
      <c r="J33" s="47" t="s">
        <v>35</v>
      </c>
      <c r="K33" s="48">
        <v>16.399999999999999</v>
      </c>
      <c r="L33" s="48">
        <v>45.6</v>
      </c>
      <c r="M33" s="48">
        <v>60.3</v>
      </c>
      <c r="N33" s="48">
        <v>92.4</v>
      </c>
      <c r="O33" s="48">
        <v>161.6</v>
      </c>
      <c r="P33" s="48">
        <v>203.7</v>
      </c>
      <c r="Q33" s="48">
        <v>285</v>
      </c>
      <c r="R33" s="48">
        <v>269</v>
      </c>
      <c r="S33" s="48">
        <v>168.8</v>
      </c>
      <c r="T33" s="48">
        <v>122.49462679</v>
      </c>
      <c r="U33" s="48">
        <v>126.58780876</v>
      </c>
      <c r="V33" s="48">
        <v>199.46006104000003</v>
      </c>
      <c r="W33" s="48">
        <v>122.39663500000002</v>
      </c>
      <c r="X33" s="48">
        <v>369.44131132000001</v>
      </c>
    </row>
    <row r="34" spans="2:24" ht="26.4" x14ac:dyDescent="0.7">
      <c r="B34" s="3" t="s">
        <v>11</v>
      </c>
      <c r="D34" s="20" t="s">
        <v>77</v>
      </c>
      <c r="E34" s="20" t="s">
        <v>78</v>
      </c>
      <c r="F34">
        <v>33</v>
      </c>
      <c r="G34">
        <v>33</v>
      </c>
      <c r="H34">
        <v>31</v>
      </c>
      <c r="I34" s="49" t="s">
        <v>104</v>
      </c>
      <c r="J34" s="47" t="s">
        <v>35</v>
      </c>
      <c r="K34" s="48">
        <v>2.9</v>
      </c>
      <c r="L34" s="48">
        <v>12</v>
      </c>
      <c r="M34" s="48">
        <v>52.9</v>
      </c>
      <c r="N34" s="48">
        <v>127</v>
      </c>
      <c r="O34" s="48">
        <v>77.5</v>
      </c>
      <c r="P34" s="48">
        <v>176.2</v>
      </c>
      <c r="Q34" s="48">
        <v>37.1</v>
      </c>
      <c r="R34" s="48">
        <v>97.2</v>
      </c>
      <c r="S34" s="48">
        <v>128.1</v>
      </c>
      <c r="T34" s="48">
        <v>169.06718561</v>
      </c>
      <c r="U34" s="48">
        <v>289.81092017000003</v>
      </c>
      <c r="V34" s="48">
        <v>123.88637803</v>
      </c>
      <c r="W34" s="48">
        <v>265.70901600000002</v>
      </c>
      <c r="X34" s="48">
        <v>53.692602999999998</v>
      </c>
    </row>
    <row r="35" spans="2:24" ht="26.4" x14ac:dyDescent="0.7">
      <c r="B35" s="3" t="s">
        <v>11</v>
      </c>
      <c r="D35" s="20" t="s">
        <v>77</v>
      </c>
      <c r="E35" s="20" t="s">
        <v>78</v>
      </c>
      <c r="F35">
        <v>34</v>
      </c>
      <c r="G35">
        <v>34</v>
      </c>
      <c r="H35">
        <v>31</v>
      </c>
      <c r="I35" s="49" t="s">
        <v>101</v>
      </c>
      <c r="J35" s="47" t="s">
        <v>35</v>
      </c>
      <c r="K35" s="48">
        <v>18</v>
      </c>
      <c r="L35" s="48">
        <v>20.7</v>
      </c>
      <c r="M35" s="48">
        <v>26.6</v>
      </c>
      <c r="N35" s="48">
        <v>28.2</v>
      </c>
      <c r="O35" s="48">
        <v>18.2</v>
      </c>
      <c r="P35" s="48">
        <v>18.3</v>
      </c>
      <c r="Q35" s="48">
        <v>28.6</v>
      </c>
      <c r="R35" s="48">
        <v>34.299999999999997</v>
      </c>
      <c r="S35" s="48">
        <v>31.3</v>
      </c>
      <c r="T35" s="48">
        <v>21.828247279999996</v>
      </c>
      <c r="U35" s="48">
        <v>15.961322409999998</v>
      </c>
      <c r="V35" s="48">
        <v>54.623916139999999</v>
      </c>
      <c r="W35" s="48">
        <v>62.527599600000002</v>
      </c>
      <c r="X35" s="48">
        <v>60.458751960000001</v>
      </c>
    </row>
    <row r="36" spans="2:24" ht="26.4" x14ac:dyDescent="0.7">
      <c r="B36" s="3" t="s">
        <v>11</v>
      </c>
      <c r="D36" s="20" t="s">
        <v>77</v>
      </c>
      <c r="E36" s="20" t="s">
        <v>78</v>
      </c>
      <c r="F36">
        <v>35</v>
      </c>
      <c r="G36">
        <v>35</v>
      </c>
      <c r="I36" s="10" t="s">
        <v>105</v>
      </c>
      <c r="J36" s="47" t="s">
        <v>35</v>
      </c>
      <c r="K36" s="48">
        <v>34.200000000000003</v>
      </c>
      <c r="L36" s="48">
        <v>48.5</v>
      </c>
      <c r="M36" s="48">
        <v>38</v>
      </c>
      <c r="N36" s="48">
        <v>72.900000000000006</v>
      </c>
      <c r="O36" s="48">
        <v>106.6</v>
      </c>
      <c r="P36" s="48">
        <v>87</v>
      </c>
      <c r="Q36" s="48">
        <v>141.80000000000001</v>
      </c>
      <c r="R36" s="48">
        <v>167.4</v>
      </c>
      <c r="S36" s="48">
        <v>153.30000000000001</v>
      </c>
      <c r="T36" s="48">
        <v>223.34614587999997</v>
      </c>
      <c r="U36" s="48">
        <v>242.75647502999996</v>
      </c>
      <c r="V36" s="48">
        <v>309.55937730999983</v>
      </c>
      <c r="W36" s="48">
        <v>312.32749721999994</v>
      </c>
      <c r="X36" s="48">
        <v>424.15605683000007</v>
      </c>
    </row>
    <row r="37" spans="2:24" ht="26.4" x14ac:dyDescent="0.7">
      <c r="B37" s="3" t="s">
        <v>11</v>
      </c>
      <c r="D37" s="20" t="s">
        <v>77</v>
      </c>
      <c r="E37" s="20" t="s">
        <v>78</v>
      </c>
      <c r="F37">
        <v>36</v>
      </c>
      <c r="G37">
        <v>36</v>
      </c>
      <c r="H37">
        <v>35</v>
      </c>
      <c r="I37" s="49" t="s">
        <v>98</v>
      </c>
      <c r="J37" s="47" t="s">
        <v>35</v>
      </c>
      <c r="K37" s="48">
        <v>0.6</v>
      </c>
      <c r="L37" s="48">
        <v>0.9</v>
      </c>
      <c r="M37" s="48">
        <v>3.9</v>
      </c>
      <c r="N37" s="48">
        <v>10.4</v>
      </c>
      <c r="O37" s="48">
        <v>13.4</v>
      </c>
      <c r="P37" s="48">
        <v>17.5</v>
      </c>
      <c r="Q37" s="48">
        <v>46.1</v>
      </c>
      <c r="R37" s="48">
        <v>48.1</v>
      </c>
      <c r="S37" s="48">
        <v>26.7</v>
      </c>
      <c r="T37" s="48">
        <v>41.084356099999994</v>
      </c>
      <c r="U37" s="48">
        <v>51.580308029999998</v>
      </c>
      <c r="V37" s="48">
        <v>206.75808149999983</v>
      </c>
      <c r="W37" s="48">
        <v>226.14664743999998</v>
      </c>
      <c r="X37" s="48">
        <v>372.08023493000007</v>
      </c>
    </row>
    <row r="38" spans="2:24" ht="26.4" x14ac:dyDescent="0.7">
      <c r="B38" s="3" t="s">
        <v>11</v>
      </c>
      <c r="D38" s="20" t="s">
        <v>77</v>
      </c>
      <c r="E38" s="20" t="s">
        <v>78</v>
      </c>
      <c r="F38">
        <v>37</v>
      </c>
      <c r="G38">
        <v>37</v>
      </c>
      <c r="H38">
        <v>35</v>
      </c>
      <c r="I38" s="49" t="s">
        <v>106</v>
      </c>
      <c r="J38" s="47" t="s">
        <v>35</v>
      </c>
      <c r="K38" s="48">
        <v>8.6</v>
      </c>
      <c r="L38" s="48">
        <v>22.4</v>
      </c>
      <c r="M38" s="48">
        <v>19.3</v>
      </c>
      <c r="N38" s="48">
        <v>19.7</v>
      </c>
      <c r="O38" s="48">
        <v>35.1</v>
      </c>
      <c r="P38" s="48">
        <v>29.7</v>
      </c>
      <c r="Q38" s="48">
        <v>41</v>
      </c>
      <c r="R38" s="48">
        <v>45.8</v>
      </c>
      <c r="S38" s="48">
        <v>61.9</v>
      </c>
      <c r="T38" s="48">
        <v>99.454450019999982</v>
      </c>
      <c r="U38" s="48">
        <v>54.795066890000008</v>
      </c>
      <c r="V38" s="48">
        <v>38.455809020000004</v>
      </c>
      <c r="W38" s="48">
        <v>44.959726329999995</v>
      </c>
      <c r="X38" s="48">
        <v>27.269544590000002</v>
      </c>
    </row>
    <row r="39" spans="2:24" ht="26.4" x14ac:dyDescent="0.7">
      <c r="B39" s="3" t="s">
        <v>11</v>
      </c>
      <c r="D39" s="20" t="s">
        <v>77</v>
      </c>
      <c r="E39" s="20" t="s">
        <v>78</v>
      </c>
      <c r="F39">
        <v>38</v>
      </c>
      <c r="G39">
        <v>38</v>
      </c>
      <c r="H39">
        <v>35</v>
      </c>
      <c r="I39" s="49" t="s">
        <v>90</v>
      </c>
      <c r="J39" s="47" t="s">
        <v>35</v>
      </c>
      <c r="K39" s="48">
        <v>17.600000000000001</v>
      </c>
      <c r="L39" s="48">
        <v>20.9</v>
      </c>
      <c r="M39" s="48">
        <v>7.6</v>
      </c>
      <c r="N39" s="48">
        <v>27</v>
      </c>
      <c r="O39" s="48">
        <v>42.3</v>
      </c>
      <c r="P39" s="48">
        <v>15.6</v>
      </c>
      <c r="Q39" s="48">
        <v>26.2</v>
      </c>
      <c r="R39" s="48">
        <v>37.200000000000003</v>
      </c>
      <c r="S39" s="48">
        <v>28.8</v>
      </c>
      <c r="T39" s="48">
        <v>63.097373909999995</v>
      </c>
      <c r="U39" s="48">
        <v>75.715395639999969</v>
      </c>
      <c r="V39" s="48">
        <v>26.875044079999999</v>
      </c>
      <c r="W39" s="48">
        <v>13.486870940000001</v>
      </c>
      <c r="X39" s="48">
        <v>7.3642680199999999</v>
      </c>
    </row>
    <row r="40" spans="2:24" ht="26.4" x14ac:dyDescent="0.7">
      <c r="B40" s="3" t="s">
        <v>11</v>
      </c>
      <c r="D40" s="20" t="s">
        <v>77</v>
      </c>
      <c r="E40" s="20" t="s">
        <v>78</v>
      </c>
      <c r="F40">
        <v>39</v>
      </c>
      <c r="G40">
        <v>39</v>
      </c>
      <c r="H40">
        <v>35</v>
      </c>
      <c r="I40" s="49" t="s">
        <v>107</v>
      </c>
      <c r="J40" s="47" t="s">
        <v>35</v>
      </c>
      <c r="K40" s="48" t="s">
        <v>84</v>
      </c>
      <c r="L40" s="48" t="s">
        <v>84</v>
      </c>
      <c r="M40" s="48" t="s">
        <v>84</v>
      </c>
      <c r="N40" s="48" t="s">
        <v>84</v>
      </c>
      <c r="O40" s="48" t="s">
        <v>84</v>
      </c>
      <c r="P40" s="48" t="s">
        <v>84</v>
      </c>
      <c r="Q40" s="48">
        <v>0.6</v>
      </c>
      <c r="R40" s="48">
        <v>6.6</v>
      </c>
      <c r="S40" s="48">
        <v>4.0999999999999996</v>
      </c>
      <c r="T40" s="48">
        <v>8.5315473300000004</v>
      </c>
      <c r="U40" s="48">
        <v>13.49481905</v>
      </c>
      <c r="V40" s="48">
        <v>8.9419576099999993</v>
      </c>
      <c r="W40" s="48">
        <v>11.41914459</v>
      </c>
      <c r="X40" s="48">
        <v>13.135074780000002</v>
      </c>
    </row>
    <row r="41" spans="2:24" ht="26.4" x14ac:dyDescent="0.7">
      <c r="B41" s="3" t="s">
        <v>11</v>
      </c>
      <c r="D41" s="20" t="s">
        <v>77</v>
      </c>
      <c r="E41" s="20" t="s">
        <v>78</v>
      </c>
      <c r="F41">
        <v>40</v>
      </c>
      <c r="G41">
        <v>40</v>
      </c>
      <c r="H41">
        <v>35</v>
      </c>
      <c r="I41" s="49" t="s">
        <v>93</v>
      </c>
      <c r="J41" s="47" t="s">
        <v>35</v>
      </c>
      <c r="K41" s="48">
        <v>5.2</v>
      </c>
      <c r="L41" s="48">
        <v>3.6</v>
      </c>
      <c r="M41" s="48">
        <v>5.7</v>
      </c>
      <c r="N41" s="48">
        <v>13.8</v>
      </c>
      <c r="O41" s="48">
        <v>5.8</v>
      </c>
      <c r="P41" s="48">
        <v>13.1</v>
      </c>
      <c r="Q41" s="48">
        <v>16.600000000000001</v>
      </c>
      <c r="R41" s="48">
        <v>18.600000000000001</v>
      </c>
      <c r="S41" s="48">
        <v>26.9</v>
      </c>
      <c r="T41" s="48">
        <v>3.29855293</v>
      </c>
      <c r="U41" s="48">
        <v>25.98969078</v>
      </c>
      <c r="V41" s="48">
        <v>8.3501399999999997</v>
      </c>
      <c r="W41" s="48">
        <v>3.19194779</v>
      </c>
      <c r="X41" s="48">
        <v>0.47417300000000001</v>
      </c>
    </row>
    <row r="42" spans="2:24" ht="26.4" x14ac:dyDescent="0.7">
      <c r="B42" s="3" t="s">
        <v>11</v>
      </c>
      <c r="D42" s="20" t="s">
        <v>77</v>
      </c>
      <c r="E42" s="20" t="s">
        <v>78</v>
      </c>
      <c r="F42">
        <v>41</v>
      </c>
      <c r="G42">
        <v>41</v>
      </c>
      <c r="I42" s="10" t="s">
        <v>108</v>
      </c>
      <c r="J42" s="47" t="s">
        <v>35</v>
      </c>
      <c r="K42" s="48">
        <v>7.7</v>
      </c>
      <c r="L42" s="48">
        <v>22.1</v>
      </c>
      <c r="M42" s="48">
        <v>32.6</v>
      </c>
      <c r="N42" s="48">
        <v>20.399999999999999</v>
      </c>
      <c r="O42" s="48">
        <v>19</v>
      </c>
      <c r="P42" s="48">
        <v>15</v>
      </c>
      <c r="Q42" s="48">
        <v>18.399999999999999</v>
      </c>
      <c r="R42" s="48">
        <v>5.4</v>
      </c>
      <c r="S42" s="48">
        <v>11.8</v>
      </c>
      <c r="T42" s="48">
        <v>26.130917219999997</v>
      </c>
      <c r="U42" s="48">
        <v>28.36213862</v>
      </c>
      <c r="V42" s="48">
        <v>98.147070490000004</v>
      </c>
      <c r="W42" s="48">
        <v>49.362283079999997</v>
      </c>
      <c r="X42" s="48">
        <v>85.977297500000006</v>
      </c>
    </row>
    <row r="43" spans="2:24" ht="26.4" x14ac:dyDescent="0.7">
      <c r="B43" s="3" t="s">
        <v>11</v>
      </c>
      <c r="D43" s="20" t="s">
        <v>77</v>
      </c>
      <c r="E43" s="20" t="s">
        <v>78</v>
      </c>
      <c r="F43">
        <v>42</v>
      </c>
      <c r="G43">
        <v>42</v>
      </c>
      <c r="H43">
        <v>41</v>
      </c>
      <c r="I43" s="49" t="s">
        <v>80</v>
      </c>
      <c r="J43" s="47" t="s">
        <v>35</v>
      </c>
      <c r="K43" s="48">
        <v>1.6</v>
      </c>
      <c r="L43" s="48">
        <v>7.3</v>
      </c>
      <c r="M43" s="48">
        <v>18.7</v>
      </c>
      <c r="N43" s="48">
        <v>8.3000000000000007</v>
      </c>
      <c r="O43" s="48">
        <v>14.4</v>
      </c>
      <c r="P43" s="48">
        <v>4.7</v>
      </c>
      <c r="Q43" s="48">
        <v>17.3</v>
      </c>
      <c r="R43" s="48" t="s">
        <v>84</v>
      </c>
      <c r="S43" s="48">
        <v>7.4</v>
      </c>
      <c r="T43" s="48">
        <v>17.178651149999997</v>
      </c>
      <c r="U43" s="48">
        <v>11.6823131</v>
      </c>
      <c r="V43" s="48">
        <v>66.829709750000006</v>
      </c>
      <c r="W43" s="48">
        <v>14.771995059999998</v>
      </c>
      <c r="X43" s="48">
        <v>9.7839518499999993</v>
      </c>
    </row>
    <row r="44" spans="2:24" ht="26.4" x14ac:dyDescent="0.7">
      <c r="B44" s="3" t="s">
        <v>11</v>
      </c>
      <c r="D44" s="20" t="s">
        <v>77</v>
      </c>
      <c r="E44" s="20" t="s">
        <v>78</v>
      </c>
      <c r="F44">
        <v>43</v>
      </c>
      <c r="G44">
        <v>43</v>
      </c>
      <c r="H44">
        <v>41</v>
      </c>
      <c r="I44" s="49" t="s">
        <v>109</v>
      </c>
      <c r="J44" s="47" t="s">
        <v>35</v>
      </c>
      <c r="K44" s="48" t="s">
        <v>84</v>
      </c>
      <c r="L44" s="48" t="s">
        <v>84</v>
      </c>
      <c r="M44" s="48" t="s">
        <v>84</v>
      </c>
      <c r="N44" s="48" t="s">
        <v>84</v>
      </c>
      <c r="O44" s="48" t="s">
        <v>84</v>
      </c>
      <c r="P44" s="48" t="s">
        <v>84</v>
      </c>
      <c r="Q44" s="48" t="s">
        <v>84</v>
      </c>
      <c r="R44" s="48" t="s">
        <v>84</v>
      </c>
      <c r="S44" s="48" t="s">
        <v>84</v>
      </c>
      <c r="T44" s="48">
        <v>0</v>
      </c>
      <c r="U44" s="48">
        <v>0</v>
      </c>
      <c r="V44" s="48">
        <v>15.334211</v>
      </c>
      <c r="W44" s="48">
        <v>13.707113</v>
      </c>
      <c r="X44" s="48">
        <v>0</v>
      </c>
    </row>
    <row r="45" spans="2:24" ht="26.4" x14ac:dyDescent="0.7">
      <c r="B45" s="3" t="s">
        <v>11</v>
      </c>
      <c r="D45" s="20" t="s">
        <v>77</v>
      </c>
      <c r="E45" s="20" t="s">
        <v>78</v>
      </c>
      <c r="F45">
        <v>44</v>
      </c>
      <c r="G45">
        <v>44</v>
      </c>
      <c r="H45">
        <v>41</v>
      </c>
      <c r="I45" s="49" t="s">
        <v>85</v>
      </c>
      <c r="J45" s="47" t="s">
        <v>35</v>
      </c>
      <c r="K45" s="48" t="s">
        <v>84</v>
      </c>
      <c r="L45" s="48">
        <v>8.6</v>
      </c>
      <c r="M45" s="48">
        <v>0.3</v>
      </c>
      <c r="N45" s="48" t="s">
        <v>84</v>
      </c>
      <c r="O45" s="48" t="s">
        <v>84</v>
      </c>
      <c r="P45" s="48">
        <v>0.6</v>
      </c>
      <c r="Q45" s="48">
        <v>0.1</v>
      </c>
      <c r="R45" s="48" t="s">
        <v>84</v>
      </c>
      <c r="S45" s="48" t="s">
        <v>84</v>
      </c>
      <c r="T45" s="48">
        <v>0</v>
      </c>
      <c r="U45" s="48">
        <v>0</v>
      </c>
      <c r="V45" s="48">
        <v>7.9227210000000001</v>
      </c>
      <c r="W45" s="48">
        <v>5.8491840000000002</v>
      </c>
      <c r="X45" s="48">
        <v>12.915348079999999</v>
      </c>
    </row>
    <row r="46" spans="2:24" ht="26.4" x14ac:dyDescent="0.7">
      <c r="B46" s="3" t="s">
        <v>11</v>
      </c>
      <c r="D46" s="20" t="s">
        <v>77</v>
      </c>
      <c r="E46" s="20" t="s">
        <v>78</v>
      </c>
      <c r="F46">
        <v>45</v>
      </c>
      <c r="G46">
        <v>45</v>
      </c>
      <c r="H46">
        <v>41</v>
      </c>
      <c r="I46" s="49" t="s">
        <v>91</v>
      </c>
      <c r="J46" s="47" t="s">
        <v>35</v>
      </c>
      <c r="K46" s="48">
        <v>0.8</v>
      </c>
      <c r="L46" s="48">
        <v>0.1</v>
      </c>
      <c r="M46" s="48">
        <v>0</v>
      </c>
      <c r="N46" s="48">
        <v>0.5</v>
      </c>
      <c r="O46" s="48">
        <v>2.2999999999999998</v>
      </c>
      <c r="P46" s="48">
        <v>0.6</v>
      </c>
      <c r="Q46" s="48">
        <v>0.8</v>
      </c>
      <c r="R46" s="48" t="s">
        <v>84</v>
      </c>
      <c r="S46" s="48" t="s">
        <v>84</v>
      </c>
      <c r="T46" s="48">
        <v>0</v>
      </c>
      <c r="U46" s="48">
        <v>0.36407659999999997</v>
      </c>
      <c r="V46" s="48">
        <v>6.7933339999999998</v>
      </c>
      <c r="W46" s="48">
        <v>9.8991799600000014</v>
      </c>
      <c r="X46" s="48">
        <v>37.157788279999991</v>
      </c>
    </row>
    <row r="47" spans="2:24" ht="26.4" x14ac:dyDescent="0.7">
      <c r="B47" s="3" t="s">
        <v>11</v>
      </c>
      <c r="D47" s="20" t="s">
        <v>77</v>
      </c>
      <c r="E47" s="20" t="s">
        <v>78</v>
      </c>
      <c r="F47">
        <v>46</v>
      </c>
      <c r="G47">
        <v>46</v>
      </c>
      <c r="I47" s="10" t="s">
        <v>110</v>
      </c>
      <c r="J47" s="47" t="s">
        <v>35</v>
      </c>
      <c r="K47" s="48">
        <v>49.1</v>
      </c>
      <c r="L47" s="48">
        <v>122.3</v>
      </c>
      <c r="M47" s="48">
        <v>216.4</v>
      </c>
      <c r="N47" s="48">
        <v>268.89999999999998</v>
      </c>
      <c r="O47" s="48">
        <v>305.3</v>
      </c>
      <c r="P47" s="48">
        <v>385.4</v>
      </c>
      <c r="Q47" s="48">
        <v>412.5</v>
      </c>
      <c r="R47" s="48">
        <v>141.5</v>
      </c>
      <c r="S47" s="48">
        <v>129.1</v>
      </c>
      <c r="T47" s="48">
        <v>139.25315900999999</v>
      </c>
      <c r="U47" s="48">
        <v>148.79939125000001</v>
      </c>
      <c r="V47" s="48">
        <v>76.000090709999995</v>
      </c>
      <c r="W47" s="48">
        <v>110.79386744</v>
      </c>
      <c r="X47" s="48">
        <v>166.03042377999998</v>
      </c>
    </row>
    <row r="48" spans="2:24" ht="26.4" x14ac:dyDescent="0.7">
      <c r="B48" s="3" t="s">
        <v>11</v>
      </c>
      <c r="D48" s="20" t="s">
        <v>77</v>
      </c>
      <c r="E48" s="20" t="s">
        <v>78</v>
      </c>
      <c r="F48">
        <v>47</v>
      </c>
      <c r="G48">
        <v>47</v>
      </c>
      <c r="H48">
        <v>46</v>
      </c>
      <c r="I48" s="49" t="s">
        <v>83</v>
      </c>
      <c r="J48" s="47" t="s">
        <v>35</v>
      </c>
      <c r="K48" s="48">
        <v>11.8</v>
      </c>
      <c r="L48" s="48">
        <v>24</v>
      </c>
      <c r="M48" s="48">
        <v>64.099999999999994</v>
      </c>
      <c r="N48" s="48">
        <v>76.599999999999994</v>
      </c>
      <c r="O48" s="48">
        <v>66.099999999999994</v>
      </c>
      <c r="P48" s="48">
        <v>135</v>
      </c>
      <c r="Q48" s="48">
        <v>130.69999999999999</v>
      </c>
      <c r="R48" s="48">
        <v>88.4</v>
      </c>
      <c r="S48" s="48">
        <v>88.1</v>
      </c>
      <c r="T48" s="48">
        <v>104.26091894</v>
      </c>
      <c r="U48" s="48">
        <v>108.96168597</v>
      </c>
      <c r="V48" s="48">
        <v>42.628612099999991</v>
      </c>
      <c r="W48" s="48">
        <v>80.583386289999993</v>
      </c>
      <c r="X48" s="48">
        <v>107.27284588999999</v>
      </c>
    </row>
    <row r="49" spans="2:24" ht="26.4" x14ac:dyDescent="0.7">
      <c r="B49" s="3" t="s">
        <v>11</v>
      </c>
      <c r="D49" s="20" t="s">
        <v>77</v>
      </c>
      <c r="E49" s="20" t="s">
        <v>78</v>
      </c>
      <c r="F49">
        <v>48</v>
      </c>
      <c r="G49">
        <v>48</v>
      </c>
      <c r="H49">
        <v>46</v>
      </c>
      <c r="I49" s="49" t="s">
        <v>79</v>
      </c>
      <c r="J49" s="47" t="s">
        <v>35</v>
      </c>
      <c r="K49" s="48">
        <v>10.5</v>
      </c>
      <c r="L49" s="48">
        <v>21</v>
      </c>
      <c r="M49" s="48">
        <v>45.3</v>
      </c>
      <c r="N49" s="48">
        <v>67.599999999999994</v>
      </c>
      <c r="O49" s="48">
        <v>88.9</v>
      </c>
      <c r="P49" s="48">
        <v>127.5</v>
      </c>
      <c r="Q49" s="48">
        <v>58.7</v>
      </c>
      <c r="R49" s="48">
        <v>8.6999999999999993</v>
      </c>
      <c r="S49" s="48">
        <v>4.8</v>
      </c>
      <c r="T49" s="48">
        <v>19.068064940000003</v>
      </c>
      <c r="U49" s="48">
        <v>31.181425350000001</v>
      </c>
      <c r="V49" s="48">
        <v>26.497570260000003</v>
      </c>
      <c r="W49" s="48">
        <v>22.783793090000003</v>
      </c>
      <c r="X49" s="48">
        <v>34.377494999999989</v>
      </c>
    </row>
    <row r="50" spans="2:24" ht="26.4" x14ac:dyDescent="0.7">
      <c r="B50" s="3" t="s">
        <v>11</v>
      </c>
      <c r="D50" s="20" t="s">
        <v>77</v>
      </c>
      <c r="E50" s="20" t="s">
        <v>78</v>
      </c>
      <c r="F50">
        <v>49</v>
      </c>
      <c r="G50">
        <v>49</v>
      </c>
      <c r="H50">
        <v>46</v>
      </c>
      <c r="I50" s="49" t="s">
        <v>91</v>
      </c>
      <c r="J50" s="47" t="s">
        <v>35</v>
      </c>
      <c r="K50" s="48">
        <v>1.9</v>
      </c>
      <c r="L50" s="48">
        <v>4.4000000000000004</v>
      </c>
      <c r="M50" s="48">
        <v>1.2</v>
      </c>
      <c r="N50" s="48">
        <v>2.1</v>
      </c>
      <c r="O50" s="48">
        <v>8.1999999999999993</v>
      </c>
      <c r="P50" s="48">
        <v>2.9</v>
      </c>
      <c r="Q50" s="48">
        <v>2.2000000000000002</v>
      </c>
      <c r="R50" s="48">
        <v>1</v>
      </c>
      <c r="S50" s="48">
        <v>0.6</v>
      </c>
      <c r="T50" s="48">
        <v>2.4072404399999998</v>
      </c>
      <c r="U50" s="48">
        <v>1.02459378</v>
      </c>
      <c r="V50" s="48">
        <v>2.5113493099999999</v>
      </c>
      <c r="W50" s="48">
        <v>0.34958185999999997</v>
      </c>
      <c r="X50" s="48">
        <v>4.8540800000000002E-3</v>
      </c>
    </row>
    <row r="51" spans="2:24" ht="26.4" x14ac:dyDescent="0.7">
      <c r="B51" s="3" t="s">
        <v>11</v>
      </c>
      <c r="D51" s="20" t="s">
        <v>77</v>
      </c>
      <c r="E51" s="20" t="s">
        <v>78</v>
      </c>
      <c r="F51">
        <v>50</v>
      </c>
      <c r="G51">
        <v>50</v>
      </c>
      <c r="H51">
        <v>46</v>
      </c>
      <c r="I51" s="49" t="s">
        <v>92</v>
      </c>
      <c r="J51" s="47" t="s">
        <v>35</v>
      </c>
      <c r="K51" s="48">
        <v>0.5</v>
      </c>
      <c r="L51" s="48">
        <v>1.4</v>
      </c>
      <c r="M51" s="48">
        <v>5.2</v>
      </c>
      <c r="N51" s="48">
        <v>1.1000000000000001</v>
      </c>
      <c r="O51" s="48">
        <v>3.5</v>
      </c>
      <c r="P51" s="48">
        <v>1.2</v>
      </c>
      <c r="Q51" s="48">
        <v>1.4</v>
      </c>
      <c r="R51" s="48">
        <v>1</v>
      </c>
      <c r="S51" s="48">
        <v>0.5</v>
      </c>
      <c r="T51" s="48">
        <v>0.96513199999999999</v>
      </c>
      <c r="U51" s="48">
        <v>2.2362380000000002</v>
      </c>
      <c r="V51" s="48">
        <v>1.8538159999999999</v>
      </c>
      <c r="W51" s="48">
        <v>1.844597</v>
      </c>
      <c r="X51" s="48">
        <v>13.69484379</v>
      </c>
    </row>
    <row r="52" spans="2:24" ht="26.4" x14ac:dyDescent="0.7">
      <c r="B52" s="3" t="s">
        <v>11</v>
      </c>
      <c r="D52" s="20" t="s">
        <v>77</v>
      </c>
      <c r="E52" s="20" t="s">
        <v>78</v>
      </c>
      <c r="F52">
        <v>51</v>
      </c>
      <c r="G52">
        <v>51</v>
      </c>
      <c r="H52">
        <v>46</v>
      </c>
      <c r="I52" s="49" t="s">
        <v>98</v>
      </c>
      <c r="J52" s="47" t="s">
        <v>35</v>
      </c>
      <c r="K52" s="48" t="s">
        <v>84</v>
      </c>
      <c r="L52" s="48">
        <v>8.1999999999999993</v>
      </c>
      <c r="M52" s="48">
        <v>22.3</v>
      </c>
      <c r="N52" s="48">
        <v>49.5</v>
      </c>
      <c r="O52" s="48">
        <v>55</v>
      </c>
      <c r="P52" s="48">
        <v>82.6</v>
      </c>
      <c r="Q52" s="48">
        <v>181.5</v>
      </c>
      <c r="R52" s="48">
        <v>41.1</v>
      </c>
      <c r="S52" s="48">
        <v>33.4</v>
      </c>
      <c r="T52" s="48">
        <v>1.3025126800000002</v>
      </c>
      <c r="U52" s="48">
        <v>0.86425618999999998</v>
      </c>
      <c r="V52" s="48">
        <v>1.7484752100000001</v>
      </c>
      <c r="W52" s="48">
        <v>1.10108827</v>
      </c>
      <c r="X52" s="48">
        <v>5.1109534999999999</v>
      </c>
    </row>
    <row r="53" spans="2:24" ht="26.4" x14ac:dyDescent="0.7">
      <c r="B53" s="3" t="s">
        <v>11</v>
      </c>
      <c r="D53" s="20" t="s">
        <v>77</v>
      </c>
      <c r="E53" s="20" t="s">
        <v>78</v>
      </c>
      <c r="F53">
        <v>52</v>
      </c>
      <c r="G53">
        <v>52</v>
      </c>
      <c r="I53" s="10" t="s">
        <v>111</v>
      </c>
      <c r="J53" s="47" t="s">
        <v>35</v>
      </c>
      <c r="K53" s="48">
        <v>18.600000000000001</v>
      </c>
      <c r="L53" s="48">
        <v>20.399999999999999</v>
      </c>
      <c r="M53" s="48">
        <v>27.5</v>
      </c>
      <c r="N53" s="48">
        <v>39</v>
      </c>
      <c r="O53" s="48">
        <v>38.1</v>
      </c>
      <c r="P53" s="48">
        <v>43.8</v>
      </c>
      <c r="Q53" s="48">
        <v>43.4</v>
      </c>
      <c r="R53" s="48">
        <v>29</v>
      </c>
      <c r="S53" s="48">
        <v>19.2</v>
      </c>
      <c r="T53" s="48">
        <v>57.129207619999974</v>
      </c>
      <c r="U53" s="48">
        <v>78.135843570000034</v>
      </c>
      <c r="V53" s="48">
        <v>68.069994240000028</v>
      </c>
      <c r="W53" s="48">
        <v>70.630906400000015</v>
      </c>
      <c r="X53" s="48">
        <v>72.448127819999996</v>
      </c>
    </row>
    <row r="54" spans="2:24" ht="26.4" x14ac:dyDescent="0.7">
      <c r="B54" s="3" t="s">
        <v>11</v>
      </c>
      <c r="D54" s="20" t="s">
        <v>77</v>
      </c>
      <c r="E54" s="20" t="s">
        <v>78</v>
      </c>
      <c r="F54">
        <v>53</v>
      </c>
      <c r="G54">
        <v>53</v>
      </c>
      <c r="H54">
        <v>52</v>
      </c>
      <c r="I54" s="49" t="s">
        <v>79</v>
      </c>
      <c r="J54" s="47" t="s">
        <v>35</v>
      </c>
      <c r="K54" s="48">
        <v>17.7</v>
      </c>
      <c r="L54" s="48">
        <v>17.100000000000001</v>
      </c>
      <c r="M54" s="48">
        <v>24</v>
      </c>
      <c r="N54" s="48">
        <v>33.299999999999997</v>
      </c>
      <c r="O54" s="48">
        <v>33.200000000000003</v>
      </c>
      <c r="P54" s="48">
        <v>41</v>
      </c>
      <c r="Q54" s="48">
        <v>36.299999999999997</v>
      </c>
      <c r="R54" s="48">
        <v>22.1</v>
      </c>
      <c r="S54" s="48">
        <v>12.8</v>
      </c>
      <c r="T54" s="48">
        <v>51.019695119999973</v>
      </c>
      <c r="U54" s="48">
        <v>68.919414720000034</v>
      </c>
      <c r="V54" s="48">
        <v>54.780558390000024</v>
      </c>
      <c r="W54" s="48">
        <v>57.127569770000015</v>
      </c>
      <c r="X54" s="48">
        <v>48.068996079999984</v>
      </c>
    </row>
    <row r="55" spans="2:24" ht="26.4" x14ac:dyDescent="0.7">
      <c r="B55" s="3" t="s">
        <v>11</v>
      </c>
      <c r="D55" s="20" t="s">
        <v>77</v>
      </c>
      <c r="E55" s="20" t="s">
        <v>78</v>
      </c>
      <c r="F55">
        <v>54</v>
      </c>
      <c r="G55">
        <v>54</v>
      </c>
      <c r="H55">
        <v>52</v>
      </c>
      <c r="I55" s="49" t="s">
        <v>91</v>
      </c>
      <c r="J55" s="47" t="s">
        <v>35</v>
      </c>
      <c r="K55" s="48">
        <v>0.3</v>
      </c>
      <c r="L55" s="48">
        <v>1</v>
      </c>
      <c r="M55" s="48">
        <v>2.5</v>
      </c>
      <c r="N55" s="48">
        <v>5</v>
      </c>
      <c r="O55" s="48">
        <v>4.5</v>
      </c>
      <c r="P55" s="48">
        <v>2.2999999999999998</v>
      </c>
      <c r="Q55" s="48">
        <v>4</v>
      </c>
      <c r="R55" s="48">
        <v>3.6</v>
      </c>
      <c r="S55" s="48">
        <v>4.7</v>
      </c>
      <c r="T55" s="48">
        <v>4.3772238799999998</v>
      </c>
      <c r="U55" s="48">
        <v>6.4478254699999997</v>
      </c>
      <c r="V55" s="48">
        <v>6.2528959299999993</v>
      </c>
      <c r="W55" s="48">
        <v>6.6870567299999992</v>
      </c>
      <c r="X55" s="48">
        <v>10.408221379999999</v>
      </c>
    </row>
    <row r="56" spans="2:24" ht="26.4" x14ac:dyDescent="0.7">
      <c r="B56" s="3" t="s">
        <v>11</v>
      </c>
      <c r="D56" s="20" t="s">
        <v>77</v>
      </c>
      <c r="E56" s="20" t="s">
        <v>78</v>
      </c>
      <c r="F56">
        <v>55</v>
      </c>
      <c r="G56">
        <v>55</v>
      </c>
      <c r="H56">
        <v>52</v>
      </c>
      <c r="I56" s="49" t="s">
        <v>112</v>
      </c>
      <c r="J56" s="47" t="s">
        <v>35</v>
      </c>
      <c r="K56" s="48" t="s">
        <v>84</v>
      </c>
      <c r="L56" s="48" t="s">
        <v>84</v>
      </c>
      <c r="M56" s="48" t="s">
        <v>84</v>
      </c>
      <c r="N56" s="48" t="s">
        <v>84</v>
      </c>
      <c r="O56" s="48" t="s">
        <v>84</v>
      </c>
      <c r="P56" s="48">
        <v>0.3</v>
      </c>
      <c r="Q56" s="48">
        <v>1.6</v>
      </c>
      <c r="R56" s="48">
        <v>1.9</v>
      </c>
      <c r="S56" s="48">
        <v>0.7</v>
      </c>
      <c r="T56" s="48">
        <v>1.3305260000000001</v>
      </c>
      <c r="U56" s="48">
        <v>1.10676</v>
      </c>
      <c r="V56" s="48">
        <v>3.6189</v>
      </c>
      <c r="W56" s="48">
        <v>4.7412010000000002</v>
      </c>
      <c r="X56" s="48">
        <v>7.2360119999999997</v>
      </c>
    </row>
    <row r="57" spans="2:24" ht="26.4" x14ac:dyDescent="0.7">
      <c r="B57" s="3" t="s">
        <v>11</v>
      </c>
      <c r="D57" s="20" t="s">
        <v>77</v>
      </c>
      <c r="E57" s="20" t="s">
        <v>78</v>
      </c>
      <c r="F57">
        <v>56</v>
      </c>
      <c r="G57">
        <v>56</v>
      </c>
      <c r="H57">
        <v>52</v>
      </c>
      <c r="I57" s="49" t="s">
        <v>101</v>
      </c>
      <c r="J57" s="47" t="s">
        <v>35</v>
      </c>
      <c r="K57" s="48" t="s">
        <v>84</v>
      </c>
      <c r="L57" s="48">
        <v>1.1000000000000001</v>
      </c>
      <c r="M57" s="48">
        <v>0.5</v>
      </c>
      <c r="N57" s="48">
        <v>0.1</v>
      </c>
      <c r="O57" s="48" t="s">
        <v>84</v>
      </c>
      <c r="P57" s="48">
        <v>0.2</v>
      </c>
      <c r="Q57" s="48">
        <v>0.7</v>
      </c>
      <c r="R57" s="48">
        <v>1.2</v>
      </c>
      <c r="S57" s="48">
        <v>0.9</v>
      </c>
      <c r="T57" s="48">
        <v>3.4122E-2</v>
      </c>
      <c r="U57" s="48">
        <v>0.18445929999999999</v>
      </c>
      <c r="V57" s="48">
        <v>2.0318938699999998</v>
      </c>
      <c r="W57" s="48">
        <v>1.2451589599999999</v>
      </c>
      <c r="X57" s="48">
        <v>5.087207470000001</v>
      </c>
    </row>
    <row r="58" spans="2:24" ht="26.4" x14ac:dyDescent="0.7">
      <c r="B58" s="3" t="s">
        <v>11</v>
      </c>
      <c r="D58" s="20" t="s">
        <v>77</v>
      </c>
      <c r="E58" s="20" t="s">
        <v>78</v>
      </c>
      <c r="F58">
        <v>57</v>
      </c>
      <c r="G58">
        <v>57</v>
      </c>
      <c r="I58" s="10" t="s">
        <v>113</v>
      </c>
      <c r="J58" s="47" t="s">
        <v>35</v>
      </c>
      <c r="K58" s="48">
        <v>30.2</v>
      </c>
      <c r="L58" s="48">
        <v>99.5</v>
      </c>
      <c r="M58" s="48">
        <v>129.6</v>
      </c>
      <c r="N58" s="48">
        <v>126.9</v>
      </c>
      <c r="O58" s="48">
        <v>115.5</v>
      </c>
      <c r="P58" s="48">
        <v>80.599999999999994</v>
      </c>
      <c r="Q58" s="48">
        <v>76.2</v>
      </c>
      <c r="R58" s="48">
        <v>100.3</v>
      </c>
      <c r="S58" s="48">
        <v>35.6</v>
      </c>
      <c r="T58" s="48">
        <v>42.062168659999998</v>
      </c>
      <c r="U58" s="48">
        <v>57.391350449999997</v>
      </c>
      <c r="V58" s="48">
        <v>66.636010330000005</v>
      </c>
      <c r="W58" s="48">
        <v>103.14004731</v>
      </c>
      <c r="X58" s="48">
        <v>146.29550644999998</v>
      </c>
    </row>
    <row r="59" spans="2:24" ht="26.4" x14ac:dyDescent="0.7">
      <c r="B59" s="3" t="s">
        <v>11</v>
      </c>
      <c r="D59" s="20" t="s">
        <v>77</v>
      </c>
      <c r="E59" s="20" t="s">
        <v>78</v>
      </c>
      <c r="F59">
        <v>58</v>
      </c>
      <c r="G59">
        <v>58</v>
      </c>
      <c r="H59">
        <v>57</v>
      </c>
      <c r="I59" s="49" t="s">
        <v>91</v>
      </c>
      <c r="J59" s="47" t="s">
        <v>35</v>
      </c>
      <c r="K59" s="48">
        <v>3.3</v>
      </c>
      <c r="L59" s="48">
        <v>24.6</v>
      </c>
      <c r="M59" s="48">
        <v>40.5</v>
      </c>
      <c r="N59" s="48">
        <v>49.8</v>
      </c>
      <c r="O59" s="48">
        <v>31.8</v>
      </c>
      <c r="P59" s="48">
        <v>22.4</v>
      </c>
      <c r="Q59" s="48">
        <v>33.4</v>
      </c>
      <c r="R59" s="48">
        <v>42</v>
      </c>
      <c r="S59" s="48">
        <v>11.7</v>
      </c>
      <c r="T59" s="48">
        <v>14.500252890000001</v>
      </c>
      <c r="U59" s="48">
        <v>32.276796509999997</v>
      </c>
      <c r="V59" s="48">
        <v>34.954070950000002</v>
      </c>
      <c r="W59" s="48">
        <v>47.822885099999993</v>
      </c>
      <c r="X59" s="48">
        <v>44.371282439999995</v>
      </c>
    </row>
    <row r="60" spans="2:24" ht="26.4" x14ac:dyDescent="0.7">
      <c r="B60" s="3" t="s">
        <v>11</v>
      </c>
      <c r="D60" s="20" t="s">
        <v>77</v>
      </c>
      <c r="E60" s="20" t="s">
        <v>78</v>
      </c>
      <c r="F60">
        <v>59</v>
      </c>
      <c r="G60">
        <v>59</v>
      </c>
      <c r="H60">
        <v>57</v>
      </c>
      <c r="I60" s="49" t="s">
        <v>79</v>
      </c>
      <c r="J60" s="47" t="s">
        <v>35</v>
      </c>
      <c r="K60" s="48">
        <v>1.8</v>
      </c>
      <c r="L60" s="48">
        <v>6.8</v>
      </c>
      <c r="M60" s="48">
        <v>9.8000000000000007</v>
      </c>
      <c r="N60" s="48">
        <v>7.7</v>
      </c>
      <c r="O60" s="48">
        <v>7.4</v>
      </c>
      <c r="P60" s="48">
        <v>2.8</v>
      </c>
      <c r="Q60" s="48">
        <v>14.1</v>
      </c>
      <c r="R60" s="48">
        <v>10.1</v>
      </c>
      <c r="S60" s="48">
        <v>8.8000000000000007</v>
      </c>
      <c r="T60" s="48">
        <v>5.1387286099999994</v>
      </c>
      <c r="U60" s="48">
        <v>2.5855298499999995</v>
      </c>
      <c r="V60" s="48">
        <v>12.760691479999997</v>
      </c>
      <c r="W60" s="48">
        <v>19.333863350000023</v>
      </c>
      <c r="X60" s="48">
        <v>34.258227290000001</v>
      </c>
    </row>
    <row r="61" spans="2:24" ht="26.4" x14ac:dyDescent="0.7">
      <c r="B61" s="3" t="s">
        <v>11</v>
      </c>
      <c r="D61" s="20" t="s">
        <v>77</v>
      </c>
      <c r="E61" s="20" t="s">
        <v>78</v>
      </c>
      <c r="F61">
        <v>60</v>
      </c>
      <c r="G61">
        <v>60</v>
      </c>
      <c r="H61">
        <v>57</v>
      </c>
      <c r="I61" s="49" t="s">
        <v>95</v>
      </c>
      <c r="J61" s="47" t="s">
        <v>35</v>
      </c>
      <c r="K61" s="48">
        <v>1.1000000000000001</v>
      </c>
      <c r="L61" s="48">
        <v>13.1</v>
      </c>
      <c r="M61" s="48">
        <v>19.600000000000001</v>
      </c>
      <c r="N61" s="48">
        <v>16.399999999999999</v>
      </c>
      <c r="O61" s="48">
        <v>31.3</v>
      </c>
      <c r="P61" s="48">
        <v>20.100000000000001</v>
      </c>
      <c r="Q61" s="48">
        <v>4.0999999999999996</v>
      </c>
      <c r="R61" s="48">
        <v>23</v>
      </c>
      <c r="S61" s="48">
        <v>4.5999999999999996</v>
      </c>
      <c r="T61" s="48">
        <v>7.5380976200000012</v>
      </c>
      <c r="U61" s="48">
        <v>6.87515725</v>
      </c>
      <c r="V61" s="48">
        <v>10.496205239999998</v>
      </c>
      <c r="W61" s="48">
        <v>18.164758139999993</v>
      </c>
      <c r="X61" s="48">
        <v>31.195762089999995</v>
      </c>
    </row>
    <row r="62" spans="2:24" ht="26.4" x14ac:dyDescent="0.7">
      <c r="B62" s="3" t="s">
        <v>11</v>
      </c>
      <c r="D62" s="20" t="s">
        <v>77</v>
      </c>
      <c r="E62" s="20" t="s">
        <v>78</v>
      </c>
      <c r="F62">
        <v>61</v>
      </c>
      <c r="G62">
        <v>61</v>
      </c>
      <c r="H62">
        <v>57</v>
      </c>
      <c r="I62" s="49" t="s">
        <v>83</v>
      </c>
      <c r="J62" s="47" t="s">
        <v>35</v>
      </c>
      <c r="K62" s="48">
        <v>3.9</v>
      </c>
      <c r="L62" s="48">
        <v>11.7</v>
      </c>
      <c r="M62" s="48">
        <v>18.7</v>
      </c>
      <c r="N62" s="48">
        <v>26.4</v>
      </c>
      <c r="O62" s="48">
        <v>12.4</v>
      </c>
      <c r="P62" s="48">
        <v>17.100000000000001</v>
      </c>
      <c r="Q62" s="48">
        <v>12.1</v>
      </c>
      <c r="R62" s="48">
        <v>16</v>
      </c>
      <c r="S62" s="48">
        <v>5.7</v>
      </c>
      <c r="T62" s="48">
        <v>7.7253791700000001</v>
      </c>
      <c r="U62" s="48">
        <v>10.55123201</v>
      </c>
      <c r="V62" s="48">
        <v>5.0162261199999998</v>
      </c>
      <c r="W62" s="48">
        <v>7.5852826999999996</v>
      </c>
      <c r="X62" s="48">
        <v>18.914654500000001</v>
      </c>
    </row>
    <row r="63" spans="2:24" ht="26.4" x14ac:dyDescent="0.7">
      <c r="B63" s="3" t="s">
        <v>11</v>
      </c>
      <c r="D63" s="20" t="s">
        <v>77</v>
      </c>
      <c r="E63" s="20" t="s">
        <v>78</v>
      </c>
      <c r="F63">
        <v>62</v>
      </c>
      <c r="G63">
        <v>62</v>
      </c>
      <c r="I63" s="10" t="s">
        <v>114</v>
      </c>
      <c r="J63" s="47" t="s">
        <v>35</v>
      </c>
      <c r="K63" s="48">
        <v>21.6</v>
      </c>
      <c r="L63" s="48">
        <v>24.9</v>
      </c>
      <c r="M63" s="48">
        <v>28.2</v>
      </c>
      <c r="N63" s="48">
        <v>36.299999999999997</v>
      </c>
      <c r="O63" s="48">
        <v>57.8</v>
      </c>
      <c r="P63" s="48">
        <v>39</v>
      </c>
      <c r="Q63" s="48">
        <v>45.9</v>
      </c>
      <c r="R63" s="48">
        <v>45.6</v>
      </c>
      <c r="S63" s="48">
        <v>47.7</v>
      </c>
      <c r="T63" s="48">
        <v>111.47093224999999</v>
      </c>
      <c r="U63" s="48">
        <v>39.249615969999994</v>
      </c>
      <c r="V63" s="48">
        <v>41.110333509999997</v>
      </c>
      <c r="W63" s="48">
        <v>647.15227056000003</v>
      </c>
      <c r="X63" s="48">
        <v>90.402565170000003</v>
      </c>
    </row>
    <row r="64" spans="2:24" ht="26.4" x14ac:dyDescent="0.7">
      <c r="B64" s="3" t="s">
        <v>11</v>
      </c>
      <c r="D64" s="20" t="s">
        <v>77</v>
      </c>
      <c r="E64" s="20" t="s">
        <v>78</v>
      </c>
      <c r="F64">
        <v>63</v>
      </c>
      <c r="G64">
        <v>63</v>
      </c>
      <c r="H64">
        <v>62</v>
      </c>
      <c r="I64" s="49" t="s">
        <v>91</v>
      </c>
      <c r="J64" s="47" t="s">
        <v>35</v>
      </c>
      <c r="K64" s="48">
        <v>1.6</v>
      </c>
      <c r="L64" s="48">
        <v>6</v>
      </c>
      <c r="M64" s="48">
        <v>2</v>
      </c>
      <c r="N64" s="48">
        <v>10.3</v>
      </c>
      <c r="O64" s="48">
        <v>11.5</v>
      </c>
      <c r="P64" s="48">
        <v>4</v>
      </c>
      <c r="Q64" s="48">
        <v>11.9</v>
      </c>
      <c r="R64" s="48">
        <v>12.5</v>
      </c>
      <c r="S64" s="48">
        <v>12.3</v>
      </c>
      <c r="T64" s="48">
        <v>7.4842902700000007</v>
      </c>
      <c r="U64" s="48">
        <v>11.00820805</v>
      </c>
      <c r="V64" s="48">
        <v>17.131025820000001</v>
      </c>
      <c r="W64" s="48">
        <v>15.15017609</v>
      </c>
      <c r="X64" s="48">
        <v>22.773917999999998</v>
      </c>
    </row>
    <row r="65" spans="2:24" ht="26.4" x14ac:dyDescent="0.7">
      <c r="B65" s="3" t="s">
        <v>11</v>
      </c>
      <c r="D65" s="20" t="s">
        <v>77</v>
      </c>
      <c r="E65" s="20" t="s">
        <v>78</v>
      </c>
      <c r="F65">
        <v>64</v>
      </c>
      <c r="G65">
        <v>64</v>
      </c>
      <c r="H65">
        <v>62</v>
      </c>
      <c r="I65" s="49" t="s">
        <v>93</v>
      </c>
      <c r="J65" s="47" t="s">
        <v>35</v>
      </c>
      <c r="K65" s="48">
        <v>3.7</v>
      </c>
      <c r="L65" s="48">
        <v>5.9</v>
      </c>
      <c r="M65" s="48">
        <v>3.6</v>
      </c>
      <c r="N65" s="48">
        <v>4.5999999999999996</v>
      </c>
      <c r="O65" s="48">
        <v>2.9</v>
      </c>
      <c r="P65" s="48">
        <v>5.7</v>
      </c>
      <c r="Q65" s="48">
        <v>3.3</v>
      </c>
      <c r="R65" s="48">
        <v>2</v>
      </c>
      <c r="S65" s="48">
        <v>6</v>
      </c>
      <c r="T65" s="48">
        <v>1.9726961000000001</v>
      </c>
      <c r="U65" s="48">
        <v>4.5156961600000001</v>
      </c>
      <c r="V65" s="48">
        <v>7.2855800000000004</v>
      </c>
      <c r="W65" s="48">
        <v>9.7303981000000004</v>
      </c>
      <c r="X65" s="48">
        <v>4.0975833999999995</v>
      </c>
    </row>
    <row r="66" spans="2:24" ht="26.4" x14ac:dyDescent="0.7">
      <c r="B66" s="3" t="s">
        <v>11</v>
      </c>
      <c r="D66" s="20" t="s">
        <v>77</v>
      </c>
      <c r="E66" s="20" t="s">
        <v>78</v>
      </c>
      <c r="F66">
        <v>65</v>
      </c>
      <c r="G66">
        <v>65</v>
      </c>
      <c r="H66">
        <v>62</v>
      </c>
      <c r="I66" s="49" t="s">
        <v>79</v>
      </c>
      <c r="J66" s="47" t="s">
        <v>35</v>
      </c>
      <c r="K66" s="48">
        <v>3.6</v>
      </c>
      <c r="L66" s="48">
        <v>6.8</v>
      </c>
      <c r="M66" s="48">
        <v>5.3</v>
      </c>
      <c r="N66" s="48">
        <v>11.3</v>
      </c>
      <c r="O66" s="48">
        <v>5.3</v>
      </c>
      <c r="P66" s="48">
        <v>11.2</v>
      </c>
      <c r="Q66" s="48">
        <v>6.8</v>
      </c>
      <c r="R66" s="48">
        <v>5.0999999999999996</v>
      </c>
      <c r="S66" s="48">
        <v>4.8</v>
      </c>
      <c r="T66" s="48">
        <v>5.1907637799999993</v>
      </c>
      <c r="U66" s="48">
        <v>2.2416799799999998</v>
      </c>
      <c r="V66" s="48">
        <v>6.6732373799999998</v>
      </c>
      <c r="W66" s="48">
        <v>9.5383760499999983</v>
      </c>
      <c r="X66" s="48">
        <v>17.303008250000001</v>
      </c>
    </row>
    <row r="67" spans="2:24" ht="26.4" x14ac:dyDescent="0.7">
      <c r="B67" s="3" t="s">
        <v>11</v>
      </c>
      <c r="D67" s="20" t="s">
        <v>77</v>
      </c>
      <c r="E67" s="20" t="s">
        <v>78</v>
      </c>
      <c r="F67">
        <v>66</v>
      </c>
      <c r="G67">
        <v>66</v>
      </c>
      <c r="H67">
        <v>62</v>
      </c>
      <c r="I67" s="49" t="s">
        <v>80</v>
      </c>
      <c r="J67" s="47" t="s">
        <v>35</v>
      </c>
      <c r="K67" s="48">
        <v>5.2</v>
      </c>
      <c r="L67" s="48">
        <v>0.4</v>
      </c>
      <c r="M67" s="48">
        <v>2.8</v>
      </c>
      <c r="N67" s="48">
        <v>3.8</v>
      </c>
      <c r="O67" s="48">
        <v>10.5</v>
      </c>
      <c r="P67" s="48">
        <v>4.0999999999999996</v>
      </c>
      <c r="Q67" s="48">
        <v>7.6</v>
      </c>
      <c r="R67" s="48">
        <v>15.6</v>
      </c>
      <c r="S67" s="48">
        <v>5.5</v>
      </c>
      <c r="T67" s="48">
        <v>7.7971210600000003</v>
      </c>
      <c r="U67" s="48">
        <v>3.4847890000000001</v>
      </c>
      <c r="V67" s="48">
        <v>3.92615954</v>
      </c>
      <c r="W67" s="48">
        <v>0.45628096000000001</v>
      </c>
      <c r="X67" s="48">
        <v>0.93806350999999999</v>
      </c>
    </row>
    <row r="68" spans="2:24" ht="26.4" x14ac:dyDescent="0.7">
      <c r="B68" s="3" t="s">
        <v>11</v>
      </c>
      <c r="D68" s="20" t="s">
        <v>77</v>
      </c>
      <c r="E68" s="20" t="s">
        <v>78</v>
      </c>
      <c r="F68">
        <v>67</v>
      </c>
      <c r="G68">
        <v>67</v>
      </c>
      <c r="H68">
        <v>62</v>
      </c>
      <c r="I68" s="49" t="s">
        <v>101</v>
      </c>
      <c r="J68" s="47" t="s">
        <v>35</v>
      </c>
      <c r="K68" s="48">
        <v>1.2</v>
      </c>
      <c r="L68" s="48">
        <v>0.7</v>
      </c>
      <c r="M68" s="48">
        <v>0.9</v>
      </c>
      <c r="N68" s="48">
        <v>2.4</v>
      </c>
      <c r="O68" s="48">
        <v>0.3</v>
      </c>
      <c r="P68" s="48" t="s">
        <v>84</v>
      </c>
      <c r="Q68" s="48">
        <v>3.1</v>
      </c>
      <c r="R68" s="48">
        <v>0.4</v>
      </c>
      <c r="S68" s="48">
        <v>5.4</v>
      </c>
      <c r="T68" s="48">
        <v>53.863267799999996</v>
      </c>
      <c r="U68" s="48">
        <v>0.64471725000000002</v>
      </c>
      <c r="V68" s="48">
        <v>1.2857423400000001</v>
      </c>
      <c r="W68" s="48">
        <v>597.21585844999993</v>
      </c>
      <c r="X68" s="48">
        <v>15.26711484</v>
      </c>
    </row>
    <row r="69" spans="2:24" ht="26.4" x14ac:dyDescent="0.7">
      <c r="B69" s="3" t="s">
        <v>11</v>
      </c>
      <c r="D69" s="20" t="s">
        <v>77</v>
      </c>
      <c r="E69" s="20" t="s">
        <v>78</v>
      </c>
      <c r="F69">
        <v>68</v>
      </c>
      <c r="G69">
        <v>68</v>
      </c>
      <c r="I69" s="10" t="s">
        <v>115</v>
      </c>
      <c r="J69" s="47" t="s">
        <v>35</v>
      </c>
      <c r="K69" s="48">
        <v>8.4</v>
      </c>
      <c r="L69" s="48">
        <v>14.4</v>
      </c>
      <c r="M69" s="48">
        <v>130.80000000000001</v>
      </c>
      <c r="N69" s="48">
        <v>183.9</v>
      </c>
      <c r="O69" s="48">
        <v>135.4</v>
      </c>
      <c r="P69" s="48">
        <v>203.2</v>
      </c>
      <c r="Q69" s="48">
        <v>142.80000000000001</v>
      </c>
      <c r="R69" s="48">
        <v>11.3</v>
      </c>
      <c r="S69" s="48">
        <v>71.900000000000006</v>
      </c>
      <c r="T69" s="48">
        <v>51.738284960000001</v>
      </c>
      <c r="U69" s="48">
        <v>37.684969580000001</v>
      </c>
      <c r="V69" s="48">
        <v>37.615593949999997</v>
      </c>
      <c r="W69" s="48">
        <v>54.180227899999991</v>
      </c>
      <c r="X69" s="48">
        <v>66.483997470000006</v>
      </c>
    </row>
    <row r="70" spans="2:24" ht="26.4" x14ac:dyDescent="0.7">
      <c r="B70" s="3" t="s">
        <v>11</v>
      </c>
      <c r="D70" s="20" t="s">
        <v>77</v>
      </c>
      <c r="E70" s="20" t="s">
        <v>78</v>
      </c>
      <c r="F70">
        <v>69</v>
      </c>
      <c r="G70">
        <v>69</v>
      </c>
      <c r="H70">
        <v>68</v>
      </c>
      <c r="I70" s="49" t="s">
        <v>91</v>
      </c>
      <c r="J70" s="47" t="s">
        <v>35</v>
      </c>
      <c r="K70" s="48">
        <v>1.8</v>
      </c>
      <c r="L70" s="48">
        <v>4.5</v>
      </c>
      <c r="M70" s="48">
        <v>2.1</v>
      </c>
      <c r="N70" s="48">
        <v>1.4</v>
      </c>
      <c r="O70" s="48">
        <v>2.2999999999999998</v>
      </c>
      <c r="P70" s="48">
        <v>3.5</v>
      </c>
      <c r="Q70" s="48">
        <v>3.3</v>
      </c>
      <c r="R70" s="48">
        <v>0.4</v>
      </c>
      <c r="S70" s="48">
        <v>6.7</v>
      </c>
      <c r="T70" s="48">
        <v>15.452048100000001</v>
      </c>
      <c r="U70" s="48">
        <v>17.728251770000004</v>
      </c>
      <c r="V70" s="48">
        <v>22.40012565</v>
      </c>
      <c r="W70" s="48">
        <v>13.581047079999999</v>
      </c>
      <c r="X70" s="48">
        <v>19.076800500000001</v>
      </c>
    </row>
    <row r="71" spans="2:24" ht="26.4" x14ac:dyDescent="0.7">
      <c r="B71" s="3" t="s">
        <v>11</v>
      </c>
      <c r="D71" s="20" t="s">
        <v>77</v>
      </c>
      <c r="E71" s="20" t="s">
        <v>78</v>
      </c>
      <c r="F71">
        <v>70</v>
      </c>
      <c r="G71">
        <v>70</v>
      </c>
      <c r="H71">
        <v>68</v>
      </c>
      <c r="I71" s="49" t="s">
        <v>98</v>
      </c>
      <c r="J71" s="47" t="s">
        <v>35</v>
      </c>
      <c r="K71" s="48" t="s">
        <v>84</v>
      </c>
      <c r="L71" s="48" t="s">
        <v>84</v>
      </c>
      <c r="M71" s="48" t="s">
        <v>84</v>
      </c>
      <c r="N71" s="48" t="s">
        <v>84</v>
      </c>
      <c r="O71" s="48" t="s">
        <v>84</v>
      </c>
      <c r="P71" s="48" t="s">
        <v>84</v>
      </c>
      <c r="Q71" s="48" t="s">
        <v>84</v>
      </c>
      <c r="R71" s="48">
        <v>0.7</v>
      </c>
      <c r="S71" s="48">
        <v>0.2</v>
      </c>
      <c r="T71" s="48">
        <v>26.166522000000001</v>
      </c>
      <c r="U71" s="48">
        <v>2.5573256099999999</v>
      </c>
      <c r="V71" s="48">
        <v>10.470975199999994</v>
      </c>
      <c r="W71" s="48">
        <v>22.915152139999996</v>
      </c>
      <c r="X71" s="48">
        <v>12.376660620000001</v>
      </c>
    </row>
    <row r="72" spans="2:24" ht="26.4" x14ac:dyDescent="0.7">
      <c r="B72" s="3" t="s">
        <v>11</v>
      </c>
      <c r="D72" s="20" t="s">
        <v>77</v>
      </c>
      <c r="E72" s="20" t="s">
        <v>78</v>
      </c>
      <c r="F72">
        <v>71</v>
      </c>
      <c r="G72">
        <v>71</v>
      </c>
      <c r="H72">
        <v>68</v>
      </c>
      <c r="I72" s="49" t="s">
        <v>116</v>
      </c>
      <c r="J72" s="47" t="s">
        <v>35</v>
      </c>
      <c r="K72" s="48">
        <v>2.2000000000000002</v>
      </c>
      <c r="L72" s="48">
        <v>4.4000000000000004</v>
      </c>
      <c r="M72" s="48">
        <v>6.1</v>
      </c>
      <c r="N72" s="48">
        <v>26.4</v>
      </c>
      <c r="O72" s="48">
        <v>20</v>
      </c>
      <c r="P72" s="48">
        <v>6</v>
      </c>
      <c r="Q72" s="48">
        <v>8.3000000000000007</v>
      </c>
      <c r="R72" s="48" t="s">
        <v>84</v>
      </c>
      <c r="S72" s="48" t="s">
        <v>84</v>
      </c>
      <c r="T72" s="48">
        <v>2.4472260000000001</v>
      </c>
      <c r="U72" s="48">
        <v>0.30138999999999999</v>
      </c>
      <c r="V72" s="48">
        <v>2.6077720000000002</v>
      </c>
      <c r="W72" s="48">
        <v>0.1</v>
      </c>
      <c r="X72" s="48">
        <v>0.104</v>
      </c>
    </row>
    <row r="73" spans="2:24" ht="26.4" x14ac:dyDescent="0.7">
      <c r="B73" s="3" t="s">
        <v>11</v>
      </c>
      <c r="D73" s="20" t="s">
        <v>77</v>
      </c>
      <c r="E73" s="20" t="s">
        <v>78</v>
      </c>
      <c r="F73">
        <v>72</v>
      </c>
      <c r="G73">
        <v>72</v>
      </c>
      <c r="H73">
        <v>68</v>
      </c>
      <c r="I73" s="49" t="s">
        <v>79</v>
      </c>
      <c r="J73" s="47" t="s">
        <v>35</v>
      </c>
      <c r="K73" s="48">
        <v>0</v>
      </c>
      <c r="L73" s="48">
        <v>0</v>
      </c>
      <c r="M73" s="48">
        <v>4.9000000000000004</v>
      </c>
      <c r="N73" s="48">
        <v>30.3</v>
      </c>
      <c r="O73" s="48">
        <v>32.299999999999997</v>
      </c>
      <c r="P73" s="48">
        <v>47.6</v>
      </c>
      <c r="Q73" s="48">
        <v>8.1999999999999993</v>
      </c>
      <c r="R73" s="48">
        <v>5.5</v>
      </c>
      <c r="S73" s="48">
        <v>6.4</v>
      </c>
      <c r="T73" s="48">
        <v>2.1941760000000001</v>
      </c>
      <c r="U73" s="48">
        <v>3.4776880499999998</v>
      </c>
      <c r="V73" s="48">
        <v>0.49870509999999996</v>
      </c>
      <c r="W73" s="48">
        <v>1.0740524599999999</v>
      </c>
      <c r="X73" s="48">
        <v>1.4566869</v>
      </c>
    </row>
    <row r="74" spans="2:24" ht="26.4" x14ac:dyDescent="0.7">
      <c r="B74" s="3" t="s">
        <v>11</v>
      </c>
      <c r="D74" s="20" t="s">
        <v>77</v>
      </c>
      <c r="E74" s="20" t="s">
        <v>78</v>
      </c>
      <c r="F74">
        <v>73</v>
      </c>
      <c r="G74">
        <v>73</v>
      </c>
      <c r="I74" s="10" t="s">
        <v>117</v>
      </c>
      <c r="J74" s="47" t="s">
        <v>35</v>
      </c>
      <c r="K74" s="48">
        <v>0.9</v>
      </c>
      <c r="L74" s="48">
        <v>2.2999999999999998</v>
      </c>
      <c r="M74" s="48">
        <v>3</v>
      </c>
      <c r="N74" s="48">
        <v>2.6</v>
      </c>
      <c r="O74" s="48">
        <v>2.1</v>
      </c>
      <c r="P74" s="48">
        <v>1.4</v>
      </c>
      <c r="Q74" s="48">
        <v>2.7</v>
      </c>
      <c r="R74" s="48">
        <v>5.8</v>
      </c>
      <c r="S74" s="48">
        <v>1.5</v>
      </c>
      <c r="T74" s="48">
        <v>11.485578960000002</v>
      </c>
      <c r="U74" s="48">
        <v>4.7417288200000005</v>
      </c>
      <c r="V74" s="48">
        <v>9.1346283899999996</v>
      </c>
      <c r="W74" s="48">
        <v>3.2196481500000003</v>
      </c>
      <c r="X74" s="48">
        <v>1.23562075</v>
      </c>
    </row>
    <row r="75" spans="2:24" ht="26.4" x14ac:dyDescent="0.7">
      <c r="B75" s="3" t="s">
        <v>11</v>
      </c>
      <c r="D75" s="20" t="s">
        <v>77</v>
      </c>
      <c r="E75" s="20" t="s">
        <v>78</v>
      </c>
      <c r="F75">
        <v>74</v>
      </c>
      <c r="G75">
        <v>74</v>
      </c>
      <c r="H75">
        <v>73</v>
      </c>
      <c r="I75" s="49" t="s">
        <v>91</v>
      </c>
      <c r="J75" s="47" t="s">
        <v>35</v>
      </c>
      <c r="K75" s="48" t="s">
        <v>84</v>
      </c>
      <c r="L75" s="48">
        <v>0.2</v>
      </c>
      <c r="M75" s="48">
        <v>0.1</v>
      </c>
      <c r="N75" s="48">
        <v>0.2</v>
      </c>
      <c r="O75" s="48">
        <v>0.1</v>
      </c>
      <c r="P75" s="48">
        <v>0.2</v>
      </c>
      <c r="Q75" s="48">
        <v>2.2000000000000002</v>
      </c>
      <c r="R75" s="48">
        <v>4.9000000000000004</v>
      </c>
      <c r="S75" s="48">
        <v>1</v>
      </c>
      <c r="T75" s="48">
        <v>2.4256391000000002</v>
      </c>
      <c r="U75" s="48">
        <v>2.9140722300000004</v>
      </c>
      <c r="V75" s="48">
        <v>4.8995521199999992</v>
      </c>
      <c r="W75" s="48">
        <v>2.4703005400000002</v>
      </c>
      <c r="X75" s="48">
        <v>0.98532978999999998</v>
      </c>
    </row>
    <row r="76" spans="2:24" ht="26.4" x14ac:dyDescent="0.7">
      <c r="B76" s="3" t="s">
        <v>11</v>
      </c>
      <c r="D76" s="20" t="s">
        <v>77</v>
      </c>
      <c r="E76" s="20" t="s">
        <v>78</v>
      </c>
      <c r="F76">
        <v>75</v>
      </c>
      <c r="G76">
        <v>75</v>
      </c>
      <c r="H76">
        <v>73</v>
      </c>
      <c r="I76" s="49" t="s">
        <v>90</v>
      </c>
      <c r="J76" s="47" t="s">
        <v>35</v>
      </c>
      <c r="K76" s="48" t="s">
        <v>84</v>
      </c>
      <c r="L76" s="48">
        <v>0.1</v>
      </c>
      <c r="M76" s="48">
        <v>0.5</v>
      </c>
      <c r="N76" s="48">
        <v>0.1</v>
      </c>
      <c r="O76" s="48">
        <v>0.3</v>
      </c>
      <c r="P76" s="48" t="s">
        <v>84</v>
      </c>
      <c r="Q76" s="48" t="s">
        <v>84</v>
      </c>
      <c r="R76" s="48">
        <v>0</v>
      </c>
      <c r="S76" s="48" t="s">
        <v>84</v>
      </c>
      <c r="T76" s="48">
        <v>0</v>
      </c>
      <c r="U76" s="48">
        <v>0.3188493</v>
      </c>
      <c r="V76" s="48">
        <v>2.38790193</v>
      </c>
      <c r="W76" s="48">
        <v>0.22100520000000001</v>
      </c>
      <c r="X76" s="48">
        <v>0</v>
      </c>
    </row>
    <row r="77" spans="2:24" ht="26.4" x14ac:dyDescent="0.7">
      <c r="B77" s="3" t="s">
        <v>11</v>
      </c>
      <c r="D77" s="20" t="s">
        <v>77</v>
      </c>
      <c r="E77" s="20" t="s">
        <v>78</v>
      </c>
      <c r="F77">
        <v>76</v>
      </c>
      <c r="G77">
        <v>76</v>
      </c>
      <c r="I77" s="10" t="s">
        <v>118</v>
      </c>
      <c r="J77" s="47" t="s">
        <v>35</v>
      </c>
      <c r="K77" s="48">
        <v>18.100000000000001</v>
      </c>
      <c r="L77" s="48">
        <v>25.3</v>
      </c>
      <c r="M77" s="48">
        <v>34.6</v>
      </c>
      <c r="N77" s="48">
        <v>42.1</v>
      </c>
      <c r="O77" s="48">
        <v>49.8</v>
      </c>
      <c r="P77" s="48">
        <v>38.1</v>
      </c>
      <c r="Q77" s="48">
        <v>25.6</v>
      </c>
      <c r="R77" s="48">
        <v>14.2</v>
      </c>
      <c r="S77" s="48">
        <v>8.1</v>
      </c>
      <c r="T77" s="48">
        <v>4.970091899999999</v>
      </c>
      <c r="U77" s="48">
        <v>7.8975855800000003</v>
      </c>
      <c r="V77" s="48">
        <v>7.0654614000000011</v>
      </c>
      <c r="W77" s="48">
        <v>9.7253292499999979</v>
      </c>
      <c r="X77" s="48">
        <v>9.6440967000000004</v>
      </c>
    </row>
    <row r="78" spans="2:24" ht="26.4" x14ac:dyDescent="0.7">
      <c r="B78" s="3" t="s">
        <v>11</v>
      </c>
      <c r="D78" s="20" t="s">
        <v>77</v>
      </c>
      <c r="E78" s="20" t="s">
        <v>78</v>
      </c>
      <c r="F78">
        <v>77</v>
      </c>
      <c r="G78">
        <v>77</v>
      </c>
      <c r="H78">
        <v>76</v>
      </c>
      <c r="I78" s="49" t="s">
        <v>79</v>
      </c>
      <c r="J78" s="47" t="s">
        <v>35</v>
      </c>
      <c r="K78" s="48">
        <v>13.7</v>
      </c>
      <c r="L78" s="48">
        <v>20.9</v>
      </c>
      <c r="M78" s="48">
        <v>28.9</v>
      </c>
      <c r="N78" s="48">
        <v>37.799999999999997</v>
      </c>
      <c r="O78" s="48">
        <v>43.2</v>
      </c>
      <c r="P78" s="48">
        <v>32.700000000000003</v>
      </c>
      <c r="Q78" s="48">
        <v>24.2</v>
      </c>
      <c r="R78" s="48">
        <v>11.3</v>
      </c>
      <c r="S78" s="48">
        <v>6.7</v>
      </c>
      <c r="T78" s="48">
        <v>4.273373359999999</v>
      </c>
      <c r="U78" s="48">
        <v>2.0234817600000001</v>
      </c>
      <c r="V78" s="48">
        <v>2.9466759800000011</v>
      </c>
      <c r="W78" s="48">
        <v>6.2291570399999987</v>
      </c>
      <c r="X78" s="48">
        <v>5.3840861500000008</v>
      </c>
    </row>
    <row r="79" spans="2:24" ht="26.4" x14ac:dyDescent="0.7">
      <c r="B79" s="3" t="s">
        <v>11</v>
      </c>
      <c r="D79" s="20" t="s">
        <v>77</v>
      </c>
      <c r="E79" s="20" t="s">
        <v>78</v>
      </c>
      <c r="F79">
        <v>78</v>
      </c>
      <c r="G79">
        <v>78</v>
      </c>
      <c r="H79">
        <v>76</v>
      </c>
      <c r="I79" s="49" t="s">
        <v>91</v>
      </c>
      <c r="J79" s="47" t="s">
        <v>35</v>
      </c>
      <c r="K79" s="48">
        <v>0.9</v>
      </c>
      <c r="L79" s="48">
        <v>0.9</v>
      </c>
      <c r="M79" s="48">
        <v>2.4</v>
      </c>
      <c r="N79" s="48">
        <v>2.2999999999999998</v>
      </c>
      <c r="O79" s="48">
        <v>3.6</v>
      </c>
      <c r="P79" s="48">
        <v>4.0999999999999996</v>
      </c>
      <c r="Q79" s="48">
        <v>0.2</v>
      </c>
      <c r="R79" s="48">
        <v>1.4</v>
      </c>
      <c r="S79" s="48">
        <v>1.4</v>
      </c>
      <c r="T79" s="48">
        <v>0.34816453999999997</v>
      </c>
      <c r="U79" s="48">
        <v>2.0911871799999999</v>
      </c>
      <c r="V79" s="48">
        <v>2.8806445100000002</v>
      </c>
      <c r="W79" s="48">
        <v>2.3209835799999996</v>
      </c>
      <c r="X79" s="48">
        <v>3.6413778300000006</v>
      </c>
    </row>
    <row r="80" spans="2:24" ht="26.4" x14ac:dyDescent="0.7">
      <c r="B80" s="3" t="s">
        <v>11</v>
      </c>
      <c r="D80" s="20" t="s">
        <v>77</v>
      </c>
      <c r="E80" s="20" t="s">
        <v>78</v>
      </c>
      <c r="F80">
        <v>79</v>
      </c>
      <c r="G80">
        <v>79</v>
      </c>
      <c r="I80" s="10" t="s">
        <v>62</v>
      </c>
      <c r="J80" s="47" t="s">
        <v>35</v>
      </c>
      <c r="K80" s="48">
        <v>253.3</v>
      </c>
      <c r="L80" s="48">
        <v>202.8</v>
      </c>
      <c r="M80" s="48">
        <v>180.9</v>
      </c>
      <c r="N80" s="48">
        <v>101.4</v>
      </c>
      <c r="O80" s="48">
        <v>229.8</v>
      </c>
      <c r="P80" s="48">
        <v>105.7</v>
      </c>
      <c r="Q80" s="48">
        <v>39.9</v>
      </c>
      <c r="R80" s="48">
        <v>66.099999999999994</v>
      </c>
      <c r="S80" s="48">
        <v>124</v>
      </c>
      <c r="T80" s="48">
        <v>40.212680060000004</v>
      </c>
      <c r="U80" s="48">
        <v>27.510546990000002</v>
      </c>
      <c r="V80" s="48">
        <v>22.540610839999996</v>
      </c>
      <c r="W80" s="48">
        <v>18.38645477</v>
      </c>
      <c r="X80" s="48">
        <v>18.947797690000002</v>
      </c>
    </row>
    <row r="81" spans="2:24" ht="26.4" x14ac:dyDescent="0.7">
      <c r="B81" s="3" t="s">
        <v>11</v>
      </c>
      <c r="D81" s="20" t="s">
        <v>77</v>
      </c>
      <c r="E81" s="20" t="s">
        <v>78</v>
      </c>
      <c r="F81">
        <v>80</v>
      </c>
      <c r="G81">
        <v>80</v>
      </c>
      <c r="H81">
        <v>79</v>
      </c>
      <c r="I81" s="49" t="s">
        <v>91</v>
      </c>
      <c r="J81" s="47" t="s">
        <v>35</v>
      </c>
      <c r="K81" s="48">
        <v>1.1000000000000001</v>
      </c>
      <c r="L81" s="48">
        <v>3.8</v>
      </c>
      <c r="M81" s="48">
        <v>3.5</v>
      </c>
      <c r="N81" s="48">
        <v>9.5</v>
      </c>
      <c r="O81" s="48">
        <v>81.900000000000006</v>
      </c>
      <c r="P81" s="48">
        <v>62.7</v>
      </c>
      <c r="Q81" s="48">
        <v>28.1</v>
      </c>
      <c r="R81" s="48">
        <v>62.7</v>
      </c>
      <c r="S81" s="48">
        <v>120.4</v>
      </c>
      <c r="T81" s="48">
        <v>36.023073969999999</v>
      </c>
      <c r="U81" s="48">
        <v>24.722494570000002</v>
      </c>
      <c r="V81" s="48">
        <v>19.582432009999998</v>
      </c>
      <c r="W81" s="48">
        <v>13.062918810000003</v>
      </c>
      <c r="X81" s="48">
        <v>12.388848019999999</v>
      </c>
    </row>
    <row r="82" spans="2:24" ht="26.4" x14ac:dyDescent="0.7">
      <c r="B82" s="3" t="s">
        <v>11</v>
      </c>
      <c r="D82" s="20" t="s">
        <v>77</v>
      </c>
      <c r="E82" s="20" t="s">
        <v>78</v>
      </c>
      <c r="F82">
        <v>81</v>
      </c>
      <c r="G82">
        <v>81</v>
      </c>
      <c r="H82">
        <v>79</v>
      </c>
      <c r="I82" s="49" t="s">
        <v>79</v>
      </c>
      <c r="J82" s="47" t="s">
        <v>35</v>
      </c>
      <c r="K82" s="48">
        <v>8.1999999999999993</v>
      </c>
      <c r="L82" s="48">
        <v>3.1</v>
      </c>
      <c r="M82" s="48">
        <v>3.6</v>
      </c>
      <c r="N82" s="48">
        <v>3.2</v>
      </c>
      <c r="O82" s="48">
        <v>4.3</v>
      </c>
      <c r="P82" s="48">
        <v>3.3</v>
      </c>
      <c r="Q82" s="48">
        <v>3.7</v>
      </c>
      <c r="R82" s="48">
        <v>3.4</v>
      </c>
      <c r="S82" s="48">
        <v>2.9</v>
      </c>
      <c r="T82" s="48">
        <v>2.4781076600000014</v>
      </c>
      <c r="U82" s="48">
        <v>2.3638353199999993</v>
      </c>
      <c r="V82" s="48">
        <v>2.863150829999999</v>
      </c>
      <c r="W82" s="48">
        <v>3.6175152699999997</v>
      </c>
      <c r="X82" s="48">
        <v>4.0622997699999992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CF7C-59A1-4FB9-B469-B5B06FFFEE3B}">
  <sheetPr>
    <tabColor theme="6"/>
  </sheetPr>
  <dimension ref="A1:AB53"/>
  <sheetViews>
    <sheetView zoomScale="49" workbookViewId="0">
      <selection activeCell="L1" activeCellId="1" sqref="E1:E1048576 L1:L1048576"/>
    </sheetView>
  </sheetViews>
  <sheetFormatPr baseColWidth="10" defaultRowHeight="14.4" x14ac:dyDescent="0.3"/>
  <cols>
    <col min="10" max="10" width="29.5546875" customWidth="1"/>
    <col min="11" max="11" width="42" customWidth="1"/>
    <col min="12" max="18" width="12.6640625" bestFit="1" customWidth="1"/>
    <col min="19" max="21" width="14.109375" bestFit="1" customWidth="1"/>
    <col min="22" max="22" width="16.5546875" customWidth="1"/>
    <col min="23" max="24" width="13.6640625" bestFit="1" customWidth="1"/>
    <col min="25" max="25" width="13.88671875" bestFit="1" customWidth="1"/>
    <col min="31" max="31" width="37.88671875" customWidth="1"/>
    <col min="32" max="32" width="18.109375" customWidth="1"/>
    <col min="33" max="33" width="15.21875" customWidth="1"/>
    <col min="34" max="34" width="16.77734375" customWidth="1"/>
    <col min="35" max="35" width="15.88671875" customWidth="1"/>
    <col min="36" max="36" width="26.33203125" customWidth="1"/>
  </cols>
  <sheetData>
    <row r="1" spans="1:28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33" t="s">
        <v>43</v>
      </c>
      <c r="M1" s="33" t="s">
        <v>44</v>
      </c>
      <c r="N1" s="33" t="s">
        <v>45</v>
      </c>
      <c r="O1" s="33" t="s">
        <v>46</v>
      </c>
      <c r="P1" s="33" t="s">
        <v>47</v>
      </c>
      <c r="Q1" s="33" t="s">
        <v>48</v>
      </c>
      <c r="R1" s="33" t="s">
        <v>49</v>
      </c>
      <c r="S1" s="33" t="s">
        <v>50</v>
      </c>
      <c r="T1" s="33" t="s">
        <v>51</v>
      </c>
      <c r="U1" s="33" t="s">
        <v>52</v>
      </c>
      <c r="V1" s="33">
        <v>2021</v>
      </c>
      <c r="W1" s="33">
        <v>2022</v>
      </c>
      <c r="X1" s="33">
        <v>2023</v>
      </c>
      <c r="Y1" s="33">
        <v>2024</v>
      </c>
    </row>
    <row r="2" spans="1:28" ht="27" x14ac:dyDescent="0.75">
      <c r="B2" s="3" t="s">
        <v>11</v>
      </c>
      <c r="D2" s="50" t="s">
        <v>119</v>
      </c>
      <c r="E2" s="21" t="s">
        <v>32</v>
      </c>
      <c r="F2" s="29" t="s">
        <v>33</v>
      </c>
      <c r="G2">
        <v>1</v>
      </c>
      <c r="H2">
        <v>1</v>
      </c>
      <c r="J2" s="43" t="s">
        <v>120</v>
      </c>
      <c r="K2" s="51" t="s">
        <v>35</v>
      </c>
      <c r="L2" s="52">
        <v>57065.893046899866</v>
      </c>
      <c r="M2" s="52">
        <v>74927.867640100041</v>
      </c>
      <c r="N2" s="52">
        <v>78592.20253750011</v>
      </c>
      <c r="O2" s="52">
        <v>78702.439504399998</v>
      </c>
      <c r="P2" s="52">
        <v>63673.140422699878</v>
      </c>
      <c r="Q2" s="52">
        <v>62521.950663500975</v>
      </c>
      <c r="R2" s="52">
        <v>80931.744034286035</v>
      </c>
      <c r="S2" s="52">
        <v>105473.44593958004</v>
      </c>
      <c r="T2" s="52">
        <v>105306.87013470002</v>
      </c>
      <c r="U2" s="52">
        <v>102055.64327787978</v>
      </c>
      <c r="V2" s="52">
        <v>127194.5</v>
      </c>
      <c r="W2" s="52">
        <v>181259.7</v>
      </c>
      <c r="X2" s="53">
        <v>175934.14527067012</v>
      </c>
      <c r="Y2" s="52">
        <v>187826.73199668157</v>
      </c>
      <c r="AA2" s="54"/>
      <c r="AB2" s="54"/>
    </row>
    <row r="3" spans="1:28" ht="27" x14ac:dyDescent="0.75">
      <c r="B3" s="3" t="s">
        <v>11</v>
      </c>
      <c r="D3" s="50" t="s">
        <v>119</v>
      </c>
      <c r="E3" s="21" t="s">
        <v>32</v>
      </c>
      <c r="F3" s="29" t="s">
        <v>33</v>
      </c>
      <c r="G3">
        <v>2</v>
      </c>
      <c r="H3">
        <v>2</v>
      </c>
      <c r="I3">
        <v>1</v>
      </c>
      <c r="J3" s="43" t="s">
        <v>121</v>
      </c>
      <c r="K3" s="51" t="s">
        <v>35</v>
      </c>
      <c r="L3" s="52">
        <v>4199.929596399993</v>
      </c>
      <c r="M3" s="52">
        <v>5178.7139489000028</v>
      </c>
      <c r="N3" s="52">
        <v>5134.5323369000052</v>
      </c>
      <c r="O3" s="52">
        <v>6562.0847608000131</v>
      </c>
      <c r="P3" s="52">
        <v>8827.6856676000043</v>
      </c>
      <c r="Q3" s="52">
        <v>5897.8744601000135</v>
      </c>
      <c r="R3" s="52">
        <v>7135.6235393640045</v>
      </c>
      <c r="S3" s="52">
        <v>7298.2619499399934</v>
      </c>
      <c r="T3" s="52">
        <v>9208.1394163800178</v>
      </c>
      <c r="U3" s="52">
        <v>7858.9321299099938</v>
      </c>
      <c r="V3" s="52">
        <v>15768.3</v>
      </c>
      <c r="W3" s="52">
        <v>17351.400000000001</v>
      </c>
      <c r="X3" s="52">
        <v>16679.706970580028</v>
      </c>
      <c r="Y3" s="52">
        <v>19586.529215229973</v>
      </c>
      <c r="AA3" s="54"/>
      <c r="AB3" s="54"/>
    </row>
    <row r="4" spans="1:28" ht="27" x14ac:dyDescent="0.75">
      <c r="B4" s="3" t="s">
        <v>11</v>
      </c>
      <c r="D4" s="50" t="s">
        <v>119</v>
      </c>
      <c r="E4" s="21" t="s">
        <v>32</v>
      </c>
      <c r="F4" s="29" t="s">
        <v>33</v>
      </c>
      <c r="G4">
        <v>3</v>
      </c>
      <c r="H4">
        <v>3</v>
      </c>
      <c r="I4">
        <v>2</v>
      </c>
      <c r="J4" s="43" t="s">
        <v>122</v>
      </c>
      <c r="K4" s="51" t="s">
        <v>35</v>
      </c>
      <c r="L4" s="52">
        <v>1656.3588590999996</v>
      </c>
      <c r="M4" s="52">
        <v>2327.8059815999995</v>
      </c>
      <c r="N4" s="52">
        <v>2687.9408610999976</v>
      </c>
      <c r="O4" s="52">
        <v>3677.8578333000041</v>
      </c>
      <c r="P4" s="52">
        <v>5034.5824009000034</v>
      </c>
      <c r="Q4" s="52">
        <v>4170.4311412999978</v>
      </c>
      <c r="R4" s="52">
        <v>4991.2863789999965</v>
      </c>
      <c r="S4" s="52">
        <v>4781.1559496400077</v>
      </c>
      <c r="T4" s="52">
        <v>3878.439516700013</v>
      </c>
      <c r="U4" s="52">
        <v>4946.6385894400073</v>
      </c>
      <c r="V4" s="52">
        <v>10870.7</v>
      </c>
      <c r="W4" s="52">
        <v>10687.1</v>
      </c>
      <c r="X4" s="52">
        <v>12071.477554360014</v>
      </c>
      <c r="Y4" s="52">
        <v>10155.940690670001</v>
      </c>
      <c r="AA4" s="55"/>
      <c r="AB4" s="55"/>
    </row>
    <row r="5" spans="1:28" ht="27" x14ac:dyDescent="0.75">
      <c r="B5" s="3" t="s">
        <v>11</v>
      </c>
      <c r="D5" s="50" t="s">
        <v>119</v>
      </c>
      <c r="E5" s="21" t="s">
        <v>32</v>
      </c>
      <c r="F5" s="29" t="s">
        <v>33</v>
      </c>
      <c r="G5">
        <v>4</v>
      </c>
      <c r="H5">
        <v>4</v>
      </c>
      <c r="I5">
        <v>3</v>
      </c>
      <c r="J5" s="43" t="s">
        <v>79</v>
      </c>
      <c r="K5" s="51" t="s">
        <v>35</v>
      </c>
      <c r="L5" s="52">
        <v>1343.9200746000004</v>
      </c>
      <c r="M5" s="52">
        <v>2070.0975487999999</v>
      </c>
      <c r="N5" s="52">
        <v>2342.6959070999974</v>
      </c>
      <c r="O5" s="52">
        <v>3157.2674870000037</v>
      </c>
      <c r="P5" s="52">
        <v>4611.7910142000064</v>
      </c>
      <c r="Q5" s="52">
        <v>3721.1080741999963</v>
      </c>
      <c r="R5" s="52">
        <v>3845.3796167999953</v>
      </c>
      <c r="S5" s="52">
        <v>3519.9688972000081</v>
      </c>
      <c r="T5" s="52">
        <v>3057.401318680013</v>
      </c>
      <c r="U5" s="52">
        <v>2983.1027707900066</v>
      </c>
      <c r="V5" s="52">
        <v>7373.9</v>
      </c>
      <c r="W5" s="52">
        <v>6813.5</v>
      </c>
      <c r="X5" s="52">
        <v>8114.8026375100117</v>
      </c>
      <c r="Y5" s="52">
        <v>6415.213142990001</v>
      </c>
      <c r="AA5" s="55"/>
      <c r="AB5" s="55"/>
    </row>
    <row r="6" spans="1:28" ht="27" x14ac:dyDescent="0.75">
      <c r="B6" s="3" t="s">
        <v>11</v>
      </c>
      <c r="D6" s="50" t="s">
        <v>119</v>
      </c>
      <c r="E6" s="21" t="s">
        <v>32</v>
      </c>
      <c r="F6" s="29" t="s">
        <v>33</v>
      </c>
      <c r="G6">
        <v>5</v>
      </c>
      <c r="H6">
        <v>5</v>
      </c>
      <c r="I6">
        <v>3</v>
      </c>
      <c r="J6" s="56" t="s">
        <v>98</v>
      </c>
      <c r="K6" s="51" t="s">
        <v>35</v>
      </c>
      <c r="L6" s="52">
        <v>5.0711061999999991</v>
      </c>
      <c r="M6" s="52">
        <v>30.775255999999999</v>
      </c>
      <c r="N6" s="52">
        <v>51.9225347</v>
      </c>
      <c r="O6" s="52">
        <v>78.488711100000017</v>
      </c>
      <c r="P6" s="52">
        <v>83.359927200000001</v>
      </c>
      <c r="Q6" s="52">
        <v>109.45360420000002</v>
      </c>
      <c r="R6" s="52">
        <v>813.37632939999946</v>
      </c>
      <c r="S6" s="52">
        <v>988.47676728000022</v>
      </c>
      <c r="T6" s="52">
        <v>503.77669248000001</v>
      </c>
      <c r="U6" s="52">
        <v>1553.7010581499999</v>
      </c>
      <c r="V6" s="52">
        <v>2798.3</v>
      </c>
      <c r="W6" s="52">
        <v>3437.1</v>
      </c>
      <c r="X6" s="52">
        <v>3469.1562388700022</v>
      </c>
      <c r="Y6" s="52">
        <v>3235.1361433300003</v>
      </c>
      <c r="AA6" s="55"/>
      <c r="AB6" s="55"/>
    </row>
    <row r="7" spans="1:28" ht="27" x14ac:dyDescent="0.75">
      <c r="B7" s="3" t="s">
        <v>11</v>
      </c>
      <c r="D7" s="50" t="s">
        <v>119</v>
      </c>
      <c r="E7" s="21" t="s">
        <v>32</v>
      </c>
      <c r="F7" s="29" t="s">
        <v>33</v>
      </c>
      <c r="G7">
        <v>6</v>
      </c>
      <c r="H7">
        <v>6</v>
      </c>
      <c r="I7">
        <v>3</v>
      </c>
      <c r="J7" s="43" t="s">
        <v>123</v>
      </c>
      <c r="K7" s="51" t="s">
        <v>35</v>
      </c>
      <c r="L7" s="52">
        <v>307.36767829999917</v>
      </c>
      <c r="M7" s="52">
        <v>226.93317679999973</v>
      </c>
      <c r="N7" s="52">
        <v>293.32241930000009</v>
      </c>
      <c r="O7" s="52">
        <v>442.1016352000006</v>
      </c>
      <c r="P7" s="52">
        <v>339.43145949999689</v>
      </c>
      <c r="Q7" s="52">
        <v>339.86946290000151</v>
      </c>
      <c r="R7" s="52">
        <v>332.53043280000202</v>
      </c>
      <c r="S7" s="52">
        <v>272.71028515999933</v>
      </c>
      <c r="T7" s="52">
        <v>317.26150554000014</v>
      </c>
      <c r="U7" s="52">
        <v>409.83476050000081</v>
      </c>
      <c r="V7" s="52">
        <v>698.5</v>
      </c>
      <c r="W7" s="52">
        <v>436.4</v>
      </c>
      <c r="X7" s="52">
        <v>487.51867797999984</v>
      </c>
      <c r="Y7" s="52">
        <v>505.59140435000012</v>
      </c>
      <c r="AA7" s="54"/>
      <c r="AB7" s="54"/>
    </row>
    <row r="8" spans="1:28" ht="27" x14ac:dyDescent="0.75">
      <c r="B8" s="3" t="s">
        <v>11</v>
      </c>
      <c r="D8" s="50" t="s">
        <v>119</v>
      </c>
      <c r="E8" s="21" t="s">
        <v>32</v>
      </c>
      <c r="F8" s="29" t="s">
        <v>33</v>
      </c>
      <c r="G8">
        <v>7</v>
      </c>
      <c r="H8">
        <v>7</v>
      </c>
      <c r="I8">
        <v>2</v>
      </c>
      <c r="J8" s="43" t="s">
        <v>124</v>
      </c>
      <c r="K8" s="51" t="s">
        <v>35</v>
      </c>
      <c r="L8" s="52">
        <v>1384.8595977999994</v>
      </c>
      <c r="M8" s="52">
        <v>1324.8527114999999</v>
      </c>
      <c r="N8" s="52">
        <v>974.90012750000074</v>
      </c>
      <c r="O8" s="52">
        <v>966.93615320000083</v>
      </c>
      <c r="P8" s="52">
        <v>1039.8591544000003</v>
      </c>
      <c r="Q8" s="52">
        <v>1029.4808505000003</v>
      </c>
      <c r="R8" s="52">
        <v>1014.378758164</v>
      </c>
      <c r="S8" s="52">
        <v>1250.29237758</v>
      </c>
      <c r="T8" s="52">
        <v>3714.2551284300012</v>
      </c>
      <c r="U8" s="52">
        <v>1529.1883981599999</v>
      </c>
      <c r="V8" s="52">
        <v>2476.1342158999996</v>
      </c>
      <c r="W8" s="52">
        <v>5154.9742297600005</v>
      </c>
      <c r="X8" s="52">
        <v>1837.0903479999999</v>
      </c>
      <c r="Y8" s="52">
        <v>5900.6504341500004</v>
      </c>
      <c r="AA8" s="55"/>
      <c r="AB8" s="55"/>
    </row>
    <row r="9" spans="1:28" ht="27" x14ac:dyDescent="0.75">
      <c r="B9" s="3" t="s">
        <v>11</v>
      </c>
      <c r="D9" s="50" t="s">
        <v>119</v>
      </c>
      <c r="E9" s="21" t="s">
        <v>32</v>
      </c>
      <c r="F9" s="29" t="s">
        <v>33</v>
      </c>
      <c r="G9">
        <v>8</v>
      </c>
      <c r="H9">
        <v>8</v>
      </c>
      <c r="I9">
        <v>7</v>
      </c>
      <c r="J9" s="43" t="s">
        <v>100</v>
      </c>
      <c r="K9" s="51" t="s">
        <v>35</v>
      </c>
      <c r="L9" s="52">
        <v>1161.7434956000002</v>
      </c>
      <c r="M9" s="52">
        <v>788.69570640000006</v>
      </c>
      <c r="N9" s="52">
        <v>741.37196040000026</v>
      </c>
      <c r="O9" s="52">
        <v>796.81196360000081</v>
      </c>
      <c r="P9" s="52">
        <v>609.94136149999997</v>
      </c>
      <c r="Q9" s="52">
        <v>515.54089670000053</v>
      </c>
      <c r="R9" s="52">
        <v>587.5149339000003</v>
      </c>
      <c r="S9" s="52">
        <v>559.83521745999997</v>
      </c>
      <c r="T9" s="52">
        <v>1477.0997680600012</v>
      </c>
      <c r="U9" s="52">
        <v>516.55510663999985</v>
      </c>
      <c r="V9" s="52">
        <v>1337.38815402</v>
      </c>
      <c r="W9" s="52">
        <v>1816.2537690099998</v>
      </c>
      <c r="X9" s="52">
        <v>890.26300070000002</v>
      </c>
      <c r="Y9" s="52">
        <v>853.97214546999976</v>
      </c>
      <c r="AA9" s="55"/>
      <c r="AB9" s="55"/>
    </row>
    <row r="10" spans="1:28" ht="27" x14ac:dyDescent="0.75">
      <c r="B10" s="3" t="s">
        <v>11</v>
      </c>
      <c r="D10" s="50" t="s">
        <v>119</v>
      </c>
      <c r="E10" s="21" t="s">
        <v>32</v>
      </c>
      <c r="F10" s="29" t="s">
        <v>33</v>
      </c>
      <c r="G10">
        <v>9</v>
      </c>
      <c r="H10">
        <v>9</v>
      </c>
      <c r="I10">
        <v>7</v>
      </c>
      <c r="J10" s="43" t="s">
        <v>125</v>
      </c>
      <c r="K10" s="51" t="s">
        <v>35</v>
      </c>
      <c r="L10" s="52">
        <v>11.051951899999999</v>
      </c>
      <c r="M10" s="52">
        <v>7.7196112000000001</v>
      </c>
      <c r="N10" s="52">
        <v>26.4992546</v>
      </c>
      <c r="O10" s="52">
        <v>13.235402000000002</v>
      </c>
      <c r="P10" s="52">
        <v>221.13480919999998</v>
      </c>
      <c r="Q10" s="52">
        <v>107.94538370000001</v>
      </c>
      <c r="R10" s="52">
        <v>42.771529400000006</v>
      </c>
      <c r="S10" s="52">
        <v>253.84187783000004</v>
      </c>
      <c r="T10" s="52">
        <v>1330.12536744</v>
      </c>
      <c r="U10" s="52">
        <v>706.75359228000002</v>
      </c>
      <c r="V10" s="52">
        <v>769.55638803000011</v>
      </c>
      <c r="W10" s="52">
        <v>1077.9538306500001</v>
      </c>
      <c r="X10" s="52">
        <v>630.77034658000002</v>
      </c>
      <c r="Y10" s="52">
        <v>1080.66843064</v>
      </c>
      <c r="AA10" s="55"/>
      <c r="AB10" s="55"/>
    </row>
    <row r="11" spans="1:28" ht="27" x14ac:dyDescent="0.75">
      <c r="B11" s="3" t="s">
        <v>11</v>
      </c>
      <c r="D11" s="50" t="s">
        <v>119</v>
      </c>
      <c r="E11" s="21" t="s">
        <v>32</v>
      </c>
      <c r="F11" s="29" t="s">
        <v>33</v>
      </c>
      <c r="G11">
        <v>10</v>
      </c>
      <c r="H11">
        <v>10</v>
      </c>
      <c r="I11">
        <v>7</v>
      </c>
      <c r="J11" s="43" t="s">
        <v>126</v>
      </c>
      <c r="K11" s="51" t="s">
        <v>35</v>
      </c>
      <c r="L11" s="52">
        <v>212.06415029999926</v>
      </c>
      <c r="M11" s="52">
        <v>528.43739389999985</v>
      </c>
      <c r="N11" s="52">
        <v>207.0289125000005</v>
      </c>
      <c r="O11" s="52">
        <v>156.8887876</v>
      </c>
      <c r="P11" s="52">
        <v>208.78298370000039</v>
      </c>
      <c r="Q11" s="52">
        <v>405.99457009999981</v>
      </c>
      <c r="R11" s="52">
        <v>384.09229486399977</v>
      </c>
      <c r="S11" s="52">
        <v>436.61528228999998</v>
      </c>
      <c r="T11" s="52">
        <v>907.02999292999993</v>
      </c>
      <c r="U11" s="52">
        <v>305.87969924000004</v>
      </c>
      <c r="V11" s="52">
        <v>369.18967384999951</v>
      </c>
      <c r="W11" s="52">
        <v>2260.7666301000008</v>
      </c>
      <c r="X11" s="52">
        <v>316.05700071999991</v>
      </c>
      <c r="Y11" s="52">
        <v>3966.0098580400008</v>
      </c>
      <c r="AA11" s="55"/>
      <c r="AB11" s="55"/>
    </row>
    <row r="12" spans="1:28" ht="27" x14ac:dyDescent="0.75">
      <c r="B12" s="3" t="s">
        <v>11</v>
      </c>
      <c r="D12" s="50" t="s">
        <v>119</v>
      </c>
      <c r="E12" s="21" t="s">
        <v>32</v>
      </c>
      <c r="F12" s="29" t="s">
        <v>33</v>
      </c>
      <c r="G12">
        <v>11</v>
      </c>
      <c r="H12">
        <v>11</v>
      </c>
      <c r="I12">
        <v>2</v>
      </c>
      <c r="J12" s="43" t="s">
        <v>127</v>
      </c>
      <c r="K12" s="51" t="s">
        <v>35</v>
      </c>
      <c r="L12" s="52">
        <v>1158.7111394999938</v>
      </c>
      <c r="M12" s="52">
        <v>1526.0552558000036</v>
      </c>
      <c r="N12" s="52">
        <v>1471.6913483000071</v>
      </c>
      <c r="O12" s="52">
        <v>1917.2907743000078</v>
      </c>
      <c r="P12" s="52">
        <v>2753.2441123000008</v>
      </c>
      <c r="Q12" s="52">
        <v>697.96246830001564</v>
      </c>
      <c r="R12" s="52">
        <v>1129.9584022000081</v>
      </c>
      <c r="S12" s="52">
        <v>1266.8136227199857</v>
      </c>
      <c r="T12" s="52">
        <v>1615.4447712500041</v>
      </c>
      <c r="U12" s="52">
        <v>1383.1051423099871</v>
      </c>
      <c r="V12" s="52">
        <v>2421.4657840999989</v>
      </c>
      <c r="W12" s="52">
        <v>1509.3257702400006</v>
      </c>
      <c r="X12" s="52">
        <v>2771.1390682200145</v>
      </c>
      <c r="Y12" s="52">
        <v>3529.9380904099726</v>
      </c>
      <c r="AA12" s="55"/>
      <c r="AB12" s="55"/>
    </row>
    <row r="13" spans="1:28" ht="27" x14ac:dyDescent="0.75">
      <c r="B13" s="3" t="s">
        <v>11</v>
      </c>
      <c r="D13" s="50" t="s">
        <v>119</v>
      </c>
      <c r="E13" s="21" t="s">
        <v>32</v>
      </c>
      <c r="F13" s="29" t="s">
        <v>33</v>
      </c>
      <c r="G13">
        <v>12</v>
      </c>
      <c r="H13">
        <v>12</v>
      </c>
      <c r="I13">
        <v>1</v>
      </c>
      <c r="J13" s="43" t="s">
        <v>128</v>
      </c>
      <c r="K13" s="51" t="s">
        <v>35</v>
      </c>
      <c r="L13" s="52">
        <v>8269.0538917000031</v>
      </c>
      <c r="M13" s="52">
        <v>10692.577135400012</v>
      </c>
      <c r="N13" s="52">
        <v>11722.609718900047</v>
      </c>
      <c r="O13" s="52">
        <v>13590.219582500069</v>
      </c>
      <c r="P13" s="52">
        <v>11404.021774200004</v>
      </c>
      <c r="Q13" s="52">
        <v>13953.911472800022</v>
      </c>
      <c r="R13" s="52">
        <v>13468.108734121995</v>
      </c>
      <c r="S13" s="52">
        <v>19482.355947159998</v>
      </c>
      <c r="T13" s="52">
        <v>21632.661085379983</v>
      </c>
      <c r="U13" s="52">
        <v>19886.428770680017</v>
      </c>
      <c r="V13" s="52">
        <v>22118.758159940026</v>
      </c>
      <c r="W13" s="52">
        <v>33751.888579539998</v>
      </c>
      <c r="X13" s="52">
        <v>37656.640014889999</v>
      </c>
      <c r="Y13" s="52">
        <v>36434.197997350057</v>
      </c>
      <c r="AA13" s="55"/>
      <c r="AB13" s="55"/>
    </row>
    <row r="14" spans="1:28" ht="27" x14ac:dyDescent="0.75">
      <c r="B14" s="3" t="s">
        <v>11</v>
      </c>
      <c r="D14" s="50" t="s">
        <v>119</v>
      </c>
      <c r="E14" s="21" t="s">
        <v>32</v>
      </c>
      <c r="F14" s="29" t="s">
        <v>33</v>
      </c>
      <c r="G14">
        <v>13</v>
      </c>
      <c r="H14">
        <v>13</v>
      </c>
      <c r="I14">
        <v>12</v>
      </c>
      <c r="J14" s="43" t="s">
        <v>101</v>
      </c>
      <c r="K14" s="51" t="s">
        <v>35</v>
      </c>
      <c r="L14" s="52">
        <v>3226.5745108999981</v>
      </c>
      <c r="M14" s="52">
        <v>4052.5212017999925</v>
      </c>
      <c r="N14" s="52">
        <v>4439.0856302000038</v>
      </c>
      <c r="O14" s="52">
        <v>6692.5346589000164</v>
      </c>
      <c r="P14" s="52">
        <v>5528.599452400008</v>
      </c>
      <c r="Q14" s="52">
        <v>7445.6916300000112</v>
      </c>
      <c r="R14" s="52">
        <v>6518.1942263220035</v>
      </c>
      <c r="S14" s="52">
        <v>9160.5413381100079</v>
      </c>
      <c r="T14" s="52">
        <v>11708.927728689996</v>
      </c>
      <c r="U14" s="52">
        <v>8380.5375860800141</v>
      </c>
      <c r="V14" s="52">
        <v>7960.5437978000191</v>
      </c>
      <c r="W14" s="52">
        <v>7184.7986269700004</v>
      </c>
      <c r="X14" s="52">
        <v>14011.904835020001</v>
      </c>
      <c r="Y14" s="52">
        <v>19119.498190690058</v>
      </c>
      <c r="AA14" s="54"/>
      <c r="AB14" s="54"/>
    </row>
    <row r="15" spans="1:28" ht="27" x14ac:dyDescent="0.75">
      <c r="B15" s="3" t="s">
        <v>11</v>
      </c>
      <c r="D15" s="50" t="s">
        <v>119</v>
      </c>
      <c r="E15" s="21" t="s">
        <v>32</v>
      </c>
      <c r="F15" s="29" t="s">
        <v>33</v>
      </c>
      <c r="G15">
        <v>14</v>
      </c>
      <c r="H15">
        <v>14</v>
      </c>
      <c r="I15">
        <v>12</v>
      </c>
      <c r="J15" s="43" t="s">
        <v>96</v>
      </c>
      <c r="K15" s="51" t="s">
        <v>35</v>
      </c>
      <c r="L15" s="52">
        <v>1957.5618894000008</v>
      </c>
      <c r="M15" s="52">
        <v>2678.7730222999999</v>
      </c>
      <c r="N15" s="52">
        <v>2558.1978938000029</v>
      </c>
      <c r="O15" s="52">
        <v>2222.3819401000014</v>
      </c>
      <c r="P15" s="52">
        <v>1429.9169661999995</v>
      </c>
      <c r="Q15" s="52">
        <v>2064.1227889999977</v>
      </c>
      <c r="R15" s="52">
        <v>2497.8238116000034</v>
      </c>
      <c r="S15" s="52">
        <v>3596.7048203899972</v>
      </c>
      <c r="T15" s="52">
        <v>2831.0563630700012</v>
      </c>
      <c r="U15" s="52">
        <v>1829.5415004499991</v>
      </c>
      <c r="V15" s="52">
        <v>4016.7787828700079</v>
      </c>
      <c r="W15" s="52">
        <v>12455.645906540001</v>
      </c>
      <c r="X15" s="52">
        <v>4144.3277724</v>
      </c>
      <c r="Y15" s="52">
        <v>4822.4833492400039</v>
      </c>
      <c r="AA15" s="55"/>
      <c r="AB15" s="55"/>
    </row>
    <row r="16" spans="1:28" ht="27" x14ac:dyDescent="0.75">
      <c r="B16" s="3" t="s">
        <v>11</v>
      </c>
      <c r="D16" s="50" t="s">
        <v>119</v>
      </c>
      <c r="E16" s="21" t="s">
        <v>32</v>
      </c>
      <c r="F16" s="29" t="s">
        <v>33</v>
      </c>
      <c r="G16">
        <v>15</v>
      </c>
      <c r="H16">
        <v>15</v>
      </c>
      <c r="I16">
        <v>12</v>
      </c>
      <c r="J16" s="43" t="s">
        <v>129</v>
      </c>
      <c r="K16" s="51" t="s">
        <v>35</v>
      </c>
      <c r="L16" s="52">
        <v>690.65116230000046</v>
      </c>
      <c r="M16" s="52">
        <v>648.53721119999966</v>
      </c>
      <c r="N16" s="52">
        <v>824.01467549999995</v>
      </c>
      <c r="O16" s="52">
        <v>448.47298929999999</v>
      </c>
      <c r="P16" s="52">
        <v>262.98047510000004</v>
      </c>
      <c r="Q16" s="52">
        <v>470.57836610000015</v>
      </c>
      <c r="R16" s="52">
        <v>257.24639669999999</v>
      </c>
      <c r="S16" s="52">
        <v>294.4599753600001</v>
      </c>
      <c r="T16" s="52">
        <v>209.88268950000003</v>
      </c>
      <c r="U16" s="52">
        <v>421.94013255999977</v>
      </c>
      <c r="V16" s="52">
        <v>334.23402740000006</v>
      </c>
      <c r="W16" s="52">
        <v>207.80977447000001</v>
      </c>
      <c r="X16" s="52">
        <v>185.15219847999998</v>
      </c>
      <c r="Y16" s="52">
        <v>361.61755652999983</v>
      </c>
      <c r="AA16" s="54"/>
      <c r="AB16" s="54"/>
    </row>
    <row r="17" spans="2:28" ht="27" x14ac:dyDescent="0.75">
      <c r="B17" s="3" t="s">
        <v>11</v>
      </c>
      <c r="D17" s="50" t="s">
        <v>119</v>
      </c>
      <c r="E17" s="21" t="s">
        <v>32</v>
      </c>
      <c r="F17" s="29" t="s">
        <v>33</v>
      </c>
      <c r="G17">
        <v>16</v>
      </c>
      <c r="H17">
        <v>16</v>
      </c>
      <c r="I17">
        <v>12</v>
      </c>
      <c r="J17" s="43" t="s">
        <v>130</v>
      </c>
      <c r="K17" s="51" t="s">
        <v>35</v>
      </c>
      <c r="L17" s="52">
        <v>56.613914800000003</v>
      </c>
      <c r="M17" s="52">
        <v>124.70539190000002</v>
      </c>
      <c r="N17" s="52">
        <v>96.562451500000009</v>
      </c>
      <c r="O17" s="52">
        <v>57.706111300000003</v>
      </c>
      <c r="P17" s="52">
        <v>47.300229800000004</v>
      </c>
      <c r="Q17" s="52">
        <v>59.549329300000011</v>
      </c>
      <c r="R17" s="52">
        <v>65.652628900000011</v>
      </c>
      <c r="S17" s="52">
        <v>83.924425599999992</v>
      </c>
      <c r="T17" s="52">
        <v>166.52129668999999</v>
      </c>
      <c r="U17" s="52">
        <v>77.777960660000019</v>
      </c>
      <c r="V17" s="52">
        <v>51.918835730000012</v>
      </c>
      <c r="W17" s="52">
        <v>125.47940586</v>
      </c>
      <c r="X17" s="52">
        <v>178.96335403</v>
      </c>
      <c r="Y17" s="52">
        <v>198.66692248999996</v>
      </c>
      <c r="AA17" s="55"/>
      <c r="AB17" s="55"/>
    </row>
    <row r="18" spans="2:28" ht="27" x14ac:dyDescent="0.75">
      <c r="B18" s="3" t="s">
        <v>11</v>
      </c>
      <c r="D18" s="50" t="s">
        <v>119</v>
      </c>
      <c r="E18" s="21" t="s">
        <v>32</v>
      </c>
      <c r="F18" s="29" t="s">
        <v>33</v>
      </c>
      <c r="G18">
        <v>17</v>
      </c>
      <c r="H18">
        <v>17</v>
      </c>
      <c r="I18">
        <v>12</v>
      </c>
      <c r="J18" s="43" t="s">
        <v>131</v>
      </c>
      <c r="K18" s="51" t="s">
        <v>35</v>
      </c>
      <c r="L18" s="52">
        <v>18.879154799999998</v>
      </c>
      <c r="M18" s="52">
        <v>129.9717254</v>
      </c>
      <c r="N18" s="52">
        <v>34.322845599999994</v>
      </c>
      <c r="O18" s="52">
        <v>35.143991299999996</v>
      </c>
      <c r="P18" s="52">
        <v>15.443652299999997</v>
      </c>
      <c r="Q18" s="52">
        <v>150.89350580000001</v>
      </c>
      <c r="R18" s="52">
        <v>10.622684100000001</v>
      </c>
      <c r="S18" s="52">
        <v>7.7414829699999999</v>
      </c>
      <c r="T18" s="52">
        <v>15.61816898</v>
      </c>
      <c r="U18" s="52">
        <v>18.744568969999996</v>
      </c>
      <c r="V18" s="52">
        <v>17.714323480000004</v>
      </c>
      <c r="W18" s="52">
        <v>18.868709750000001</v>
      </c>
      <c r="X18" s="52">
        <v>91.199357329999998</v>
      </c>
      <c r="Y18" s="52">
        <v>45.907351989999995</v>
      </c>
      <c r="AA18" s="55"/>
      <c r="AB18" s="55"/>
    </row>
    <row r="19" spans="2:28" ht="27" x14ac:dyDescent="0.75">
      <c r="B19" s="3" t="s">
        <v>11</v>
      </c>
      <c r="D19" s="50" t="s">
        <v>119</v>
      </c>
      <c r="E19" s="21" t="s">
        <v>32</v>
      </c>
      <c r="F19" s="29" t="s">
        <v>33</v>
      </c>
      <c r="G19">
        <v>18</v>
      </c>
      <c r="H19">
        <v>18</v>
      </c>
      <c r="I19">
        <v>12</v>
      </c>
      <c r="J19" s="43" t="s">
        <v>103</v>
      </c>
      <c r="K19" s="51" t="s">
        <v>35</v>
      </c>
      <c r="L19" s="52">
        <v>139.99534849999995</v>
      </c>
      <c r="M19" s="52">
        <v>211.61305300000004</v>
      </c>
      <c r="N19" s="52">
        <v>437.19096110000004</v>
      </c>
      <c r="O19" s="52">
        <v>564.30538319999982</v>
      </c>
      <c r="P19" s="52">
        <v>622.96784190000005</v>
      </c>
      <c r="Q19" s="52">
        <v>648.18228959999988</v>
      </c>
      <c r="R19" s="52">
        <v>1255.9444896</v>
      </c>
      <c r="S19" s="52">
        <v>950.84816360999992</v>
      </c>
      <c r="T19" s="52">
        <v>551.62559490000001</v>
      </c>
      <c r="U19" s="52">
        <v>2090.5081085500005</v>
      </c>
      <c r="V19" s="52">
        <v>2363.1985927099995</v>
      </c>
      <c r="W19" s="52">
        <v>6217.8811570400003</v>
      </c>
      <c r="X19" s="52">
        <v>5678.5168411000004</v>
      </c>
      <c r="Y19" s="52">
        <v>4148.4599194400007</v>
      </c>
      <c r="AA19" s="55"/>
      <c r="AB19" s="55"/>
    </row>
    <row r="20" spans="2:28" ht="27" x14ac:dyDescent="0.75">
      <c r="B20" s="3" t="s">
        <v>11</v>
      </c>
      <c r="D20" s="50" t="s">
        <v>119</v>
      </c>
      <c r="E20" s="21" t="s">
        <v>32</v>
      </c>
      <c r="F20" s="29" t="s">
        <v>33</v>
      </c>
      <c r="G20">
        <v>19</v>
      </c>
      <c r="H20">
        <v>19</v>
      </c>
      <c r="I20">
        <v>12</v>
      </c>
      <c r="J20" s="43" t="s">
        <v>95</v>
      </c>
      <c r="K20" s="51" t="s">
        <v>35</v>
      </c>
      <c r="L20" s="52">
        <v>300.32733260000009</v>
      </c>
      <c r="M20" s="52">
        <v>325.51691909999994</v>
      </c>
      <c r="N20" s="52">
        <v>479.67320859999995</v>
      </c>
      <c r="O20" s="52">
        <v>610.6564881000005</v>
      </c>
      <c r="P20" s="52">
        <v>813.44351940000024</v>
      </c>
      <c r="Q20" s="52">
        <v>670.38330949999965</v>
      </c>
      <c r="R20" s="52">
        <v>729.50194049999993</v>
      </c>
      <c r="S20" s="52">
        <v>2197.3966357299992</v>
      </c>
      <c r="T20" s="52">
        <v>2431.1558943399991</v>
      </c>
      <c r="U20" s="52">
        <v>1725.1577169599982</v>
      </c>
      <c r="V20" s="52">
        <v>1845.6210562399979</v>
      </c>
      <c r="W20" s="52">
        <v>2069.0745305099999</v>
      </c>
      <c r="X20" s="52">
        <v>3929.0698694099997</v>
      </c>
      <c r="Y20" s="52">
        <v>1798.2327264099997</v>
      </c>
      <c r="AA20" s="55"/>
      <c r="AB20" s="55"/>
    </row>
    <row r="21" spans="2:28" ht="27" x14ac:dyDescent="0.75">
      <c r="B21" s="3" t="s">
        <v>11</v>
      </c>
      <c r="D21" s="50" t="s">
        <v>119</v>
      </c>
      <c r="E21" s="21" t="s">
        <v>32</v>
      </c>
      <c r="F21" s="29" t="s">
        <v>33</v>
      </c>
      <c r="G21">
        <v>20</v>
      </c>
      <c r="H21">
        <v>20</v>
      </c>
      <c r="I21">
        <v>12</v>
      </c>
      <c r="J21" s="43" t="s">
        <v>132</v>
      </c>
      <c r="K21" s="51" t="s">
        <v>35</v>
      </c>
      <c r="L21" s="52">
        <v>828.47930399999973</v>
      </c>
      <c r="M21" s="52">
        <v>908.70679159999941</v>
      </c>
      <c r="N21" s="52">
        <v>605.33702959999994</v>
      </c>
      <c r="O21" s="52">
        <v>379.73414039999994</v>
      </c>
      <c r="P21" s="52">
        <v>260.95609359999992</v>
      </c>
      <c r="Q21" s="52">
        <v>545.17044409999994</v>
      </c>
      <c r="R21" s="52">
        <v>622.21381099999974</v>
      </c>
      <c r="S21" s="52">
        <v>841.0401095000002</v>
      </c>
      <c r="T21" s="52">
        <v>953.05700271000001</v>
      </c>
      <c r="U21" s="52">
        <v>1913.1715436700006</v>
      </c>
      <c r="V21" s="52">
        <v>2707.4190138699996</v>
      </c>
      <c r="W21" s="52">
        <v>2273.6898147600004</v>
      </c>
      <c r="X21" s="52">
        <v>5443.4642360299995</v>
      </c>
      <c r="Y21" s="52">
        <v>3599.3810592500017</v>
      </c>
      <c r="AA21" s="55"/>
      <c r="AB21" s="55"/>
    </row>
    <row r="22" spans="2:28" ht="27" x14ac:dyDescent="0.75">
      <c r="B22" s="3" t="s">
        <v>11</v>
      </c>
      <c r="D22" s="50" t="s">
        <v>119</v>
      </c>
      <c r="E22" s="21" t="s">
        <v>32</v>
      </c>
      <c r="F22" s="29" t="s">
        <v>33</v>
      </c>
      <c r="G22">
        <v>21</v>
      </c>
      <c r="H22">
        <v>21</v>
      </c>
      <c r="I22">
        <v>12</v>
      </c>
      <c r="J22" s="43" t="s">
        <v>94</v>
      </c>
      <c r="K22" s="51" t="s">
        <v>35</v>
      </c>
      <c r="L22" s="52">
        <v>586.03397640000026</v>
      </c>
      <c r="M22" s="52">
        <v>657.50983290000011</v>
      </c>
      <c r="N22" s="52">
        <v>509.41298499999999</v>
      </c>
      <c r="O22" s="52">
        <v>547.37547770000015</v>
      </c>
      <c r="P22" s="52">
        <v>784.01586699999996</v>
      </c>
      <c r="Q22" s="52">
        <v>622.51968569999997</v>
      </c>
      <c r="R22" s="52">
        <v>590.15748589999998</v>
      </c>
      <c r="S22" s="52">
        <v>1193.5545404899997</v>
      </c>
      <c r="T22" s="52">
        <v>1357.9699971899995</v>
      </c>
      <c r="U22" s="52">
        <v>1064.3404255399994</v>
      </c>
      <c r="V22" s="52">
        <v>1165.5956010399996</v>
      </c>
      <c r="W22" s="52">
        <v>1149.7345063299999</v>
      </c>
      <c r="X22" s="52">
        <v>1535.5732686400002</v>
      </c>
      <c r="Y22" s="52">
        <v>1580.0190946100004</v>
      </c>
      <c r="AA22" s="55"/>
      <c r="AB22" s="55"/>
    </row>
    <row r="23" spans="2:28" ht="27" x14ac:dyDescent="0.75">
      <c r="B23" s="3" t="s">
        <v>11</v>
      </c>
      <c r="D23" s="50" t="s">
        <v>119</v>
      </c>
      <c r="E23" s="21" t="s">
        <v>32</v>
      </c>
      <c r="F23" s="29" t="s">
        <v>33</v>
      </c>
      <c r="G23">
        <v>22</v>
      </c>
      <c r="H23">
        <v>22</v>
      </c>
      <c r="I23">
        <v>12</v>
      </c>
      <c r="J23" s="43" t="s">
        <v>133</v>
      </c>
      <c r="K23" s="51" t="s">
        <v>35</v>
      </c>
      <c r="L23" s="52">
        <v>4.4991709999999996</v>
      </c>
      <c r="M23" s="52">
        <v>5.1684577000000012</v>
      </c>
      <c r="N23" s="52">
        <v>7.2104847000000012</v>
      </c>
      <c r="O23" s="52">
        <v>10.177785699999999</v>
      </c>
      <c r="P23" s="52">
        <v>7.1458935999999991</v>
      </c>
      <c r="Q23" s="52">
        <v>14.3230091</v>
      </c>
      <c r="R23" s="52">
        <v>7.944758900000001</v>
      </c>
      <c r="S23" s="52">
        <v>6.3555144199999996</v>
      </c>
      <c r="T23" s="52">
        <v>10.75650712</v>
      </c>
      <c r="U23" s="52">
        <v>8.3320316899999991</v>
      </c>
      <c r="V23" s="52"/>
      <c r="W23" s="52"/>
      <c r="X23" s="52"/>
      <c r="Y23" s="52"/>
      <c r="AA23" s="55"/>
      <c r="AB23" s="55"/>
    </row>
    <row r="24" spans="2:28" ht="27" x14ac:dyDescent="0.75">
      <c r="B24" s="3" t="s">
        <v>11</v>
      </c>
      <c r="D24" s="50" t="s">
        <v>119</v>
      </c>
      <c r="E24" s="21" t="s">
        <v>32</v>
      </c>
      <c r="F24" s="29" t="s">
        <v>33</v>
      </c>
      <c r="G24">
        <v>23</v>
      </c>
      <c r="H24">
        <v>23</v>
      </c>
      <c r="I24">
        <v>12</v>
      </c>
      <c r="J24" s="43" t="s">
        <v>134</v>
      </c>
      <c r="K24" s="51" t="s">
        <v>35</v>
      </c>
      <c r="L24" s="52">
        <v>1.2850036</v>
      </c>
      <c r="M24" s="52">
        <v>24.798450300000006</v>
      </c>
      <c r="N24" s="52">
        <v>6.4681020999999985</v>
      </c>
      <c r="O24" s="52">
        <v>15.491366900000001</v>
      </c>
      <c r="P24" s="52">
        <v>21.140727699999999</v>
      </c>
      <c r="Q24" s="52">
        <v>4.4742090999999995</v>
      </c>
      <c r="R24" s="52">
        <v>11.795030499999998</v>
      </c>
      <c r="S24" s="52">
        <v>6.1862729999999999</v>
      </c>
      <c r="T24" s="52">
        <v>12.137322639999999</v>
      </c>
      <c r="U24" s="52">
        <v>4.7143344700000007</v>
      </c>
      <c r="V24" s="52">
        <v>3.6436628999999994</v>
      </c>
      <c r="W24" s="52">
        <v>11.524725500000001</v>
      </c>
      <c r="X24" s="52">
        <v>5.5282201399999993</v>
      </c>
      <c r="Y24" s="52">
        <v>29.259134770000003</v>
      </c>
      <c r="AA24" s="55"/>
      <c r="AB24" s="55"/>
    </row>
    <row r="25" spans="2:28" ht="27" x14ac:dyDescent="0.75">
      <c r="B25" s="3" t="s">
        <v>11</v>
      </c>
      <c r="D25" s="50" t="s">
        <v>119</v>
      </c>
      <c r="E25" s="21" t="s">
        <v>32</v>
      </c>
      <c r="F25" s="29" t="s">
        <v>33</v>
      </c>
      <c r="G25">
        <v>24</v>
      </c>
      <c r="H25">
        <v>24</v>
      </c>
      <c r="I25">
        <v>12</v>
      </c>
      <c r="J25" s="43" t="s">
        <v>135</v>
      </c>
      <c r="K25" s="51" t="s">
        <v>35</v>
      </c>
      <c r="L25" s="52">
        <v>458.15312340000401</v>
      </c>
      <c r="M25" s="52">
        <v>924.75507820002167</v>
      </c>
      <c r="N25" s="52">
        <v>1725.1334512000431</v>
      </c>
      <c r="O25" s="52">
        <v>2006.2392496000502</v>
      </c>
      <c r="P25" s="52">
        <v>1610.1110551999955</v>
      </c>
      <c r="Q25" s="52">
        <v>1258.0229055000127</v>
      </c>
      <c r="R25" s="52">
        <v>901.01147009998931</v>
      </c>
      <c r="S25" s="52">
        <v>1143.6026679799943</v>
      </c>
      <c r="T25" s="52">
        <v>1383.9525195499846</v>
      </c>
      <c r="U25" s="52">
        <v>2351.6628610800071</v>
      </c>
      <c r="V25" s="52">
        <v>1652.0904658999971</v>
      </c>
      <c r="W25" s="52">
        <v>2037.3814218100015</v>
      </c>
      <c r="X25" s="52">
        <v>2452.9400623100009</v>
      </c>
      <c r="Y25" s="52">
        <v>730.67269192999811</v>
      </c>
      <c r="AA25" s="55"/>
      <c r="AB25" s="55"/>
    </row>
    <row r="26" spans="2:28" ht="27" x14ac:dyDescent="0.75">
      <c r="B26" s="3" t="s">
        <v>11</v>
      </c>
      <c r="D26" s="50" t="s">
        <v>119</v>
      </c>
      <c r="E26" s="21" t="s">
        <v>32</v>
      </c>
      <c r="F26" s="29" t="s">
        <v>33</v>
      </c>
      <c r="G26">
        <v>25</v>
      </c>
      <c r="H26">
        <v>25</v>
      </c>
      <c r="I26">
        <v>1</v>
      </c>
      <c r="J26" s="43" t="s">
        <v>136</v>
      </c>
      <c r="K26" s="51" t="s">
        <v>35</v>
      </c>
      <c r="L26" s="52">
        <v>15391.6358098</v>
      </c>
      <c r="M26" s="52">
        <v>16907.587137799994</v>
      </c>
      <c r="N26" s="52">
        <v>18593.281675499988</v>
      </c>
      <c r="O26" s="52">
        <v>17936.290296299994</v>
      </c>
      <c r="P26" s="52">
        <v>11103.143326299996</v>
      </c>
      <c r="Q26" s="52">
        <v>9227.1855083000137</v>
      </c>
      <c r="R26" s="52">
        <v>12706.254524699994</v>
      </c>
      <c r="S26" s="52">
        <v>16815.182882519992</v>
      </c>
      <c r="T26" s="52">
        <v>16385.164668999994</v>
      </c>
      <c r="U26" s="52">
        <v>15056.652441810002</v>
      </c>
      <c r="V26" s="52">
        <v>19998.631104059994</v>
      </c>
      <c r="W26" s="52">
        <v>34145.862153440001</v>
      </c>
      <c r="X26" s="52">
        <v>32646.072575349997</v>
      </c>
      <c r="Y26" s="52">
        <v>33764.221517399994</v>
      </c>
      <c r="AA26" s="55"/>
      <c r="AB26" s="55"/>
    </row>
    <row r="27" spans="2:28" ht="27" x14ac:dyDescent="0.75">
      <c r="B27" s="3" t="s">
        <v>11</v>
      </c>
      <c r="D27" s="50" t="s">
        <v>119</v>
      </c>
      <c r="E27" s="21" t="s">
        <v>32</v>
      </c>
      <c r="F27" s="29" t="s">
        <v>33</v>
      </c>
      <c r="G27">
        <v>26</v>
      </c>
      <c r="H27">
        <v>26</v>
      </c>
      <c r="I27">
        <v>25</v>
      </c>
      <c r="J27" s="43" t="s">
        <v>137</v>
      </c>
      <c r="K27" s="51" t="s">
        <v>35</v>
      </c>
      <c r="L27" s="52">
        <v>14863.397754199998</v>
      </c>
      <c r="M27" s="52">
        <v>16517.402968599992</v>
      </c>
      <c r="N27" s="52">
        <v>18088.986779999996</v>
      </c>
      <c r="O27" s="52">
        <v>17564.261555599998</v>
      </c>
      <c r="P27" s="52">
        <v>10765.263540999993</v>
      </c>
      <c r="Q27" s="52">
        <v>8952.4677844000144</v>
      </c>
      <c r="R27" s="52">
        <v>12200.791787199996</v>
      </c>
      <c r="S27" s="52">
        <v>16345.700435149996</v>
      </c>
      <c r="T27" s="52">
        <v>15820.239287439996</v>
      </c>
      <c r="U27" s="52">
        <v>14536.355385870002</v>
      </c>
      <c r="V27" s="52">
        <v>19240.746917939992</v>
      </c>
      <c r="W27" s="52">
        <v>33407.95087375</v>
      </c>
      <c r="X27" s="52">
        <v>31874.097238499999</v>
      </c>
      <c r="Y27" s="52">
        <v>33224.045148459998</v>
      </c>
      <c r="AA27" s="55"/>
      <c r="AB27" s="55"/>
    </row>
    <row r="28" spans="2:28" ht="27" x14ac:dyDescent="0.75">
      <c r="B28" s="3" t="s">
        <v>11</v>
      </c>
      <c r="D28" s="50" t="s">
        <v>119</v>
      </c>
      <c r="E28" s="21" t="s">
        <v>32</v>
      </c>
      <c r="F28" s="29" t="s">
        <v>33</v>
      </c>
      <c r="G28">
        <v>27</v>
      </c>
      <c r="H28">
        <v>27</v>
      </c>
      <c r="I28">
        <v>25</v>
      </c>
      <c r="J28" s="43" t="s">
        <v>138</v>
      </c>
      <c r="K28" s="51" t="s">
        <v>35</v>
      </c>
      <c r="L28" s="52">
        <v>1.1418775000000001</v>
      </c>
      <c r="M28" s="52">
        <v>0.45979140000000002</v>
      </c>
      <c r="N28" s="52">
        <v>1.4546031000000001</v>
      </c>
      <c r="O28" s="52">
        <v>5.1647906000000008</v>
      </c>
      <c r="P28" s="52">
        <v>4.1698310000000003</v>
      </c>
      <c r="Q28" s="52">
        <v>10.8274522</v>
      </c>
      <c r="R28" s="52">
        <v>26.499397500000001</v>
      </c>
      <c r="S28" s="52">
        <v>1.40121421</v>
      </c>
      <c r="T28" s="52">
        <v>6.5960343799999999</v>
      </c>
      <c r="U28" s="52">
        <v>9.0615410000000001</v>
      </c>
      <c r="V28" s="52"/>
      <c r="W28" s="52"/>
      <c r="X28" s="52"/>
      <c r="Y28" s="52"/>
      <c r="AA28" s="55"/>
      <c r="AB28" s="55"/>
    </row>
    <row r="29" spans="2:28" ht="27" x14ac:dyDescent="0.75">
      <c r="B29" s="3" t="s">
        <v>11</v>
      </c>
      <c r="D29" s="50" t="s">
        <v>119</v>
      </c>
      <c r="E29" s="21" t="s">
        <v>32</v>
      </c>
      <c r="F29" s="29" t="s">
        <v>33</v>
      </c>
      <c r="G29">
        <v>28</v>
      </c>
      <c r="H29">
        <v>28</v>
      </c>
      <c r="I29">
        <v>25</v>
      </c>
      <c r="J29" s="43" t="s">
        <v>90</v>
      </c>
      <c r="K29" s="51" t="s">
        <v>35</v>
      </c>
      <c r="L29" s="52">
        <v>251.41504409999999</v>
      </c>
      <c r="M29" s="52">
        <v>307.92143070000003</v>
      </c>
      <c r="N29" s="52">
        <v>425.81538710000007</v>
      </c>
      <c r="O29" s="52">
        <v>313.56603599999994</v>
      </c>
      <c r="P29" s="52">
        <v>291.38825650000007</v>
      </c>
      <c r="Q29" s="52">
        <v>221.4660283</v>
      </c>
      <c r="R29" s="52">
        <v>432.97879310000013</v>
      </c>
      <c r="S29" s="52">
        <v>378.71329864999996</v>
      </c>
      <c r="T29" s="52">
        <v>459.90803733999991</v>
      </c>
      <c r="U29" s="52">
        <v>397.32068954999988</v>
      </c>
      <c r="V29" s="52">
        <v>622.31564881999998</v>
      </c>
      <c r="W29" s="52">
        <v>559.83989749</v>
      </c>
      <c r="X29" s="52">
        <v>526.04756295999994</v>
      </c>
      <c r="Y29" s="52">
        <v>411.11034179000006</v>
      </c>
      <c r="AA29" s="55"/>
      <c r="AB29" s="55"/>
    </row>
    <row r="30" spans="2:28" ht="27" x14ac:dyDescent="0.75">
      <c r="B30" s="3" t="s">
        <v>11</v>
      </c>
      <c r="D30" s="50" t="s">
        <v>119</v>
      </c>
      <c r="E30" s="21" t="s">
        <v>32</v>
      </c>
      <c r="F30" s="29" t="s">
        <v>33</v>
      </c>
      <c r="G30">
        <v>29</v>
      </c>
      <c r="H30">
        <v>29</v>
      </c>
      <c r="I30">
        <v>25</v>
      </c>
      <c r="J30" s="43" t="s">
        <v>139</v>
      </c>
      <c r="K30" s="51" t="s">
        <v>35</v>
      </c>
      <c r="L30" s="52">
        <v>5.2737893999999992</v>
      </c>
      <c r="M30" s="52">
        <v>8.4215894999999996</v>
      </c>
      <c r="N30" s="52">
        <v>14.529278700000001</v>
      </c>
      <c r="O30" s="52">
        <v>8.547370299999999</v>
      </c>
      <c r="P30" s="52">
        <v>9.8536752000000032</v>
      </c>
      <c r="Q30" s="52">
        <v>10.214471099999999</v>
      </c>
      <c r="R30" s="52">
        <v>10.942234299999999</v>
      </c>
      <c r="S30" s="52">
        <v>15.20716148</v>
      </c>
      <c r="T30" s="52">
        <v>19.489599120000001</v>
      </c>
      <c r="U30" s="52">
        <v>69.591707119999995</v>
      </c>
      <c r="V30" s="52">
        <v>16.10662628</v>
      </c>
      <c r="W30" s="52">
        <v>37.699267329999998</v>
      </c>
      <c r="X30" s="52">
        <v>19.296848219999998</v>
      </c>
      <c r="Y30" s="52">
        <v>9.4610978499999998</v>
      </c>
      <c r="AA30" s="55"/>
      <c r="AB30" s="55"/>
    </row>
    <row r="31" spans="2:28" ht="27" x14ac:dyDescent="0.75">
      <c r="B31" s="3" t="s">
        <v>11</v>
      </c>
      <c r="D31" s="50" t="s">
        <v>119</v>
      </c>
      <c r="E31" s="21" t="s">
        <v>32</v>
      </c>
      <c r="F31" s="29" t="s">
        <v>33</v>
      </c>
      <c r="G31">
        <v>30</v>
      </c>
      <c r="H31">
        <v>30</v>
      </c>
      <c r="I31">
        <v>25</v>
      </c>
      <c r="J31" s="43" t="s">
        <v>140</v>
      </c>
      <c r="K31" s="51" t="s">
        <v>35</v>
      </c>
      <c r="L31" s="52">
        <v>270.40734460000203</v>
      </c>
      <c r="M31" s="52">
        <v>73.381357599999319</v>
      </c>
      <c r="N31" s="52">
        <v>62.495626599993557</v>
      </c>
      <c r="O31" s="52">
        <v>44.750543799997104</v>
      </c>
      <c r="P31" s="52">
        <v>32.468022600003678</v>
      </c>
      <c r="Q31" s="52">
        <v>32.209772300000623</v>
      </c>
      <c r="R31" s="52">
        <v>35.042312599996876</v>
      </c>
      <c r="S31" s="52">
        <v>74.160773029994743</v>
      </c>
      <c r="T31" s="52">
        <v>78.93171072000041</v>
      </c>
      <c r="U31" s="52">
        <v>53.384659270000455</v>
      </c>
      <c r="V31" s="52">
        <v>119.46191102000427</v>
      </c>
      <c r="W31" s="52">
        <v>140.37211487000002</v>
      </c>
      <c r="X31" s="52">
        <v>226.63092567000001</v>
      </c>
      <c r="Y31" s="52">
        <v>119.60492929999924</v>
      </c>
      <c r="AA31" s="55"/>
      <c r="AB31" s="55"/>
    </row>
    <row r="32" spans="2:28" ht="27" x14ac:dyDescent="0.75">
      <c r="B32" s="3" t="s">
        <v>11</v>
      </c>
      <c r="D32" s="50" t="s">
        <v>119</v>
      </c>
      <c r="E32" s="21" t="s">
        <v>32</v>
      </c>
      <c r="F32" s="29" t="s">
        <v>33</v>
      </c>
      <c r="G32">
        <v>31</v>
      </c>
      <c r="H32">
        <v>31</v>
      </c>
      <c r="I32">
        <v>1</v>
      </c>
      <c r="J32" s="58" t="s">
        <v>141</v>
      </c>
      <c r="K32" s="51" t="s">
        <v>35</v>
      </c>
      <c r="L32" s="52">
        <v>25007.316902900002</v>
      </c>
      <c r="M32" s="52">
        <v>35899.072108800006</v>
      </c>
      <c r="N32" s="52">
        <v>34716.408530200002</v>
      </c>
      <c r="O32" s="52">
        <v>36487.861921100004</v>
      </c>
      <c r="P32" s="52">
        <v>27947.63326130002</v>
      </c>
      <c r="Q32" s="52">
        <v>29046.561984801021</v>
      </c>
      <c r="R32" s="52">
        <v>42279.3574563</v>
      </c>
      <c r="S32" s="52">
        <v>57094.190813570029</v>
      </c>
      <c r="T32" s="52">
        <v>52681.652023769981</v>
      </c>
      <c r="U32" s="52">
        <v>50827.763110729982</v>
      </c>
      <c r="V32" s="52">
        <v>57515.03676902</v>
      </c>
      <c r="W32" s="52">
        <v>73971.565804989979</v>
      </c>
      <c r="X32" s="52">
        <v>72629.89615838998</v>
      </c>
      <c r="Y32" s="52">
        <v>75517.436593800012</v>
      </c>
      <c r="AA32" s="55"/>
      <c r="AB32" s="55"/>
    </row>
    <row r="33" spans="2:28" ht="27" x14ac:dyDescent="0.75">
      <c r="B33" s="3" t="s">
        <v>11</v>
      </c>
      <c r="D33" s="50" t="s">
        <v>119</v>
      </c>
      <c r="E33" s="21" t="s">
        <v>32</v>
      </c>
      <c r="F33" s="29" t="s">
        <v>33</v>
      </c>
      <c r="G33">
        <v>32</v>
      </c>
      <c r="H33">
        <v>32</v>
      </c>
      <c r="I33">
        <v>31</v>
      </c>
      <c r="J33" s="43" t="s">
        <v>142</v>
      </c>
      <c r="K33" s="51" t="s">
        <v>35</v>
      </c>
      <c r="L33" s="52">
        <v>971.26995290000013</v>
      </c>
      <c r="M33" s="52">
        <v>289.55231160000017</v>
      </c>
      <c r="N33" s="52">
        <v>136.25722780000001</v>
      </c>
      <c r="O33" s="52">
        <v>462.62691169999999</v>
      </c>
      <c r="P33" s="52">
        <v>315.18374630000005</v>
      </c>
      <c r="Q33" s="52">
        <v>172.16712559999999</v>
      </c>
      <c r="R33" s="52">
        <v>144.22061919999996</v>
      </c>
      <c r="S33" s="52">
        <v>173.53804258000002</v>
      </c>
      <c r="T33" s="52">
        <v>245.19694389999998</v>
      </c>
      <c r="U33" s="52">
        <v>247.32418453000003</v>
      </c>
      <c r="V33" s="52">
        <v>1170.5134826700003</v>
      </c>
      <c r="W33" s="52">
        <v>135.07748294999999</v>
      </c>
      <c r="X33" s="52">
        <v>169.09149256999999</v>
      </c>
      <c r="Y33" s="52">
        <v>119.32932537000002</v>
      </c>
      <c r="AA33" s="55"/>
      <c r="AB33" s="55"/>
    </row>
    <row r="34" spans="2:28" ht="27" x14ac:dyDescent="0.75">
      <c r="B34" s="3" t="s">
        <v>11</v>
      </c>
      <c r="D34" s="50" t="s">
        <v>119</v>
      </c>
      <c r="E34" s="21" t="s">
        <v>32</v>
      </c>
      <c r="F34" s="29" t="s">
        <v>33</v>
      </c>
      <c r="G34">
        <v>33</v>
      </c>
      <c r="H34">
        <v>33</v>
      </c>
      <c r="I34">
        <v>31</v>
      </c>
      <c r="J34" s="43" t="s">
        <v>91</v>
      </c>
      <c r="K34" s="51" t="s">
        <v>35</v>
      </c>
      <c r="L34" s="52">
        <v>2729.3128568999982</v>
      </c>
      <c r="M34" s="52">
        <v>3143.5864712999978</v>
      </c>
      <c r="N34" s="52">
        <v>4373.867763000002</v>
      </c>
      <c r="O34" s="52">
        <v>5550.1050378999935</v>
      </c>
      <c r="P34" s="52">
        <v>4563.0385763000158</v>
      </c>
      <c r="Q34" s="52">
        <v>3155.6076666090071</v>
      </c>
      <c r="R34" s="52">
        <v>6409.7825547000002</v>
      </c>
      <c r="S34" s="52">
        <v>13180.522807440018</v>
      </c>
      <c r="T34" s="52">
        <v>14500.574671569995</v>
      </c>
      <c r="U34" s="52">
        <v>14866.757240430006</v>
      </c>
      <c r="V34" s="52">
        <v>20514.423040650014</v>
      </c>
      <c r="W34" s="52">
        <v>29378.727376750001</v>
      </c>
      <c r="X34" s="52">
        <v>23602.86113342</v>
      </c>
      <c r="Y34" s="52">
        <v>24342.314904280011</v>
      </c>
      <c r="AA34" s="55"/>
      <c r="AB34" s="55"/>
    </row>
    <row r="35" spans="2:28" ht="27" x14ac:dyDescent="0.75">
      <c r="B35" s="3" t="s">
        <v>11</v>
      </c>
      <c r="D35" s="50" t="s">
        <v>119</v>
      </c>
      <c r="E35" s="21" t="s">
        <v>32</v>
      </c>
      <c r="F35" s="29" t="s">
        <v>33</v>
      </c>
      <c r="G35">
        <v>34</v>
      </c>
      <c r="H35">
        <v>34</v>
      </c>
      <c r="I35">
        <v>31</v>
      </c>
      <c r="J35" s="43" t="s">
        <v>143</v>
      </c>
      <c r="K35" s="51" t="s">
        <v>35</v>
      </c>
      <c r="L35" s="52">
        <v>298.66281850000007</v>
      </c>
      <c r="M35" s="52">
        <v>611.73229119999996</v>
      </c>
      <c r="N35" s="52">
        <v>518.09574020000002</v>
      </c>
      <c r="O35" s="52">
        <v>871.38271759999884</v>
      </c>
      <c r="P35" s="52">
        <v>541.17969019999975</v>
      </c>
      <c r="Q35" s="52">
        <v>588.51163559999986</v>
      </c>
      <c r="R35" s="52">
        <v>610.84634989999972</v>
      </c>
      <c r="S35" s="52">
        <v>595.98298504999991</v>
      </c>
      <c r="T35" s="52">
        <v>414.57800210999989</v>
      </c>
      <c r="U35" s="52">
        <v>310.16492383999991</v>
      </c>
      <c r="V35" s="52">
        <v>453.42908395999984</v>
      </c>
      <c r="W35" s="52">
        <v>491.01168832000002</v>
      </c>
      <c r="X35" s="52">
        <v>960.35537753999995</v>
      </c>
      <c r="Y35" s="52">
        <v>903.20145277999939</v>
      </c>
    </row>
    <row r="36" spans="2:28" ht="27" x14ac:dyDescent="0.75">
      <c r="B36" s="3" t="s">
        <v>11</v>
      </c>
      <c r="D36" s="50" t="s">
        <v>119</v>
      </c>
      <c r="E36" s="21" t="s">
        <v>32</v>
      </c>
      <c r="F36" s="29" t="s">
        <v>33</v>
      </c>
      <c r="G36">
        <v>35</v>
      </c>
      <c r="H36">
        <v>35</v>
      </c>
      <c r="I36">
        <v>31</v>
      </c>
      <c r="J36" s="56" t="s">
        <v>144</v>
      </c>
      <c r="K36" s="51" t="s">
        <v>35</v>
      </c>
      <c r="L36" s="52">
        <v>282.41963119999997</v>
      </c>
      <c r="M36" s="52">
        <v>88.203171199999986</v>
      </c>
      <c r="N36" s="52">
        <v>322.64427449999994</v>
      </c>
      <c r="O36" s="52">
        <v>1140.2324150999998</v>
      </c>
      <c r="P36" s="52">
        <v>1245.5780102999997</v>
      </c>
      <c r="Q36" s="52">
        <v>803.90323380000007</v>
      </c>
      <c r="R36" s="52">
        <v>3413.5772943999996</v>
      </c>
      <c r="S36" s="52">
        <v>4165.8794666600006</v>
      </c>
      <c r="T36" s="52">
        <v>5072.3425592600006</v>
      </c>
      <c r="U36" s="52">
        <v>6157.336013430001</v>
      </c>
      <c r="V36" s="52">
        <v>2080.8610069199999</v>
      </c>
      <c r="W36" s="52">
        <v>61.98396631</v>
      </c>
      <c r="X36" s="52">
        <v>139.05097325</v>
      </c>
      <c r="Y36" s="52">
        <v>619.73741471000017</v>
      </c>
    </row>
    <row r="37" spans="2:28" ht="27" x14ac:dyDescent="0.75">
      <c r="B37" s="3" t="s">
        <v>11</v>
      </c>
      <c r="D37" s="50" t="s">
        <v>119</v>
      </c>
      <c r="E37" s="21" t="s">
        <v>32</v>
      </c>
      <c r="F37" s="29" t="s">
        <v>33</v>
      </c>
      <c r="G37">
        <v>36</v>
      </c>
      <c r="H37">
        <v>36</v>
      </c>
      <c r="I37">
        <v>31</v>
      </c>
      <c r="J37" s="43" t="s">
        <v>87</v>
      </c>
      <c r="K37" s="51" t="s">
        <v>35</v>
      </c>
      <c r="L37" s="52">
        <v>2312.744996599999</v>
      </c>
      <c r="M37" s="52">
        <v>3179.7157832999974</v>
      </c>
      <c r="N37" s="52">
        <v>2370.263329299999</v>
      </c>
      <c r="O37" s="52">
        <v>1539.2166690999954</v>
      </c>
      <c r="P37" s="52">
        <v>1073.1737582999999</v>
      </c>
      <c r="Q37" s="52">
        <v>1692.1399337000007</v>
      </c>
      <c r="R37" s="52">
        <v>1296.5872267999991</v>
      </c>
      <c r="S37" s="52">
        <v>1578.8107976799995</v>
      </c>
      <c r="T37" s="52">
        <v>1180.5505804500003</v>
      </c>
      <c r="U37" s="52">
        <v>1491.2270879499979</v>
      </c>
      <c r="V37" s="52">
        <v>1591.1938487099962</v>
      </c>
      <c r="W37" s="52">
        <v>2767.06753149</v>
      </c>
      <c r="X37" s="52">
        <v>3340.83548462</v>
      </c>
      <c r="Y37" s="52">
        <v>3604.1472312599972</v>
      </c>
    </row>
    <row r="38" spans="2:28" ht="27" x14ac:dyDescent="0.75">
      <c r="B38" s="3" t="s">
        <v>11</v>
      </c>
      <c r="D38" s="50" t="s">
        <v>119</v>
      </c>
      <c r="E38" s="21" t="s">
        <v>32</v>
      </c>
      <c r="F38" s="29" t="s">
        <v>33</v>
      </c>
      <c r="G38">
        <v>37</v>
      </c>
      <c r="H38">
        <v>37</v>
      </c>
      <c r="I38">
        <v>31</v>
      </c>
      <c r="J38" s="43" t="s">
        <v>92</v>
      </c>
      <c r="K38" s="51" t="s">
        <v>35</v>
      </c>
      <c r="L38" s="52">
        <v>7022.7230802000049</v>
      </c>
      <c r="M38" s="52">
        <v>10827.338644300002</v>
      </c>
      <c r="N38" s="52">
        <v>10875.904334199999</v>
      </c>
      <c r="O38" s="52">
        <v>10530.061595700014</v>
      </c>
      <c r="P38" s="52">
        <v>5161.7697874999994</v>
      </c>
      <c r="Q38" s="52">
        <v>5229.315686392003</v>
      </c>
      <c r="R38" s="52">
        <v>6360.5351208000047</v>
      </c>
      <c r="S38" s="52">
        <v>6238.25413364</v>
      </c>
      <c r="T38" s="52">
        <v>8847.6487308899941</v>
      </c>
      <c r="U38" s="52">
        <v>8662.1452076499954</v>
      </c>
      <c r="V38" s="52">
        <v>10186.121901539997</v>
      </c>
      <c r="W38" s="52">
        <v>12133.39923067</v>
      </c>
      <c r="X38" s="52">
        <v>11950.838196530001</v>
      </c>
      <c r="Y38" s="52">
        <v>11284.898772470007</v>
      </c>
    </row>
    <row r="39" spans="2:28" ht="27" x14ac:dyDescent="0.75">
      <c r="B39" s="3" t="s">
        <v>11</v>
      </c>
      <c r="D39" s="50" t="s">
        <v>119</v>
      </c>
      <c r="E39" s="21" t="s">
        <v>32</v>
      </c>
      <c r="F39" s="29" t="s">
        <v>33</v>
      </c>
      <c r="G39">
        <v>38</v>
      </c>
      <c r="H39">
        <v>38</v>
      </c>
      <c r="I39">
        <v>31</v>
      </c>
      <c r="J39" s="43" t="s">
        <v>83</v>
      </c>
      <c r="K39" s="51" t="s">
        <v>35</v>
      </c>
      <c r="L39" s="52">
        <v>1174.8440169999994</v>
      </c>
      <c r="M39" s="52">
        <v>1868.0926531000005</v>
      </c>
      <c r="N39" s="52">
        <v>2178.5259547000023</v>
      </c>
      <c r="O39" s="52">
        <v>1999.7139515999993</v>
      </c>
      <c r="P39" s="52">
        <v>2778.6368852999999</v>
      </c>
      <c r="Q39" s="52">
        <v>1717.7040416999996</v>
      </c>
      <c r="R39" s="52">
        <v>2201.3134988999991</v>
      </c>
      <c r="S39" s="52">
        <v>2886.8383437500011</v>
      </c>
      <c r="T39" s="52">
        <v>3110.8103333799977</v>
      </c>
      <c r="U39" s="52">
        <v>3048.0617198099935</v>
      </c>
      <c r="V39" s="52">
        <v>2732.9134552200026</v>
      </c>
      <c r="W39" s="52">
        <v>2167.0957410599999</v>
      </c>
      <c r="X39" s="52">
        <v>3372.16502803</v>
      </c>
      <c r="Y39" s="52">
        <v>4266.0063278300004</v>
      </c>
    </row>
    <row r="40" spans="2:28" ht="27" x14ac:dyDescent="0.75">
      <c r="B40" s="3" t="s">
        <v>11</v>
      </c>
      <c r="D40" s="50" t="s">
        <v>119</v>
      </c>
      <c r="E40" s="21" t="s">
        <v>32</v>
      </c>
      <c r="F40" s="29" t="s">
        <v>33</v>
      </c>
      <c r="G40">
        <v>39</v>
      </c>
      <c r="H40">
        <v>39</v>
      </c>
      <c r="I40">
        <v>31</v>
      </c>
      <c r="J40" s="43" t="s">
        <v>99</v>
      </c>
      <c r="K40" s="51" t="s">
        <v>35</v>
      </c>
      <c r="L40" s="52">
        <v>6376.4825317000013</v>
      </c>
      <c r="M40" s="52">
        <v>10083.864017700003</v>
      </c>
      <c r="N40" s="52">
        <v>8338.8496508000062</v>
      </c>
      <c r="O40" s="52">
        <v>6925.5062326000043</v>
      </c>
      <c r="P40" s="52">
        <v>7432.5606944000037</v>
      </c>
      <c r="Q40" s="52">
        <v>6531.2350729</v>
      </c>
      <c r="R40" s="52">
        <v>8014.3726550999972</v>
      </c>
      <c r="S40" s="52">
        <v>12064.282400480008</v>
      </c>
      <c r="T40" s="52">
        <v>9531.4517905599951</v>
      </c>
      <c r="U40" s="52">
        <v>7078.9623802199949</v>
      </c>
      <c r="V40" s="52">
        <v>9383.910816869995</v>
      </c>
      <c r="W40" s="52">
        <v>9091.9189217700005</v>
      </c>
      <c r="X40" s="52">
        <v>18694.707724509997</v>
      </c>
      <c r="Y40" s="52">
        <v>18661.875179100018</v>
      </c>
    </row>
    <row r="41" spans="2:28" ht="27" x14ac:dyDescent="0.75">
      <c r="B41" s="3" t="s">
        <v>11</v>
      </c>
      <c r="D41" s="50" t="s">
        <v>119</v>
      </c>
      <c r="E41" s="21" t="s">
        <v>32</v>
      </c>
      <c r="F41" s="29" t="s">
        <v>33</v>
      </c>
      <c r="G41">
        <v>40</v>
      </c>
      <c r="H41">
        <v>40</v>
      </c>
      <c r="I41">
        <v>31</v>
      </c>
      <c r="J41" s="43" t="s">
        <v>112</v>
      </c>
      <c r="K41" s="51" t="s">
        <v>35</v>
      </c>
      <c r="L41" s="52">
        <v>222.36892000000003</v>
      </c>
      <c r="M41" s="52">
        <v>861.2235862</v>
      </c>
      <c r="N41" s="52">
        <v>565.3427396000003</v>
      </c>
      <c r="O41" s="52">
        <v>220.37985740000002</v>
      </c>
      <c r="P41" s="52">
        <v>142.4446786</v>
      </c>
      <c r="Q41" s="52">
        <v>84.955051499999996</v>
      </c>
      <c r="R41" s="52">
        <v>106.78582110000001</v>
      </c>
      <c r="S41" s="52">
        <v>266.03484591999995</v>
      </c>
      <c r="T41" s="52">
        <v>256.50635341000003</v>
      </c>
      <c r="U41" s="52">
        <v>262.92923943999995</v>
      </c>
      <c r="V41" s="52">
        <v>207.00818372999998</v>
      </c>
      <c r="W41" s="52">
        <v>244.21292437</v>
      </c>
      <c r="X41" s="52">
        <v>226.30259866</v>
      </c>
      <c r="Y41" s="52">
        <v>260.89795130999994</v>
      </c>
    </row>
    <row r="42" spans="2:28" ht="27" x14ac:dyDescent="0.75">
      <c r="B42" s="3" t="s">
        <v>11</v>
      </c>
      <c r="D42" s="50" t="s">
        <v>119</v>
      </c>
      <c r="E42" s="21" t="s">
        <v>32</v>
      </c>
      <c r="F42" s="29" t="s">
        <v>33</v>
      </c>
      <c r="G42">
        <v>41</v>
      </c>
      <c r="H42">
        <v>41</v>
      </c>
      <c r="I42">
        <v>31</v>
      </c>
      <c r="J42" s="43" t="s">
        <v>145</v>
      </c>
      <c r="K42" s="51" t="s">
        <v>35</v>
      </c>
      <c r="L42" s="52">
        <v>126.3716056</v>
      </c>
      <c r="M42" s="52">
        <v>373.2887806</v>
      </c>
      <c r="N42" s="52">
        <v>341.50604859999999</v>
      </c>
      <c r="O42" s="52">
        <v>375.86321530000009</v>
      </c>
      <c r="P42" s="52">
        <v>273.71223900000001</v>
      </c>
      <c r="Q42" s="52">
        <v>252.8844490000001</v>
      </c>
      <c r="R42" s="52">
        <v>446.40457199999997</v>
      </c>
      <c r="S42" s="52">
        <v>462.43184918000009</v>
      </c>
      <c r="T42" s="52">
        <v>726.41467820999992</v>
      </c>
      <c r="U42" s="52">
        <v>694.48388684999998</v>
      </c>
      <c r="V42" s="52">
        <v>415.80366675999989</v>
      </c>
      <c r="W42" s="52">
        <v>1307.1642129300001</v>
      </c>
      <c r="X42" s="52">
        <v>1572.97695978</v>
      </c>
      <c r="Y42" s="52">
        <v>1570.6972245399998</v>
      </c>
    </row>
    <row r="43" spans="2:28" ht="27" x14ac:dyDescent="0.75">
      <c r="B43" s="3" t="s">
        <v>11</v>
      </c>
      <c r="D43" s="50" t="s">
        <v>119</v>
      </c>
      <c r="E43" s="21" t="s">
        <v>32</v>
      </c>
      <c r="F43" s="29" t="s">
        <v>33</v>
      </c>
      <c r="G43">
        <v>42</v>
      </c>
      <c r="H43">
        <v>42</v>
      </c>
      <c r="I43">
        <v>31</v>
      </c>
      <c r="J43" s="43" t="s">
        <v>146</v>
      </c>
      <c r="K43" s="51" t="s">
        <v>35</v>
      </c>
      <c r="L43" s="52">
        <v>1427.0604923999992</v>
      </c>
      <c r="M43" s="52">
        <v>2034.1600096000016</v>
      </c>
      <c r="N43" s="52">
        <v>1053.1534634000006</v>
      </c>
      <c r="O43" s="52">
        <v>2114.8112792000002</v>
      </c>
      <c r="P43" s="52">
        <v>1770.9904472000003</v>
      </c>
      <c r="Q43" s="52">
        <v>5437.8334770000029</v>
      </c>
      <c r="R43" s="52">
        <v>8385.3852989000061</v>
      </c>
      <c r="S43" s="52">
        <v>6718.7578144799954</v>
      </c>
      <c r="T43" s="52">
        <v>3926.753184120003</v>
      </c>
      <c r="U43" s="52">
        <v>4133.7194298999984</v>
      </c>
      <c r="V43" s="52">
        <v>3120.9046583100017</v>
      </c>
      <c r="W43" s="52">
        <v>6766.7575484099998</v>
      </c>
      <c r="X43" s="52">
        <v>2556.8791456100003</v>
      </c>
      <c r="Y43" s="52">
        <v>2785.9847056100016</v>
      </c>
    </row>
    <row r="44" spans="2:28" ht="27" x14ac:dyDescent="0.75">
      <c r="B44" s="3" t="s">
        <v>11</v>
      </c>
      <c r="D44" s="50" t="s">
        <v>119</v>
      </c>
      <c r="E44" s="21" t="s">
        <v>32</v>
      </c>
      <c r="F44" s="29" t="s">
        <v>33</v>
      </c>
      <c r="G44">
        <v>43</v>
      </c>
      <c r="H44">
        <v>43</v>
      </c>
      <c r="I44">
        <v>31</v>
      </c>
      <c r="J44" s="43" t="s">
        <v>147</v>
      </c>
      <c r="K44" s="51" t="s">
        <v>35</v>
      </c>
      <c r="L44" s="52">
        <v>2063.0559998999961</v>
      </c>
      <c r="M44" s="52">
        <v>2538.3143886999969</v>
      </c>
      <c r="N44" s="52">
        <v>3641.9980040999908</v>
      </c>
      <c r="O44" s="52">
        <v>4757.9620379000007</v>
      </c>
      <c r="P44" s="52">
        <v>2649.3647478999992</v>
      </c>
      <c r="Q44" s="52">
        <v>3380.3046110000068</v>
      </c>
      <c r="R44" s="52">
        <v>4889.5464444999961</v>
      </c>
      <c r="S44" s="52">
        <v>8762.8573267100073</v>
      </c>
      <c r="T44" s="52">
        <v>4868.8241959100051</v>
      </c>
      <c r="U44" s="52">
        <v>3874.6517966799947</v>
      </c>
      <c r="V44" s="52">
        <v>5657.9536236799831</v>
      </c>
      <c r="W44" s="52">
        <v>9427.1491799599753</v>
      </c>
      <c r="X44" s="52">
        <v>6043.8320438699884</v>
      </c>
      <c r="Y44" s="52">
        <v>7098.346104539989</v>
      </c>
    </row>
    <row r="45" spans="2:28" ht="27" x14ac:dyDescent="0.75">
      <c r="B45" s="3" t="s">
        <v>11</v>
      </c>
      <c r="D45" s="50" t="s">
        <v>119</v>
      </c>
      <c r="E45" s="21" t="s">
        <v>32</v>
      </c>
      <c r="F45" s="29" t="s">
        <v>33</v>
      </c>
      <c r="G45">
        <v>44</v>
      </c>
      <c r="H45">
        <v>44</v>
      </c>
      <c r="I45">
        <v>1</v>
      </c>
      <c r="J45" s="58" t="s">
        <v>148</v>
      </c>
      <c r="K45" s="51" t="s">
        <v>35</v>
      </c>
      <c r="L45" s="52">
        <v>4001.4038009999995</v>
      </c>
      <c r="M45" s="52">
        <v>6231.9792599999992</v>
      </c>
      <c r="N45" s="52">
        <v>8303.6263627000062</v>
      </c>
      <c r="O45" s="52">
        <v>4117.6481819000001</v>
      </c>
      <c r="P45" s="52">
        <v>4378.2872479000007</v>
      </c>
      <c r="Q45" s="52">
        <v>4338.3750165000029</v>
      </c>
      <c r="R45" s="52">
        <v>4868.554128300002</v>
      </c>
      <c r="S45" s="52">
        <v>4779.4418644600009</v>
      </c>
      <c r="T45" s="52">
        <v>5393.5927126599991</v>
      </c>
      <c r="U45" s="52">
        <v>9245.9690339699991</v>
      </c>
      <c r="V45" s="52">
        <v>11734.773298880003</v>
      </c>
      <c r="W45" s="52">
        <v>21813.538640610004</v>
      </c>
      <c r="X45" s="52">
        <v>16292.701526300001</v>
      </c>
      <c r="Y45" s="52">
        <v>22512.76857444999</v>
      </c>
    </row>
    <row r="46" spans="2:28" ht="27" x14ac:dyDescent="0.75">
      <c r="B46" s="3" t="s">
        <v>11</v>
      </c>
      <c r="D46" s="50" t="s">
        <v>119</v>
      </c>
      <c r="E46" s="21" t="s">
        <v>32</v>
      </c>
      <c r="F46" s="29" t="s">
        <v>33</v>
      </c>
      <c r="G46">
        <v>45</v>
      </c>
      <c r="H46">
        <v>45</v>
      </c>
      <c r="I46">
        <v>44</v>
      </c>
      <c r="J46" s="43" t="s">
        <v>149</v>
      </c>
      <c r="K46" s="51" t="s">
        <v>35</v>
      </c>
      <c r="L46" s="52">
        <v>139.9562195</v>
      </c>
      <c r="M46" s="52">
        <v>1207.4059700999999</v>
      </c>
      <c r="N46" s="52">
        <v>396.59698290000017</v>
      </c>
      <c r="O46" s="52">
        <v>170.82729639999997</v>
      </c>
      <c r="P46" s="52">
        <v>141.89481939999999</v>
      </c>
      <c r="Q46" s="52">
        <v>198.87017829999991</v>
      </c>
      <c r="R46" s="52">
        <v>346.45295830000003</v>
      </c>
      <c r="S46" s="52">
        <v>398.63092986999993</v>
      </c>
      <c r="T46" s="52">
        <v>603.79120323999996</v>
      </c>
      <c r="U46" s="52">
        <v>1084.8832034699994</v>
      </c>
      <c r="V46" s="52">
        <v>1009.5673040100006</v>
      </c>
      <c r="W46" s="52">
        <v>407.14314812999999</v>
      </c>
      <c r="X46" s="52">
        <v>742.31453782000006</v>
      </c>
      <c r="Y46" s="52">
        <v>1201.42378824</v>
      </c>
    </row>
    <row r="47" spans="2:28" ht="27" x14ac:dyDescent="0.75">
      <c r="B47" s="3" t="s">
        <v>11</v>
      </c>
      <c r="D47" s="50" t="s">
        <v>119</v>
      </c>
      <c r="E47" s="21" t="s">
        <v>32</v>
      </c>
      <c r="F47" s="29" t="s">
        <v>33</v>
      </c>
      <c r="G47">
        <v>46</v>
      </c>
      <c r="H47">
        <v>46</v>
      </c>
      <c r="I47">
        <v>44</v>
      </c>
      <c r="J47" s="43" t="s">
        <v>150</v>
      </c>
      <c r="K47" s="51" t="s">
        <v>35</v>
      </c>
      <c r="L47" s="52">
        <v>2055.9062814999997</v>
      </c>
      <c r="M47" s="52">
        <v>1625.0580233999995</v>
      </c>
      <c r="N47" s="52">
        <v>6121.2573151000042</v>
      </c>
      <c r="O47" s="52">
        <v>2263.9156615999996</v>
      </c>
      <c r="P47" s="52">
        <v>2128.8542221000007</v>
      </c>
      <c r="Q47" s="52">
        <v>2746.579392300001</v>
      </c>
      <c r="R47" s="52">
        <v>2575.5554207000023</v>
      </c>
      <c r="S47" s="52">
        <v>1944.7269387600011</v>
      </c>
      <c r="T47" s="52">
        <v>2809.0711262199989</v>
      </c>
      <c r="U47" s="52">
        <v>2525.9373026400017</v>
      </c>
      <c r="V47" s="52">
        <v>3077.5442606600031</v>
      </c>
      <c r="W47" s="52">
        <v>5457.8975344099999</v>
      </c>
      <c r="X47" s="52">
        <v>6633.6114129899997</v>
      </c>
      <c r="Y47" s="52">
        <v>7011.0066081699952</v>
      </c>
    </row>
    <row r="48" spans="2:28" ht="27" x14ac:dyDescent="0.75">
      <c r="B48" s="3" t="s">
        <v>11</v>
      </c>
      <c r="D48" s="50" t="s">
        <v>119</v>
      </c>
      <c r="E48" s="21" t="s">
        <v>32</v>
      </c>
      <c r="F48" s="29" t="s">
        <v>33</v>
      </c>
      <c r="G48">
        <v>47</v>
      </c>
      <c r="H48">
        <v>47</v>
      </c>
      <c r="I48">
        <v>44</v>
      </c>
      <c r="J48" s="43" t="s">
        <v>151</v>
      </c>
      <c r="K48" s="51" t="s">
        <v>35</v>
      </c>
      <c r="L48" s="52">
        <v>2.8610388000000002</v>
      </c>
      <c r="M48" s="52">
        <v>0.18857110000000002</v>
      </c>
      <c r="N48" s="52">
        <v>55.879019100000001</v>
      </c>
      <c r="O48" s="52">
        <v>19.241034800000001</v>
      </c>
      <c r="P48" s="52">
        <v>8.1101263999999986</v>
      </c>
      <c r="Q48" s="52">
        <v>5.5859878000000007</v>
      </c>
      <c r="R48" s="52">
        <v>6.0133963000000001</v>
      </c>
      <c r="S48" s="52">
        <v>12.507880779999999</v>
      </c>
      <c r="T48" s="52">
        <v>10.165700880000001</v>
      </c>
      <c r="U48" s="52">
        <v>13.419330150000002</v>
      </c>
      <c r="V48" s="52"/>
      <c r="W48" s="52"/>
      <c r="X48" s="52"/>
      <c r="Y48" s="52"/>
    </row>
    <row r="49" spans="2:25" ht="27" x14ac:dyDescent="0.75">
      <c r="B49" s="3" t="s">
        <v>11</v>
      </c>
      <c r="D49" s="50" t="s">
        <v>119</v>
      </c>
      <c r="E49" s="21" t="s">
        <v>32</v>
      </c>
      <c r="F49" s="29" t="s">
        <v>33</v>
      </c>
      <c r="G49">
        <v>48</v>
      </c>
      <c r="H49">
        <v>48</v>
      </c>
      <c r="I49">
        <v>44</v>
      </c>
      <c r="J49" s="56" t="s">
        <v>152</v>
      </c>
      <c r="K49" s="51" t="s">
        <v>35</v>
      </c>
      <c r="L49" s="52"/>
      <c r="M49" s="52"/>
      <c r="N49" s="52"/>
      <c r="O49" s="52"/>
      <c r="P49" s="52"/>
      <c r="Q49" s="52"/>
      <c r="R49" s="52"/>
      <c r="S49" s="52"/>
      <c r="T49" s="52">
        <v>371</v>
      </c>
      <c r="U49" s="52">
        <v>95.646842379999995</v>
      </c>
      <c r="V49" s="52">
        <v>1935.59995291</v>
      </c>
      <c r="W49" s="52">
        <v>6306.9633498000003</v>
      </c>
      <c r="X49" s="52">
        <v>86.872454169999997</v>
      </c>
      <c r="Y49" s="52">
        <v>438.47441699999996</v>
      </c>
    </row>
    <row r="50" spans="2:25" ht="27" x14ac:dyDescent="0.75">
      <c r="B50" s="3" t="s">
        <v>11</v>
      </c>
      <c r="D50" s="50" t="s">
        <v>119</v>
      </c>
      <c r="E50" s="21" t="s">
        <v>32</v>
      </c>
      <c r="F50" s="29" t="s">
        <v>33</v>
      </c>
      <c r="G50">
        <v>49</v>
      </c>
      <c r="H50">
        <v>49</v>
      </c>
      <c r="I50">
        <v>44</v>
      </c>
      <c r="J50" s="43" t="s">
        <v>153</v>
      </c>
      <c r="K50" s="51" t="s">
        <v>35</v>
      </c>
      <c r="L50" s="52">
        <v>5.2636429000000007</v>
      </c>
      <c r="M50" s="52">
        <v>9.0055706999999998</v>
      </c>
      <c r="N50" s="52">
        <v>25.102423600000002</v>
      </c>
      <c r="O50" s="52">
        <v>10.187050800000002</v>
      </c>
      <c r="P50" s="52">
        <v>17.979268000000001</v>
      </c>
      <c r="Q50" s="52">
        <v>1.9872059</v>
      </c>
      <c r="R50" s="52">
        <v>12.6080285</v>
      </c>
      <c r="S50" s="52">
        <v>1.6300294900000001</v>
      </c>
      <c r="T50" s="52">
        <v>0.1112988</v>
      </c>
      <c r="U50" s="52">
        <v>0.86607520000000005</v>
      </c>
      <c r="V50" s="52"/>
      <c r="W50" s="52"/>
      <c r="X50" s="52"/>
      <c r="Y50" s="52"/>
    </row>
    <row r="51" spans="2:25" ht="27" x14ac:dyDescent="0.75">
      <c r="B51" s="3" t="s">
        <v>11</v>
      </c>
      <c r="D51" s="50" t="s">
        <v>119</v>
      </c>
      <c r="E51" s="21" t="s">
        <v>32</v>
      </c>
      <c r="F51" s="29" t="s">
        <v>33</v>
      </c>
      <c r="G51">
        <v>50</v>
      </c>
      <c r="H51">
        <v>50</v>
      </c>
      <c r="I51">
        <v>44</v>
      </c>
      <c r="J51" s="43" t="s">
        <v>154</v>
      </c>
      <c r="K51" s="51" t="s">
        <v>35</v>
      </c>
      <c r="L51" s="52">
        <v>1797.4166182999998</v>
      </c>
      <c r="M51" s="52">
        <v>3390.3211246999995</v>
      </c>
      <c r="N51" s="52">
        <v>1704.7906220000013</v>
      </c>
      <c r="O51" s="52">
        <v>1653.4771383000007</v>
      </c>
      <c r="P51" s="52">
        <v>2081.4488120000001</v>
      </c>
      <c r="Q51" s="52">
        <v>1385.3522522000021</v>
      </c>
      <c r="R51" s="52">
        <v>1927.9243245000002</v>
      </c>
      <c r="S51" s="52">
        <v>2421.9460855599996</v>
      </c>
      <c r="T51" s="52">
        <v>1970.4533835200004</v>
      </c>
      <c r="U51" s="52">
        <f>U45-SUM(U46:U50)</f>
        <v>5525.2162801299983</v>
      </c>
      <c r="V51" s="52">
        <f t="shared" ref="V51:Y51" si="0">V45-SUM(V46:V50)</f>
        <v>5712.0617812999999</v>
      </c>
      <c r="W51" s="52">
        <f t="shared" si="0"/>
        <v>9641.5346082700053</v>
      </c>
      <c r="X51" s="52">
        <f t="shared" si="0"/>
        <v>8829.9031213200014</v>
      </c>
      <c r="Y51" s="52">
        <f t="shared" si="0"/>
        <v>13861.863761039996</v>
      </c>
    </row>
    <row r="52" spans="2:25" ht="27" x14ac:dyDescent="0.75">
      <c r="B52" s="3" t="s">
        <v>11</v>
      </c>
      <c r="D52" s="50" t="s">
        <v>119</v>
      </c>
      <c r="E52" s="21" t="s">
        <v>32</v>
      </c>
      <c r="F52" s="29" t="s">
        <v>33</v>
      </c>
      <c r="G52">
        <v>51</v>
      </c>
      <c r="H52">
        <v>51</v>
      </c>
      <c r="I52">
        <v>1</v>
      </c>
      <c r="J52" s="43" t="s">
        <v>155</v>
      </c>
      <c r="K52" s="51" t="s">
        <v>35</v>
      </c>
      <c r="L52" s="52">
        <v>196.55304510000002</v>
      </c>
      <c r="M52" s="52">
        <v>17.938049200000002</v>
      </c>
      <c r="N52" s="52">
        <v>121.74391330000002</v>
      </c>
      <c r="O52" s="52">
        <v>8.334761799999999</v>
      </c>
      <c r="P52" s="52">
        <v>12.369145400000001</v>
      </c>
      <c r="Q52" s="52">
        <v>58.042220999999984</v>
      </c>
      <c r="R52" s="52">
        <v>473.84565150000009</v>
      </c>
      <c r="S52" s="52">
        <v>4.0124819299999999</v>
      </c>
      <c r="T52" s="52">
        <v>5.6602275100000004</v>
      </c>
      <c r="U52" s="52">
        <v>41.28085381999999</v>
      </c>
      <c r="V52" s="52">
        <v>59</v>
      </c>
      <c r="W52" s="52">
        <v>29.5</v>
      </c>
      <c r="X52" s="52">
        <v>29.1</v>
      </c>
      <c r="Y52" s="52">
        <v>11.578098450103759</v>
      </c>
    </row>
    <row r="53" spans="2:25" ht="26.4" x14ac:dyDescent="0.7">
      <c r="K53" s="2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60"/>
      <c r="W53" s="60"/>
      <c r="X53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9D0-FB8B-4FAA-9D9B-8AD6911AFDC2}">
  <dimension ref="A1:X62"/>
  <sheetViews>
    <sheetView topLeftCell="I1" workbookViewId="0">
      <selection activeCell="I5" sqref="I5"/>
    </sheetView>
  </sheetViews>
  <sheetFormatPr baseColWidth="10" defaultRowHeight="14.4" x14ac:dyDescent="0.3"/>
  <cols>
    <col min="9" max="9" width="26.6640625" customWidth="1"/>
    <col min="19" max="19" width="13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10" t="s">
        <v>43</v>
      </c>
      <c r="L1" s="211" t="s">
        <v>44</v>
      </c>
      <c r="M1" s="211" t="s">
        <v>45</v>
      </c>
      <c r="N1" s="210" t="s">
        <v>46</v>
      </c>
      <c r="O1" s="211" t="s">
        <v>47</v>
      </c>
      <c r="P1" s="211" t="s">
        <v>48</v>
      </c>
      <c r="Q1" s="210" t="s">
        <v>49</v>
      </c>
      <c r="R1" s="211" t="s">
        <v>50</v>
      </c>
      <c r="S1" s="46" t="s">
        <v>51</v>
      </c>
      <c r="T1" s="210" t="s">
        <v>52</v>
      </c>
      <c r="U1" s="210" t="s">
        <v>253</v>
      </c>
      <c r="V1" s="210" t="s">
        <v>254</v>
      </c>
      <c r="W1" s="210" t="s">
        <v>255</v>
      </c>
      <c r="X1" s="210">
        <v>2024</v>
      </c>
    </row>
    <row r="2" spans="1:24" ht="24.6" x14ac:dyDescent="0.7">
      <c r="B2" s="3" t="s">
        <v>11</v>
      </c>
      <c r="D2" s="209" t="s">
        <v>251</v>
      </c>
      <c r="E2" s="21" t="s">
        <v>32</v>
      </c>
      <c r="F2">
        <v>1</v>
      </c>
      <c r="G2">
        <v>1</v>
      </c>
      <c r="I2" s="212" t="s">
        <v>256</v>
      </c>
      <c r="J2" s="213" t="s">
        <v>35</v>
      </c>
      <c r="K2" s="214">
        <v>72108.008630200013</v>
      </c>
      <c r="L2" s="214">
        <v>65025.785728000024</v>
      </c>
      <c r="M2" s="214">
        <v>72853.030492700011</v>
      </c>
      <c r="N2" s="214">
        <v>66674.875283800007</v>
      </c>
      <c r="O2" s="214">
        <v>53714.650350300006</v>
      </c>
      <c r="P2" s="214">
        <v>57925.245532100009</v>
      </c>
      <c r="Q2" s="214">
        <v>75242.066798410015</v>
      </c>
      <c r="R2" s="214">
        <v>89432.278859050013</v>
      </c>
      <c r="S2" s="214">
        <v>109252.84568228398</v>
      </c>
      <c r="T2" s="215" t="s">
        <v>257</v>
      </c>
      <c r="U2" s="215" t="s">
        <v>258</v>
      </c>
      <c r="V2" s="215" t="s">
        <v>259</v>
      </c>
      <c r="W2" s="215" t="s">
        <v>260</v>
      </c>
      <c r="X2" s="216" t="s">
        <v>261</v>
      </c>
    </row>
    <row r="3" spans="1:24" ht="24.6" x14ac:dyDescent="0.7">
      <c r="B3" s="3" t="s">
        <v>11</v>
      </c>
      <c r="D3" s="209" t="s">
        <v>251</v>
      </c>
      <c r="E3" s="21" t="s">
        <v>32</v>
      </c>
      <c r="F3">
        <v>2</v>
      </c>
      <c r="G3">
        <v>2</v>
      </c>
      <c r="H3">
        <v>1</v>
      </c>
      <c r="I3" s="211" t="s">
        <v>121</v>
      </c>
      <c r="J3" s="213" t="s">
        <v>35</v>
      </c>
      <c r="K3" s="214">
        <v>8391.3476080000037</v>
      </c>
      <c r="L3" s="214">
        <v>4541.2827262999999</v>
      </c>
      <c r="M3" s="214">
        <v>3092.9499329</v>
      </c>
      <c r="N3" s="214">
        <v>6635.7499764000004</v>
      </c>
      <c r="O3" s="214">
        <v>6053.2001042000002</v>
      </c>
      <c r="P3" s="214">
        <v>6009.6623774999998</v>
      </c>
      <c r="Q3" s="214">
        <v>6062.0161186099995</v>
      </c>
      <c r="R3" s="214">
        <v>14061.69925215</v>
      </c>
      <c r="S3" s="214">
        <v>8493.8471158140019</v>
      </c>
      <c r="T3" s="215" t="s">
        <v>262</v>
      </c>
      <c r="U3" s="215" t="s">
        <v>263</v>
      </c>
      <c r="V3" s="215" t="s">
        <v>264</v>
      </c>
      <c r="W3" s="215" t="s">
        <v>265</v>
      </c>
      <c r="X3" s="216" t="s">
        <v>266</v>
      </c>
    </row>
    <row r="4" spans="1:24" ht="24.6" x14ac:dyDescent="0.7">
      <c r="B4" s="3" t="s">
        <v>11</v>
      </c>
      <c r="D4" s="209" t="s">
        <v>251</v>
      </c>
      <c r="E4" s="21" t="s">
        <v>32</v>
      </c>
      <c r="F4">
        <v>3</v>
      </c>
      <c r="G4">
        <v>3</v>
      </c>
      <c r="H4">
        <v>2</v>
      </c>
      <c r="I4" s="211" t="s">
        <v>122</v>
      </c>
      <c r="J4" s="213" t="s">
        <v>35</v>
      </c>
      <c r="K4" s="214">
        <v>130.24105510000001</v>
      </c>
      <c r="L4" s="214">
        <v>30.486605699999998</v>
      </c>
      <c r="M4" s="214">
        <v>55.792982099999996</v>
      </c>
      <c r="N4" s="214">
        <v>554.52490999999998</v>
      </c>
      <c r="O4" s="214">
        <v>321.03536240000005</v>
      </c>
      <c r="P4" s="214">
        <v>140.28030050000001</v>
      </c>
      <c r="Q4" s="214">
        <v>103.21670450000001</v>
      </c>
      <c r="R4" s="214">
        <v>4092.0976087399999</v>
      </c>
      <c r="S4" s="214">
        <v>176.96647732</v>
      </c>
      <c r="T4" s="215">
        <v>172.05</v>
      </c>
      <c r="U4" s="215">
        <v>75.88</v>
      </c>
      <c r="V4" s="215" t="s">
        <v>267</v>
      </c>
      <c r="W4" s="215" t="s">
        <v>268</v>
      </c>
      <c r="X4" s="216" t="s">
        <v>269</v>
      </c>
    </row>
    <row r="5" spans="1:24" ht="24.6" x14ac:dyDescent="0.7">
      <c r="B5" s="3" t="s">
        <v>11</v>
      </c>
      <c r="D5" s="209" t="s">
        <v>251</v>
      </c>
      <c r="E5" s="21" t="s">
        <v>32</v>
      </c>
      <c r="F5">
        <v>4</v>
      </c>
      <c r="G5">
        <v>4</v>
      </c>
      <c r="H5">
        <v>3</v>
      </c>
      <c r="I5" s="211" t="s">
        <v>79</v>
      </c>
      <c r="J5" s="213" t="s">
        <v>35</v>
      </c>
      <c r="K5" s="214">
        <v>45.2584497</v>
      </c>
      <c r="L5" s="214">
        <v>16.862481899999999</v>
      </c>
      <c r="M5" s="214">
        <v>30.2466078</v>
      </c>
      <c r="N5" s="214">
        <v>491.79453919999997</v>
      </c>
      <c r="O5" s="214">
        <v>15.942699299999999</v>
      </c>
      <c r="P5" s="214">
        <v>53.262256000000001</v>
      </c>
      <c r="Q5" s="214">
        <v>33.624051600000001</v>
      </c>
      <c r="R5" s="214">
        <v>4003.7016470600001</v>
      </c>
      <c r="S5" s="214">
        <v>102.19201089000001</v>
      </c>
      <c r="T5" s="215">
        <v>137.9</v>
      </c>
      <c r="U5" s="215">
        <v>46.31</v>
      </c>
      <c r="V5" s="215">
        <v>121.84</v>
      </c>
      <c r="W5" s="215">
        <v>133.31</v>
      </c>
      <c r="X5" s="216">
        <v>162.91</v>
      </c>
    </row>
    <row r="6" spans="1:24" ht="24.6" x14ac:dyDescent="0.7">
      <c r="B6" s="3" t="s">
        <v>11</v>
      </c>
      <c r="D6" s="209" t="s">
        <v>251</v>
      </c>
      <c r="E6" s="21" t="s">
        <v>32</v>
      </c>
      <c r="F6">
        <v>5</v>
      </c>
      <c r="G6">
        <v>5</v>
      </c>
      <c r="H6">
        <v>3</v>
      </c>
      <c r="I6" s="211" t="s">
        <v>98</v>
      </c>
      <c r="J6" s="213" t="s">
        <v>35</v>
      </c>
      <c r="K6" s="214">
        <v>4.0901414999999997</v>
      </c>
      <c r="L6" s="214">
        <v>0.59789800000000004</v>
      </c>
      <c r="M6" s="214">
        <v>0.33618819999999999</v>
      </c>
      <c r="N6" s="214">
        <v>26.471651699999999</v>
      </c>
      <c r="O6" s="214">
        <v>207.54146840000001</v>
      </c>
      <c r="P6" s="214">
        <v>1.2538166000000002</v>
      </c>
      <c r="Q6" s="214">
        <v>2.2957318999999998</v>
      </c>
      <c r="R6" s="214">
        <v>35.099722999999997</v>
      </c>
      <c r="S6" s="214">
        <v>15.525306319999995</v>
      </c>
      <c r="T6" s="215">
        <v>16.829999999999998</v>
      </c>
      <c r="U6" s="215">
        <v>5</v>
      </c>
      <c r="V6" s="215" t="s">
        <v>270</v>
      </c>
      <c r="W6" s="215" t="s">
        <v>271</v>
      </c>
      <c r="X6" s="216" t="s">
        <v>272</v>
      </c>
    </row>
    <row r="7" spans="1:24" ht="24.6" x14ac:dyDescent="0.7">
      <c r="B7" s="3" t="s">
        <v>11</v>
      </c>
      <c r="D7" s="209" t="s">
        <v>251</v>
      </c>
      <c r="E7" s="21" t="s">
        <v>32</v>
      </c>
      <c r="F7">
        <v>6</v>
      </c>
      <c r="G7">
        <v>6</v>
      </c>
      <c r="H7">
        <v>3</v>
      </c>
      <c r="I7" s="211" t="s">
        <v>123</v>
      </c>
      <c r="J7" s="213" t="s">
        <v>35</v>
      </c>
      <c r="K7" s="214">
        <v>80.892463900000024</v>
      </c>
      <c r="L7" s="214">
        <v>13.026225800000001</v>
      </c>
      <c r="M7" s="214">
        <v>25.210186099999994</v>
      </c>
      <c r="N7" s="214">
        <v>36.258719100000022</v>
      </c>
      <c r="O7" s="214">
        <v>97.551194700000025</v>
      </c>
      <c r="P7" s="214">
        <v>85.764227900000009</v>
      </c>
      <c r="Q7" s="214">
        <v>67.296920999999998</v>
      </c>
      <c r="R7" s="214">
        <v>53.296238679999831</v>
      </c>
      <c r="S7" s="214">
        <v>0</v>
      </c>
      <c r="T7" s="215">
        <v>17.32</v>
      </c>
      <c r="U7" s="215">
        <v>24.57</v>
      </c>
      <c r="V7" s="215">
        <v>9.25</v>
      </c>
      <c r="W7" s="215">
        <v>15.69</v>
      </c>
      <c r="X7" s="216">
        <v>63.76</v>
      </c>
    </row>
    <row r="8" spans="1:24" ht="24.6" x14ac:dyDescent="0.7">
      <c r="B8" s="3" t="s">
        <v>11</v>
      </c>
      <c r="D8" s="209" t="s">
        <v>251</v>
      </c>
      <c r="E8" s="21" t="s">
        <v>32</v>
      </c>
      <c r="F8">
        <v>7</v>
      </c>
      <c r="G8">
        <v>7</v>
      </c>
      <c r="H8">
        <v>2</v>
      </c>
      <c r="I8" s="211" t="s">
        <v>124</v>
      </c>
      <c r="J8" s="213" t="s">
        <v>35</v>
      </c>
      <c r="K8" s="214">
        <v>1708.7501526999997</v>
      </c>
      <c r="L8" s="214">
        <v>2758.7903071000001</v>
      </c>
      <c r="M8" s="214">
        <v>2789.3363213000002</v>
      </c>
      <c r="N8" s="214">
        <v>5579.0090412</v>
      </c>
      <c r="O8" s="214">
        <v>4549.4543302999991</v>
      </c>
      <c r="P8" s="214">
        <v>5277.3256904000009</v>
      </c>
      <c r="Q8" s="214">
        <v>5402.0649360100006</v>
      </c>
      <c r="R8" s="214">
        <v>8736.7887442700012</v>
      </c>
      <c r="S8" s="214">
        <v>6324.3765897039993</v>
      </c>
      <c r="T8" s="215" t="s">
        <v>273</v>
      </c>
      <c r="U8" s="215" t="s">
        <v>274</v>
      </c>
      <c r="V8" s="215" t="s">
        <v>275</v>
      </c>
      <c r="W8" s="215" t="s">
        <v>276</v>
      </c>
      <c r="X8" s="216" t="s">
        <v>277</v>
      </c>
    </row>
    <row r="9" spans="1:24" ht="24.6" x14ac:dyDescent="0.7">
      <c r="B9" s="3" t="s">
        <v>11</v>
      </c>
      <c r="D9" s="209" t="s">
        <v>251</v>
      </c>
      <c r="E9" s="21" t="s">
        <v>32</v>
      </c>
      <c r="F9">
        <v>8</v>
      </c>
      <c r="G9">
        <v>8</v>
      </c>
      <c r="H9">
        <v>7</v>
      </c>
      <c r="I9" s="211" t="s">
        <v>100</v>
      </c>
      <c r="J9" s="213" t="s">
        <v>35</v>
      </c>
      <c r="K9" s="214">
        <v>71.781821099999988</v>
      </c>
      <c r="L9" s="214">
        <v>62.557834600000007</v>
      </c>
      <c r="M9" s="214">
        <v>96.963484100000002</v>
      </c>
      <c r="N9" s="214">
        <v>98.02527640000001</v>
      </c>
      <c r="O9" s="214">
        <v>105.9636582</v>
      </c>
      <c r="P9" s="214">
        <v>158.55706529999995</v>
      </c>
      <c r="Q9" s="214">
        <v>570.34589608999988</v>
      </c>
      <c r="R9" s="214">
        <v>265.84639336000004</v>
      </c>
      <c r="S9" s="214">
        <v>251.08107423999991</v>
      </c>
      <c r="T9" s="215">
        <v>134.99</v>
      </c>
      <c r="U9" s="215">
        <v>263.56</v>
      </c>
      <c r="V9" s="215">
        <v>452.53</v>
      </c>
      <c r="W9" s="215">
        <v>350.38</v>
      </c>
      <c r="X9" s="216">
        <v>662.38</v>
      </c>
    </row>
    <row r="10" spans="1:24" ht="24.6" x14ac:dyDescent="0.7">
      <c r="B10" s="3" t="s">
        <v>11</v>
      </c>
      <c r="D10" s="209" t="s">
        <v>251</v>
      </c>
      <c r="E10" s="21" t="s">
        <v>32</v>
      </c>
      <c r="F10">
        <v>9</v>
      </c>
      <c r="G10">
        <v>9</v>
      </c>
      <c r="H10">
        <v>7</v>
      </c>
      <c r="I10" s="211" t="s">
        <v>125</v>
      </c>
      <c r="J10" s="213" t="s">
        <v>35</v>
      </c>
      <c r="K10" s="214">
        <v>89.904266000000007</v>
      </c>
      <c r="L10" s="214">
        <v>28.137703600000002</v>
      </c>
      <c r="M10" s="214">
        <v>69.297196499999998</v>
      </c>
      <c r="N10" s="214">
        <v>149.20309829999997</v>
      </c>
      <c r="O10" s="214">
        <v>291.78442919999992</v>
      </c>
      <c r="P10" s="214">
        <v>329.84503360000002</v>
      </c>
      <c r="Q10" s="214">
        <v>841.71363111999983</v>
      </c>
      <c r="R10" s="214">
        <v>1289.73240764</v>
      </c>
      <c r="S10" s="214">
        <v>708.77886079399991</v>
      </c>
      <c r="T10" s="215">
        <v>627.42999999999995</v>
      </c>
      <c r="U10" s="215">
        <v>824.57</v>
      </c>
      <c r="V10" s="215">
        <v>806.83</v>
      </c>
      <c r="W10" s="215">
        <v>813.79</v>
      </c>
      <c r="X10" s="216" t="s">
        <v>278</v>
      </c>
    </row>
    <row r="11" spans="1:24" ht="24.6" x14ac:dyDescent="0.7">
      <c r="B11" s="3" t="s">
        <v>11</v>
      </c>
      <c r="D11" s="209" t="s">
        <v>251</v>
      </c>
      <c r="E11" s="21" t="s">
        <v>32</v>
      </c>
      <c r="F11">
        <v>10</v>
      </c>
      <c r="G11">
        <v>10</v>
      </c>
      <c r="H11">
        <v>7</v>
      </c>
      <c r="I11" s="211" t="s">
        <v>279</v>
      </c>
      <c r="J11" s="213" t="s">
        <v>35</v>
      </c>
      <c r="K11" s="214">
        <v>518.50378610000007</v>
      </c>
      <c r="L11" s="214">
        <v>517.97173550000002</v>
      </c>
      <c r="M11" s="214">
        <v>1170.7255053000001</v>
      </c>
      <c r="N11" s="214">
        <v>2984.3658576000012</v>
      </c>
      <c r="O11" s="214">
        <v>1087.2043098999998</v>
      </c>
      <c r="P11" s="214">
        <v>1934.3163075000009</v>
      </c>
      <c r="Q11" s="214">
        <v>2196.9230702999998</v>
      </c>
      <c r="R11" s="214">
        <v>3566.2476578699989</v>
      </c>
      <c r="S11" s="214">
        <v>2898.5155150000001</v>
      </c>
      <c r="T11" s="215" t="s">
        <v>280</v>
      </c>
      <c r="U11" s="215" t="s">
        <v>281</v>
      </c>
      <c r="V11" s="215" t="s">
        <v>282</v>
      </c>
      <c r="W11" s="215" t="s">
        <v>283</v>
      </c>
      <c r="X11" s="216" t="s">
        <v>284</v>
      </c>
    </row>
    <row r="12" spans="1:24" ht="24.6" x14ac:dyDescent="0.7">
      <c r="B12" s="3" t="s">
        <v>11</v>
      </c>
      <c r="D12" s="209" t="s">
        <v>251</v>
      </c>
      <c r="E12" s="21" t="s">
        <v>32</v>
      </c>
      <c r="F12">
        <v>11</v>
      </c>
      <c r="G12">
        <v>11</v>
      </c>
      <c r="H12">
        <v>7</v>
      </c>
      <c r="I12" s="211" t="s">
        <v>285</v>
      </c>
      <c r="J12" s="213" t="s">
        <v>35</v>
      </c>
      <c r="K12" s="214">
        <v>495.47731750000003</v>
      </c>
      <c r="L12" s="214">
        <v>875.52703900000017</v>
      </c>
      <c r="M12" s="214">
        <v>331.16749680000009</v>
      </c>
      <c r="N12" s="214">
        <v>281.32547799999998</v>
      </c>
      <c r="O12" s="214">
        <v>192.31729809999993</v>
      </c>
      <c r="P12" s="214">
        <v>382.62867180000001</v>
      </c>
      <c r="Q12" s="214">
        <v>186.6117237</v>
      </c>
      <c r="R12" s="214">
        <v>315.52938439999997</v>
      </c>
      <c r="S12" s="214">
        <v>395.84656686999989</v>
      </c>
      <c r="T12" s="215">
        <v>494.89</v>
      </c>
      <c r="U12" s="215">
        <v>752.47</v>
      </c>
      <c r="V12" s="215" t="s">
        <v>286</v>
      </c>
      <c r="W12" s="215">
        <v>898.64</v>
      </c>
      <c r="X12" s="216" t="s">
        <v>287</v>
      </c>
    </row>
    <row r="13" spans="1:24" ht="24.6" x14ac:dyDescent="0.7">
      <c r="B13" s="3" t="s">
        <v>11</v>
      </c>
      <c r="D13" s="209" t="s">
        <v>251</v>
      </c>
      <c r="E13" s="21" t="s">
        <v>32</v>
      </c>
      <c r="F13">
        <v>12</v>
      </c>
      <c r="G13">
        <v>12</v>
      </c>
      <c r="H13">
        <v>7</v>
      </c>
      <c r="I13" s="211" t="s">
        <v>288</v>
      </c>
      <c r="J13" s="213" t="s">
        <v>35</v>
      </c>
      <c r="K13" s="214">
        <v>44.253885200000006</v>
      </c>
      <c r="L13" s="214">
        <v>25.823817000000005</v>
      </c>
      <c r="M13" s="214">
        <v>8.0599015000000005</v>
      </c>
      <c r="N13" s="214">
        <v>15.575153500000001</v>
      </c>
      <c r="O13" s="214">
        <v>129.29608770000002</v>
      </c>
      <c r="P13" s="214">
        <v>13.8286234</v>
      </c>
      <c r="Q13" s="214">
        <v>34.827615399999999</v>
      </c>
      <c r="R13" s="214">
        <v>108.7841085</v>
      </c>
      <c r="S13" s="214">
        <v>75.918279080000019</v>
      </c>
      <c r="T13" s="215">
        <v>38.47</v>
      </c>
      <c r="U13" s="215">
        <v>106.7</v>
      </c>
      <c r="V13" s="215">
        <v>172.63</v>
      </c>
      <c r="W13" s="215">
        <v>201.34</v>
      </c>
      <c r="X13" s="216">
        <v>514.32000000000005</v>
      </c>
    </row>
    <row r="14" spans="1:24" ht="24.6" x14ac:dyDescent="0.7">
      <c r="B14" s="3" t="s">
        <v>11</v>
      </c>
      <c r="D14" s="209" t="s">
        <v>251</v>
      </c>
      <c r="E14" s="21" t="s">
        <v>32</v>
      </c>
      <c r="F14">
        <v>13</v>
      </c>
      <c r="G14">
        <v>13</v>
      </c>
      <c r="H14">
        <v>7</v>
      </c>
      <c r="I14" s="211" t="s">
        <v>289</v>
      </c>
      <c r="J14" s="213" t="s">
        <v>35</v>
      </c>
      <c r="K14" s="214">
        <v>150.95689859999996</v>
      </c>
      <c r="L14" s="214">
        <v>1072.1155590000003</v>
      </c>
      <c r="M14" s="214">
        <v>1013.9267155</v>
      </c>
      <c r="N14" s="214">
        <v>1476.5964164999996</v>
      </c>
      <c r="O14" s="214">
        <v>2670.7587523000002</v>
      </c>
      <c r="P14" s="214">
        <v>2288.0549815999998</v>
      </c>
      <c r="Q14" s="214">
        <v>1380.6051074000004</v>
      </c>
      <c r="R14" s="214">
        <v>1293.16879402</v>
      </c>
      <c r="S14" s="214">
        <v>1480.5891443100002</v>
      </c>
      <c r="T14" s="215" t="s">
        <v>290</v>
      </c>
      <c r="U14" s="215">
        <v>591.27</v>
      </c>
      <c r="V14" s="215">
        <v>438.36</v>
      </c>
      <c r="W14" s="215">
        <v>124.93</v>
      </c>
      <c r="X14" s="216" t="s">
        <v>291</v>
      </c>
    </row>
    <row r="15" spans="1:24" ht="24.6" x14ac:dyDescent="0.7">
      <c r="B15" s="3" t="s">
        <v>11</v>
      </c>
      <c r="D15" s="209" t="s">
        <v>251</v>
      </c>
      <c r="E15" s="21" t="s">
        <v>32</v>
      </c>
      <c r="F15">
        <v>14</v>
      </c>
      <c r="G15">
        <v>14</v>
      </c>
      <c r="H15">
        <v>7</v>
      </c>
      <c r="I15" s="211" t="s">
        <v>126</v>
      </c>
      <c r="J15" s="213" t="s">
        <v>35</v>
      </c>
      <c r="K15" s="214">
        <v>337.87217819999984</v>
      </c>
      <c r="L15" s="214">
        <v>176.65661839999913</v>
      </c>
      <c r="M15" s="214">
        <v>99.196021599999909</v>
      </c>
      <c r="N15" s="214">
        <v>573.91776089999871</v>
      </c>
      <c r="O15" s="214">
        <v>72.129794899999624</v>
      </c>
      <c r="P15" s="214">
        <v>170.0950071999998</v>
      </c>
      <c r="Q15" s="214">
        <v>191.03789200000097</v>
      </c>
      <c r="R15" s="214">
        <v>1897.4799984800015</v>
      </c>
      <c r="S15" s="214">
        <v>513.64714940999886</v>
      </c>
      <c r="T15" s="215" t="s">
        <v>292</v>
      </c>
      <c r="U15" s="215">
        <v>991.32</v>
      </c>
      <c r="V15" s="215" t="s">
        <v>293</v>
      </c>
      <c r="W15" s="215" t="s">
        <v>294</v>
      </c>
      <c r="X15" s="216" t="s">
        <v>295</v>
      </c>
    </row>
    <row r="16" spans="1:24" ht="24.6" x14ac:dyDescent="0.7">
      <c r="B16" s="3" t="s">
        <v>11</v>
      </c>
      <c r="D16" s="209" t="s">
        <v>251</v>
      </c>
      <c r="E16" s="21" t="s">
        <v>32</v>
      </c>
      <c r="F16">
        <v>15</v>
      </c>
      <c r="G16">
        <v>15</v>
      </c>
      <c r="H16">
        <v>2</v>
      </c>
      <c r="I16" s="211" t="s">
        <v>127</v>
      </c>
      <c r="J16" s="213" t="s">
        <v>35</v>
      </c>
      <c r="K16" s="214">
        <v>6552.356400200003</v>
      </c>
      <c r="L16" s="214">
        <v>1752.0058135000004</v>
      </c>
      <c r="M16" s="214">
        <v>247.8206295</v>
      </c>
      <c r="N16" s="214">
        <v>502.21602520000079</v>
      </c>
      <c r="O16" s="214">
        <v>1182.7104115000009</v>
      </c>
      <c r="P16" s="214">
        <v>592.05638659999943</v>
      </c>
      <c r="Q16" s="214">
        <v>556.73447809999948</v>
      </c>
      <c r="R16" s="214">
        <v>1232.8128991399994</v>
      </c>
      <c r="S16" s="214">
        <v>1282.2688673099999</v>
      </c>
      <c r="T16" s="215" t="s">
        <v>296</v>
      </c>
      <c r="U16" s="215">
        <v>847.57</v>
      </c>
      <c r="V16" s="215" t="s">
        <v>297</v>
      </c>
      <c r="W16" s="215" t="s">
        <v>298</v>
      </c>
      <c r="X16" s="216" t="s">
        <v>299</v>
      </c>
    </row>
    <row r="17" spans="2:24" ht="24.6" x14ac:dyDescent="0.7">
      <c r="B17" s="3" t="s">
        <v>11</v>
      </c>
      <c r="D17" s="209" t="s">
        <v>251</v>
      </c>
      <c r="E17" s="21" t="s">
        <v>32</v>
      </c>
      <c r="F17">
        <v>16</v>
      </c>
      <c r="G17">
        <v>16</v>
      </c>
      <c r="H17">
        <v>1</v>
      </c>
      <c r="I17" s="211" t="s">
        <v>128</v>
      </c>
      <c r="J17" s="213" t="s">
        <v>35</v>
      </c>
      <c r="K17" s="214">
        <v>28154.351645699997</v>
      </c>
      <c r="L17" s="214">
        <v>32350.195128200012</v>
      </c>
      <c r="M17" s="214">
        <v>39926.324599700012</v>
      </c>
      <c r="N17" s="214">
        <v>25384.316029100009</v>
      </c>
      <c r="O17" s="214">
        <v>22589.555037100003</v>
      </c>
      <c r="P17" s="214">
        <v>26824.468121800004</v>
      </c>
      <c r="Q17" s="214">
        <v>31993.382353600005</v>
      </c>
      <c r="R17" s="214">
        <v>33529.636049629997</v>
      </c>
      <c r="S17" s="214">
        <v>38872.670946870021</v>
      </c>
      <c r="T17" s="215" t="s">
        <v>300</v>
      </c>
      <c r="U17" s="215" t="s">
        <v>301</v>
      </c>
      <c r="V17" s="215" t="s">
        <v>302</v>
      </c>
      <c r="W17" s="215" t="s">
        <v>303</v>
      </c>
      <c r="X17" s="216" t="s">
        <v>304</v>
      </c>
    </row>
    <row r="18" spans="2:24" ht="24.6" x14ac:dyDescent="0.7">
      <c r="B18" s="3" t="s">
        <v>11</v>
      </c>
      <c r="D18" s="209" t="s">
        <v>251</v>
      </c>
      <c r="E18" s="21" t="s">
        <v>32</v>
      </c>
      <c r="F18">
        <v>17</v>
      </c>
      <c r="G18">
        <v>17</v>
      </c>
      <c r="H18">
        <v>16</v>
      </c>
      <c r="I18" s="211" t="s">
        <v>96</v>
      </c>
      <c r="J18" s="213" t="s">
        <v>35</v>
      </c>
      <c r="K18" s="214">
        <v>3631.006897799999</v>
      </c>
      <c r="L18" s="214">
        <v>6974.7499706000008</v>
      </c>
      <c r="M18" s="214">
        <v>3165.3750423000006</v>
      </c>
      <c r="N18" s="214">
        <v>2734.2354375</v>
      </c>
      <c r="O18" s="214">
        <v>2996.3623038999999</v>
      </c>
      <c r="P18" s="214">
        <v>4215.0452072999997</v>
      </c>
      <c r="Q18" s="214">
        <v>5100.2274861999995</v>
      </c>
      <c r="R18" s="214">
        <v>6644.8821482600006</v>
      </c>
      <c r="S18" s="214">
        <v>6643.5443759999998</v>
      </c>
      <c r="T18" s="215" t="s">
        <v>305</v>
      </c>
      <c r="U18" s="215" t="s">
        <v>306</v>
      </c>
      <c r="V18" s="215" t="s">
        <v>307</v>
      </c>
      <c r="W18" s="215" t="s">
        <v>308</v>
      </c>
      <c r="X18" s="216" t="s">
        <v>309</v>
      </c>
    </row>
    <row r="19" spans="2:24" ht="24.6" x14ac:dyDescent="0.7">
      <c r="B19" s="3" t="s">
        <v>11</v>
      </c>
      <c r="D19" s="209" t="s">
        <v>251</v>
      </c>
      <c r="E19" s="21" t="s">
        <v>32</v>
      </c>
      <c r="F19">
        <v>18</v>
      </c>
      <c r="G19">
        <v>18</v>
      </c>
      <c r="H19">
        <v>16</v>
      </c>
      <c r="I19" s="211" t="s">
        <v>101</v>
      </c>
      <c r="J19" s="213" t="s">
        <v>35</v>
      </c>
      <c r="K19" s="214">
        <v>23951.5914113</v>
      </c>
      <c r="L19" s="214">
        <v>24115.48895380001</v>
      </c>
      <c r="M19" s="214">
        <v>35561.808625699996</v>
      </c>
      <c r="N19" s="214">
        <v>21165.998505100008</v>
      </c>
      <c r="O19" s="214">
        <v>17141.092127900003</v>
      </c>
      <c r="P19" s="214">
        <v>20715.236694800009</v>
      </c>
      <c r="Q19" s="214">
        <v>25090.061150400008</v>
      </c>
      <c r="R19" s="214">
        <v>23691.075285249997</v>
      </c>
      <c r="S19" s="214">
        <v>29170.38123502001</v>
      </c>
      <c r="T19" s="215" t="s">
        <v>310</v>
      </c>
      <c r="U19" s="215" t="s">
        <v>311</v>
      </c>
      <c r="V19" s="215" t="s">
        <v>312</v>
      </c>
      <c r="W19" s="215" t="s">
        <v>313</v>
      </c>
      <c r="X19" s="216" t="s">
        <v>314</v>
      </c>
    </row>
    <row r="20" spans="2:24" ht="24.6" x14ac:dyDescent="0.7">
      <c r="B20" s="3" t="s">
        <v>11</v>
      </c>
      <c r="D20" s="209" t="s">
        <v>251</v>
      </c>
      <c r="E20" s="21" t="s">
        <v>32</v>
      </c>
      <c r="F20">
        <v>19</v>
      </c>
      <c r="G20">
        <v>19</v>
      </c>
      <c r="H20">
        <v>16</v>
      </c>
      <c r="I20" s="211" t="s">
        <v>103</v>
      </c>
      <c r="J20" s="213" t="s">
        <v>35</v>
      </c>
      <c r="K20" s="214">
        <v>0.49512600000000001</v>
      </c>
      <c r="L20" s="214">
        <v>3.7041675000000001</v>
      </c>
      <c r="M20" s="214">
        <v>0</v>
      </c>
      <c r="N20" s="214">
        <v>17.853311999999999</v>
      </c>
      <c r="O20" s="214">
        <v>24.065552499999999</v>
      </c>
      <c r="P20" s="214">
        <v>18.470986700000001</v>
      </c>
      <c r="Q20" s="214">
        <v>75.710214900000011</v>
      </c>
      <c r="R20" s="214">
        <v>8.8774999999999995</v>
      </c>
      <c r="S20" s="214">
        <v>5.0972340000000003</v>
      </c>
      <c r="T20" s="215">
        <v>81.38</v>
      </c>
      <c r="U20" s="215">
        <v>10.69</v>
      </c>
      <c r="V20" s="215">
        <v>17.97</v>
      </c>
      <c r="W20" s="215">
        <v>272.67</v>
      </c>
      <c r="X20" s="216">
        <v>628.02</v>
      </c>
    </row>
    <row r="21" spans="2:24" ht="24.6" x14ac:dyDescent="0.7">
      <c r="B21" s="3" t="s">
        <v>11</v>
      </c>
      <c r="D21" s="209" t="s">
        <v>251</v>
      </c>
      <c r="E21" s="21" t="s">
        <v>32</v>
      </c>
      <c r="F21">
        <v>20</v>
      </c>
      <c r="G21">
        <v>20</v>
      </c>
      <c r="H21">
        <v>16</v>
      </c>
      <c r="I21" s="211" t="s">
        <v>132</v>
      </c>
      <c r="J21" s="213" t="s">
        <v>35</v>
      </c>
      <c r="K21" s="214">
        <v>0.3651875</v>
      </c>
      <c r="L21" s="214">
        <v>0.72535630000000006</v>
      </c>
      <c r="M21" s="214">
        <v>12.6542893</v>
      </c>
      <c r="N21" s="214">
        <v>5.6603894000000006</v>
      </c>
      <c r="O21" s="214">
        <v>7.6379580999999996</v>
      </c>
      <c r="P21" s="214">
        <v>8.3736963000000006</v>
      </c>
      <c r="Q21" s="214">
        <v>0.67539539999999998</v>
      </c>
      <c r="R21" s="214">
        <v>87.296816019999994</v>
      </c>
      <c r="S21" s="214">
        <v>17.758079800000001</v>
      </c>
      <c r="T21" s="215">
        <v>15.24</v>
      </c>
      <c r="U21" s="215">
        <v>0.88</v>
      </c>
      <c r="V21" s="215">
        <v>94.17</v>
      </c>
      <c r="W21" s="215">
        <v>106.51</v>
      </c>
      <c r="X21" s="216">
        <v>18.600000000000001</v>
      </c>
    </row>
    <row r="22" spans="2:24" ht="24.6" x14ac:dyDescent="0.7">
      <c r="B22" s="3" t="s">
        <v>11</v>
      </c>
      <c r="D22" s="209" t="s">
        <v>251</v>
      </c>
      <c r="E22" s="21" t="s">
        <v>32</v>
      </c>
      <c r="F22">
        <v>21</v>
      </c>
      <c r="G22">
        <v>21</v>
      </c>
      <c r="H22">
        <v>16</v>
      </c>
      <c r="I22" s="211" t="s">
        <v>95</v>
      </c>
      <c r="J22" s="213" t="s">
        <v>35</v>
      </c>
      <c r="K22" s="214">
        <v>114.31808410000001</v>
      </c>
      <c r="L22" s="214">
        <v>426.2342792</v>
      </c>
      <c r="M22" s="214">
        <v>293.03994219999998</v>
      </c>
      <c r="N22" s="214">
        <v>278.48518850000005</v>
      </c>
      <c r="O22" s="214">
        <v>435.73816290000002</v>
      </c>
      <c r="P22" s="214">
        <v>113.38419580000001</v>
      </c>
      <c r="Q22" s="214">
        <v>20.722155100000002</v>
      </c>
      <c r="R22" s="214">
        <v>174.14233668</v>
      </c>
      <c r="S22" s="214">
        <v>48.915292260000001</v>
      </c>
      <c r="T22" s="215">
        <v>46.2</v>
      </c>
      <c r="U22" s="215">
        <v>65.52</v>
      </c>
      <c r="V22" s="215">
        <v>139.41</v>
      </c>
      <c r="W22" s="215">
        <v>107.17</v>
      </c>
      <c r="X22" s="216">
        <v>216.01</v>
      </c>
    </row>
    <row r="23" spans="2:24" ht="24.6" x14ac:dyDescent="0.7">
      <c r="B23" s="3" t="s">
        <v>11</v>
      </c>
      <c r="D23" s="209" t="s">
        <v>251</v>
      </c>
      <c r="E23" s="21" t="s">
        <v>32</v>
      </c>
      <c r="F23">
        <v>22</v>
      </c>
      <c r="G23">
        <v>22</v>
      </c>
      <c r="H23">
        <v>16</v>
      </c>
      <c r="I23" s="211" t="s">
        <v>104</v>
      </c>
      <c r="J23" s="213" t="s">
        <v>35</v>
      </c>
      <c r="K23" s="214">
        <v>12.5410366</v>
      </c>
      <c r="L23" s="214">
        <v>19.821940600000001</v>
      </c>
      <c r="M23" s="214">
        <v>20.562927300000002</v>
      </c>
      <c r="N23" s="214">
        <v>0</v>
      </c>
      <c r="O23" s="214">
        <v>0.79094189999999998</v>
      </c>
      <c r="P23" s="214">
        <v>2.2843397999999997</v>
      </c>
      <c r="Q23" s="214">
        <v>5.0000000000000001E-3</v>
      </c>
      <c r="R23" s="214">
        <v>111.17127593000001</v>
      </c>
      <c r="S23" s="214">
        <v>5.4812437200000002</v>
      </c>
      <c r="T23" s="215"/>
      <c r="U23" s="215">
        <v>1.53</v>
      </c>
      <c r="V23" s="215">
        <v>1.71</v>
      </c>
      <c r="W23" s="215">
        <v>105.23</v>
      </c>
      <c r="X23" s="216">
        <v>117.28</v>
      </c>
    </row>
    <row r="24" spans="2:24" ht="24.6" x14ac:dyDescent="0.7">
      <c r="B24" s="3" t="s">
        <v>11</v>
      </c>
      <c r="D24" s="209" t="s">
        <v>251</v>
      </c>
      <c r="E24" s="21" t="s">
        <v>32</v>
      </c>
      <c r="F24">
        <v>23</v>
      </c>
      <c r="G24">
        <v>23</v>
      </c>
      <c r="H24">
        <v>16</v>
      </c>
      <c r="I24" s="211" t="s">
        <v>94</v>
      </c>
      <c r="J24" s="213" t="s">
        <v>35</v>
      </c>
      <c r="K24" s="214">
        <v>169.0594657</v>
      </c>
      <c r="L24" s="214">
        <v>174.95622749999998</v>
      </c>
      <c r="M24" s="214">
        <v>27.945503900000002</v>
      </c>
      <c r="N24" s="214">
        <v>66.041097500000006</v>
      </c>
      <c r="O24" s="214">
        <v>28.560932299999997</v>
      </c>
      <c r="P24" s="214">
        <v>75.721823999999984</v>
      </c>
      <c r="Q24" s="214">
        <v>13.6805938</v>
      </c>
      <c r="R24" s="214">
        <v>60.649229180000006</v>
      </c>
      <c r="S24" s="214">
        <v>61.271205049999999</v>
      </c>
      <c r="T24" s="215">
        <v>12.36</v>
      </c>
      <c r="U24" s="215">
        <v>20.83</v>
      </c>
      <c r="V24" s="215">
        <v>3.28</v>
      </c>
      <c r="W24" s="215">
        <v>0.33</v>
      </c>
      <c r="X24" s="216">
        <v>1.31</v>
      </c>
    </row>
    <row r="25" spans="2:24" ht="24.6" x14ac:dyDescent="0.7">
      <c r="B25" s="3" t="s">
        <v>11</v>
      </c>
      <c r="D25" s="209" t="s">
        <v>251</v>
      </c>
      <c r="E25" s="21" t="s">
        <v>32</v>
      </c>
      <c r="F25">
        <v>24</v>
      </c>
      <c r="G25">
        <v>24</v>
      </c>
      <c r="H25">
        <v>16</v>
      </c>
      <c r="I25" s="211" t="s">
        <v>129</v>
      </c>
      <c r="J25" s="213" t="s">
        <v>35</v>
      </c>
      <c r="K25" s="214">
        <v>0.3217566</v>
      </c>
      <c r="L25" s="214">
        <v>2.8460527999999998</v>
      </c>
      <c r="M25" s="214">
        <v>3.6900000000000002E-2</v>
      </c>
      <c r="N25" s="214">
        <v>3.3332567000000002</v>
      </c>
      <c r="O25" s="214">
        <v>2.0880614</v>
      </c>
      <c r="P25" s="214">
        <v>1.9952970000000001</v>
      </c>
      <c r="Q25" s="214">
        <v>1.7151153000000001</v>
      </c>
      <c r="R25" s="214">
        <v>1.5120000000000001E-3</v>
      </c>
      <c r="S25" s="214">
        <v>1546.3805464000002</v>
      </c>
      <c r="T25" s="215" t="s">
        <v>315</v>
      </c>
      <c r="U25" s="215" t="s">
        <v>316</v>
      </c>
      <c r="V25" s="215" t="s">
        <v>317</v>
      </c>
      <c r="W25" s="215" t="s">
        <v>318</v>
      </c>
      <c r="X25" s="216" t="s">
        <v>319</v>
      </c>
    </row>
    <row r="26" spans="2:24" ht="24.6" x14ac:dyDescent="0.7">
      <c r="B26" s="3" t="s">
        <v>11</v>
      </c>
      <c r="D26" s="209" t="s">
        <v>251</v>
      </c>
      <c r="E26" s="21" t="s">
        <v>32</v>
      </c>
      <c r="F26">
        <v>25</v>
      </c>
      <c r="G26">
        <v>25</v>
      </c>
      <c r="H26">
        <v>16</v>
      </c>
      <c r="I26" s="211" t="s">
        <v>320</v>
      </c>
      <c r="J26" s="213" t="s">
        <v>35</v>
      </c>
      <c r="K26" s="214">
        <v>42.730697599999992</v>
      </c>
      <c r="L26" s="214">
        <v>258.49045839999997</v>
      </c>
      <c r="M26" s="214">
        <v>320.68885830000005</v>
      </c>
      <c r="N26" s="214">
        <v>485.85449839999995</v>
      </c>
      <c r="O26" s="214">
        <v>890.84588480000002</v>
      </c>
      <c r="P26" s="214">
        <v>902.49477830000012</v>
      </c>
      <c r="Q26" s="214">
        <v>629.93355599999995</v>
      </c>
      <c r="R26" s="214">
        <v>988.8306493</v>
      </c>
      <c r="S26" s="214">
        <v>836.47195910000005</v>
      </c>
      <c r="T26" s="215">
        <v>635.29</v>
      </c>
      <c r="U26" s="215">
        <v>791.42</v>
      </c>
      <c r="V26" s="215" t="s">
        <v>321</v>
      </c>
      <c r="W26" s="215">
        <v>729.63</v>
      </c>
      <c r="X26" s="216">
        <v>924.88</v>
      </c>
    </row>
    <row r="27" spans="2:24" ht="24.6" x14ac:dyDescent="0.7">
      <c r="B27" s="3" t="s">
        <v>11</v>
      </c>
      <c r="D27" s="209" t="s">
        <v>251</v>
      </c>
      <c r="E27" s="21" t="s">
        <v>32</v>
      </c>
      <c r="F27">
        <v>26</v>
      </c>
      <c r="G27">
        <v>26</v>
      </c>
      <c r="H27">
        <v>16</v>
      </c>
      <c r="I27" s="211" t="s">
        <v>131</v>
      </c>
      <c r="J27" s="213" t="s">
        <v>35</v>
      </c>
      <c r="K27" s="214">
        <v>7.3921398999999992</v>
      </c>
      <c r="L27" s="214">
        <v>156.10176799999999</v>
      </c>
      <c r="M27" s="214">
        <v>294.08084090000011</v>
      </c>
      <c r="N27" s="214">
        <v>306.2681730999999</v>
      </c>
      <c r="O27" s="214">
        <v>865.55734580000012</v>
      </c>
      <c r="P27" s="214">
        <v>600.33319070000016</v>
      </c>
      <c r="Q27" s="214">
        <v>1011.7140277999999</v>
      </c>
      <c r="R27" s="214">
        <v>639.26936387000001</v>
      </c>
      <c r="S27" s="214">
        <v>507.12607643000001</v>
      </c>
      <c r="T27" s="215">
        <v>158.56</v>
      </c>
      <c r="U27" s="215">
        <v>80.36</v>
      </c>
      <c r="V27" s="215">
        <v>139.21</v>
      </c>
      <c r="W27" s="215">
        <v>94.08</v>
      </c>
      <c r="X27" s="216">
        <v>60.32</v>
      </c>
    </row>
    <row r="28" spans="2:24" ht="24.6" x14ac:dyDescent="0.7">
      <c r="B28" s="3" t="s">
        <v>11</v>
      </c>
      <c r="D28" s="209" t="s">
        <v>251</v>
      </c>
      <c r="E28" s="21" t="s">
        <v>32</v>
      </c>
      <c r="F28">
        <v>27</v>
      </c>
      <c r="G28">
        <v>27</v>
      </c>
      <c r="H28">
        <v>16</v>
      </c>
      <c r="I28" s="211" t="s">
        <v>322</v>
      </c>
      <c r="J28" s="213" t="s">
        <v>35</v>
      </c>
      <c r="K28" s="214">
        <v>49.236739700000001</v>
      </c>
      <c r="L28" s="214">
        <v>13.545122099999999</v>
      </c>
      <c r="M28" s="214">
        <v>33.5252713</v>
      </c>
      <c r="N28" s="214">
        <v>98.757376500000021</v>
      </c>
      <c r="O28" s="214">
        <v>178.33150029999999</v>
      </c>
      <c r="P28" s="214">
        <v>106.16933829999999</v>
      </c>
      <c r="Q28" s="214">
        <v>42.714140600000007</v>
      </c>
      <c r="R28" s="214">
        <v>30.852708920000001</v>
      </c>
      <c r="S28" s="214">
        <v>10.084826</v>
      </c>
      <c r="T28" s="215">
        <v>7.76</v>
      </c>
      <c r="U28" s="215">
        <v>2.8</v>
      </c>
      <c r="V28" s="215">
        <v>35.619999999999997</v>
      </c>
      <c r="W28" s="215">
        <v>47.83</v>
      </c>
      <c r="X28" s="216">
        <v>83.84</v>
      </c>
    </row>
    <row r="29" spans="2:24" ht="24.6" x14ac:dyDescent="0.7">
      <c r="B29" s="3" t="s">
        <v>11</v>
      </c>
      <c r="D29" s="209" t="s">
        <v>251</v>
      </c>
      <c r="E29" s="21" t="s">
        <v>32</v>
      </c>
      <c r="F29">
        <v>28</v>
      </c>
      <c r="G29">
        <v>28</v>
      </c>
      <c r="H29">
        <v>16</v>
      </c>
      <c r="I29" s="211" t="s">
        <v>135</v>
      </c>
      <c r="J29" s="213" t="s">
        <v>35</v>
      </c>
      <c r="K29" s="214">
        <v>175.29310290000151</v>
      </c>
      <c r="L29" s="214">
        <v>203.53083140000535</v>
      </c>
      <c r="M29" s="214">
        <v>196.60639850000001</v>
      </c>
      <c r="N29" s="214">
        <v>221.82879440000153</v>
      </c>
      <c r="O29" s="214">
        <v>18.484265299999237</v>
      </c>
      <c r="P29" s="214">
        <v>64.958572799995423</v>
      </c>
      <c r="Q29" s="214">
        <v>6.2235180999984738</v>
      </c>
      <c r="R29" s="214">
        <v>1092.5872242200012</v>
      </c>
      <c r="S29" s="214">
        <v>20.158873090003969</v>
      </c>
      <c r="T29" s="215">
        <v>13.06</v>
      </c>
      <c r="U29" s="215">
        <v>5.64</v>
      </c>
      <c r="V29" s="215">
        <v>159.91</v>
      </c>
      <c r="W29" s="215">
        <v>223.89</v>
      </c>
      <c r="X29" s="216">
        <v>279.26</v>
      </c>
    </row>
    <row r="30" spans="2:24" ht="24.6" x14ac:dyDescent="0.7">
      <c r="B30" s="3" t="s">
        <v>11</v>
      </c>
      <c r="D30" s="209" t="s">
        <v>251</v>
      </c>
      <c r="E30" s="21" t="s">
        <v>32</v>
      </c>
      <c r="F30">
        <v>29</v>
      </c>
      <c r="G30">
        <v>29</v>
      </c>
      <c r="H30">
        <v>1</v>
      </c>
      <c r="I30" s="211" t="s">
        <v>136</v>
      </c>
      <c r="J30" s="213" t="s">
        <v>35</v>
      </c>
      <c r="K30" s="214">
        <v>1776.1093028</v>
      </c>
      <c r="L30" s="214">
        <v>2246.1372073000002</v>
      </c>
      <c r="M30" s="214">
        <v>2069.5465766000002</v>
      </c>
      <c r="N30" s="214">
        <v>1833.0614812999995</v>
      </c>
      <c r="O30" s="214">
        <v>1555.1903315999998</v>
      </c>
      <c r="P30" s="214">
        <v>1405.3088084999995</v>
      </c>
      <c r="Q30" s="214">
        <v>1870.108248400001</v>
      </c>
      <c r="R30" s="214">
        <v>2819.0284131900003</v>
      </c>
      <c r="S30" s="214">
        <v>1938.81660192</v>
      </c>
      <c r="T30" s="215">
        <v>189.77</v>
      </c>
      <c r="U30" s="215">
        <v>15.54</v>
      </c>
      <c r="V30" s="215" t="s">
        <v>323</v>
      </c>
      <c r="W30" s="215" t="s">
        <v>324</v>
      </c>
      <c r="X30" s="216" t="s">
        <v>325</v>
      </c>
    </row>
    <row r="31" spans="2:24" ht="24.6" x14ac:dyDescent="0.7">
      <c r="B31" s="3" t="s">
        <v>11</v>
      </c>
      <c r="D31" s="209" t="s">
        <v>251</v>
      </c>
      <c r="E31" s="21" t="s">
        <v>32</v>
      </c>
      <c r="F31">
        <v>30</v>
      </c>
      <c r="G31">
        <v>30</v>
      </c>
      <c r="H31">
        <v>29</v>
      </c>
      <c r="I31" s="211" t="s">
        <v>252</v>
      </c>
      <c r="J31" s="213" t="s">
        <v>35</v>
      </c>
      <c r="K31" s="214">
        <v>1747.0325131</v>
      </c>
      <c r="L31" s="214">
        <v>2189.1187774</v>
      </c>
      <c r="M31" s="214">
        <v>2040.9297869000004</v>
      </c>
      <c r="N31" s="214">
        <v>1744.8211392999997</v>
      </c>
      <c r="O31" s="214">
        <v>1262.3512515</v>
      </c>
      <c r="P31" s="214">
        <v>1280.4644970999996</v>
      </c>
      <c r="Q31" s="214">
        <v>1835.5924112000009</v>
      </c>
      <c r="R31" s="214">
        <v>2732.1082088000003</v>
      </c>
      <c r="S31" s="214">
        <v>1866.7540910599998</v>
      </c>
      <c r="T31" s="215">
        <v>124.03</v>
      </c>
      <c r="U31" s="215">
        <v>6.83</v>
      </c>
      <c r="V31" s="215" t="s">
        <v>326</v>
      </c>
      <c r="W31" s="215" t="s">
        <v>327</v>
      </c>
      <c r="X31" s="216" t="s">
        <v>328</v>
      </c>
    </row>
    <row r="32" spans="2:24" ht="24.6" x14ac:dyDescent="0.7">
      <c r="B32" s="3" t="s">
        <v>11</v>
      </c>
      <c r="D32" s="209" t="s">
        <v>251</v>
      </c>
      <c r="E32" s="21" t="s">
        <v>32</v>
      </c>
      <c r="F32">
        <v>31</v>
      </c>
      <c r="G32">
        <v>31</v>
      </c>
      <c r="H32">
        <v>29</v>
      </c>
      <c r="I32" s="211" t="s">
        <v>90</v>
      </c>
      <c r="J32" s="213" t="s">
        <v>35</v>
      </c>
      <c r="K32" s="214">
        <v>2.8368053</v>
      </c>
      <c r="L32" s="214">
        <v>29.275278100000001</v>
      </c>
      <c r="M32" s="214">
        <v>6.6803632000000004</v>
      </c>
      <c r="N32" s="214">
        <v>57.920534600000003</v>
      </c>
      <c r="O32" s="214">
        <v>228.95884799999999</v>
      </c>
      <c r="P32" s="214">
        <v>100.41371060000002</v>
      </c>
      <c r="Q32" s="214">
        <v>0.77173840000000005</v>
      </c>
      <c r="R32" s="214">
        <v>51.927578830000002</v>
      </c>
      <c r="S32" s="214">
        <v>38.085713980000001</v>
      </c>
      <c r="T32" s="215">
        <v>13.6</v>
      </c>
      <c r="U32" s="215">
        <v>6.94</v>
      </c>
      <c r="V32" s="215">
        <v>5.94</v>
      </c>
      <c r="W32" s="215">
        <v>0.28999999999999998</v>
      </c>
      <c r="X32" s="216">
        <v>8.0299999999999994</v>
      </c>
    </row>
    <row r="33" spans="2:24" ht="24.6" x14ac:dyDescent="0.7">
      <c r="B33" s="3" t="s">
        <v>11</v>
      </c>
      <c r="D33" s="209" t="s">
        <v>251</v>
      </c>
      <c r="E33" s="21" t="s">
        <v>32</v>
      </c>
      <c r="F33">
        <v>32</v>
      </c>
      <c r="G33">
        <v>32</v>
      </c>
      <c r="H33">
        <v>29</v>
      </c>
      <c r="I33" s="211" t="s">
        <v>139</v>
      </c>
      <c r="J33" s="213" t="s">
        <v>35</v>
      </c>
      <c r="K33" s="214">
        <v>22.919460000000001</v>
      </c>
      <c r="L33" s="214">
        <v>26.933454999999999</v>
      </c>
      <c r="M33" s="214">
        <v>21.443377100000003</v>
      </c>
      <c r="N33" s="214">
        <v>26.917976100000001</v>
      </c>
      <c r="O33" s="214">
        <v>22.467994999999998</v>
      </c>
      <c r="P33" s="214">
        <v>23.766015799999998</v>
      </c>
      <c r="Q33" s="214">
        <v>26.532500000000002</v>
      </c>
      <c r="R33" s="214">
        <v>29.569765559999997</v>
      </c>
      <c r="S33" s="214">
        <v>24.066682280000002</v>
      </c>
      <c r="T33" s="215">
        <v>3.99</v>
      </c>
      <c r="U33" s="215">
        <v>0.04</v>
      </c>
      <c r="V33" s="215">
        <v>1.3</v>
      </c>
      <c r="W33" s="215">
        <v>1.79</v>
      </c>
      <c r="X33" s="215"/>
    </row>
    <row r="34" spans="2:24" ht="24.6" x14ac:dyDescent="0.7">
      <c r="B34" s="3" t="s">
        <v>11</v>
      </c>
      <c r="D34" s="209" t="s">
        <v>251</v>
      </c>
      <c r="E34" s="21" t="s">
        <v>32</v>
      </c>
      <c r="F34">
        <v>33</v>
      </c>
      <c r="G34">
        <v>33</v>
      </c>
      <c r="H34">
        <v>29</v>
      </c>
      <c r="I34" s="211" t="s">
        <v>329</v>
      </c>
      <c r="J34" s="213" t="s">
        <v>35</v>
      </c>
      <c r="K34" s="214">
        <v>3.3205244000000955</v>
      </c>
      <c r="L34" s="214">
        <v>0.80969680000019073</v>
      </c>
      <c r="M34" s="214">
        <v>0.49304939999985697</v>
      </c>
      <c r="N34" s="214">
        <v>3.4018312999999525</v>
      </c>
      <c r="O34" s="214">
        <v>41.412237099999906</v>
      </c>
      <c r="P34" s="214">
        <v>0.66458499999999998</v>
      </c>
      <c r="Q34" s="214">
        <v>7.211598799999952</v>
      </c>
      <c r="R34" s="214">
        <v>5.42286</v>
      </c>
      <c r="S34" s="214">
        <v>9.9101146000001439</v>
      </c>
      <c r="T34" s="215">
        <v>48.16</v>
      </c>
      <c r="U34" s="215">
        <v>1.73</v>
      </c>
      <c r="V34" s="215">
        <v>23.29</v>
      </c>
      <c r="W34" s="215">
        <v>0.83</v>
      </c>
      <c r="X34" s="215">
        <v>18.13</v>
      </c>
    </row>
    <row r="35" spans="2:24" ht="24.6" x14ac:dyDescent="0.7">
      <c r="B35" s="3" t="s">
        <v>11</v>
      </c>
      <c r="D35" s="209" t="s">
        <v>251</v>
      </c>
      <c r="E35" s="21" t="s">
        <v>32</v>
      </c>
      <c r="F35">
        <v>34</v>
      </c>
      <c r="G35">
        <v>34</v>
      </c>
      <c r="H35">
        <v>1</v>
      </c>
      <c r="I35" s="211" t="s">
        <v>141</v>
      </c>
      <c r="J35" s="213" t="s">
        <v>35</v>
      </c>
      <c r="K35" s="214">
        <v>33702.479129399995</v>
      </c>
      <c r="L35" s="214">
        <v>25836.044212600002</v>
      </c>
      <c r="M35" s="214">
        <v>26811.306330900006</v>
      </c>
      <c r="N35" s="214">
        <v>32729.239762200006</v>
      </c>
      <c r="O35" s="214">
        <v>23368.1807816</v>
      </c>
      <c r="P35" s="214">
        <v>23547.011386799997</v>
      </c>
      <c r="Q35" s="214">
        <v>35128.035840499993</v>
      </c>
      <c r="R35" s="214">
        <v>38228.634971620006</v>
      </c>
      <c r="S35" s="214">
        <v>58699.023464930011</v>
      </c>
      <c r="T35" s="215" t="s">
        <v>330</v>
      </c>
      <c r="U35" s="215" t="s">
        <v>331</v>
      </c>
      <c r="V35" s="215" t="s">
        <v>332</v>
      </c>
      <c r="W35" s="215" t="s">
        <v>333</v>
      </c>
      <c r="X35" s="215" t="s">
        <v>334</v>
      </c>
    </row>
    <row r="36" spans="2:24" ht="24.6" x14ac:dyDescent="0.7">
      <c r="B36" s="3" t="s">
        <v>11</v>
      </c>
      <c r="D36" s="209" t="s">
        <v>251</v>
      </c>
      <c r="E36" s="21" t="s">
        <v>32</v>
      </c>
      <c r="F36">
        <v>35</v>
      </c>
      <c r="G36">
        <v>35</v>
      </c>
      <c r="H36">
        <v>34</v>
      </c>
      <c r="I36" s="211" t="s">
        <v>335</v>
      </c>
      <c r="J36" s="213" t="s">
        <v>35</v>
      </c>
      <c r="K36" s="214">
        <v>28410.402998699996</v>
      </c>
      <c r="L36" s="214">
        <v>15910.856775499999</v>
      </c>
      <c r="M36" s="214">
        <v>14740.66793</v>
      </c>
      <c r="N36" s="214">
        <v>15193.016006400003</v>
      </c>
      <c r="O36" s="214">
        <v>12889.143747699998</v>
      </c>
      <c r="P36" s="214">
        <v>12496.830417499998</v>
      </c>
      <c r="Q36" s="214">
        <v>18902.055461399996</v>
      </c>
      <c r="R36" s="214">
        <v>19994.365056989998</v>
      </c>
      <c r="S36" s="214">
        <v>23824.874518050005</v>
      </c>
      <c r="T36" s="215" t="s">
        <v>336</v>
      </c>
      <c r="U36" s="215" t="s">
        <v>337</v>
      </c>
      <c r="V36" s="215" t="s">
        <v>338</v>
      </c>
      <c r="W36" s="215" t="s">
        <v>339</v>
      </c>
      <c r="X36" s="215" t="s">
        <v>340</v>
      </c>
    </row>
    <row r="37" spans="2:24" ht="24.6" x14ac:dyDescent="0.7">
      <c r="B37" s="3" t="s">
        <v>11</v>
      </c>
      <c r="D37" s="209" t="s">
        <v>251</v>
      </c>
      <c r="E37" s="21" t="s">
        <v>32</v>
      </c>
      <c r="F37">
        <v>36</v>
      </c>
      <c r="G37">
        <v>36</v>
      </c>
      <c r="H37">
        <v>35</v>
      </c>
      <c r="I37" s="211" t="s">
        <v>91</v>
      </c>
      <c r="J37" s="213" t="s">
        <v>35</v>
      </c>
      <c r="K37" s="214">
        <v>5076.9940539999989</v>
      </c>
      <c r="L37" s="214">
        <v>4017.8406202999986</v>
      </c>
      <c r="M37" s="214">
        <v>2162.1111162000007</v>
      </c>
      <c r="N37" s="214">
        <v>4289.9502041999995</v>
      </c>
      <c r="O37" s="214">
        <v>5051.7215653999974</v>
      </c>
      <c r="P37" s="214">
        <v>5233.0874309999972</v>
      </c>
      <c r="Q37" s="214">
        <v>8590.2397723999984</v>
      </c>
      <c r="R37" s="214">
        <v>11551.822348049996</v>
      </c>
      <c r="S37" s="214">
        <v>11618.955825480003</v>
      </c>
      <c r="T37" s="215" t="s">
        <v>341</v>
      </c>
      <c r="U37" s="215" t="s">
        <v>342</v>
      </c>
      <c r="V37" s="215" t="s">
        <v>343</v>
      </c>
      <c r="W37" s="215" t="s">
        <v>344</v>
      </c>
      <c r="X37" s="215" t="s">
        <v>345</v>
      </c>
    </row>
    <row r="38" spans="2:24" ht="24.6" x14ac:dyDescent="0.7">
      <c r="B38" s="3" t="s">
        <v>11</v>
      </c>
      <c r="D38" s="209" t="s">
        <v>251</v>
      </c>
      <c r="E38" s="21" t="s">
        <v>32</v>
      </c>
      <c r="F38">
        <v>37</v>
      </c>
      <c r="G38">
        <v>37</v>
      </c>
      <c r="H38">
        <v>35</v>
      </c>
      <c r="I38" s="211" t="s">
        <v>92</v>
      </c>
      <c r="J38" s="213" t="s">
        <v>35</v>
      </c>
      <c r="K38" s="214">
        <v>6328.133946599999</v>
      </c>
      <c r="L38" s="214">
        <v>3086.0623623999995</v>
      </c>
      <c r="M38" s="214">
        <v>2470.2810678000005</v>
      </c>
      <c r="N38" s="214">
        <v>1686.775650999999</v>
      </c>
      <c r="O38" s="214">
        <v>1121.8233001000001</v>
      </c>
      <c r="P38" s="214">
        <v>1243.7481633000004</v>
      </c>
      <c r="Q38" s="214">
        <v>1214.1651310999998</v>
      </c>
      <c r="R38" s="214">
        <v>1527.1489462599998</v>
      </c>
      <c r="S38" s="214">
        <v>2568.4558476199982</v>
      </c>
      <c r="T38" s="215" t="s">
        <v>346</v>
      </c>
      <c r="U38" s="215" t="s">
        <v>347</v>
      </c>
      <c r="V38" s="215" t="s">
        <v>348</v>
      </c>
      <c r="W38" s="215" t="s">
        <v>349</v>
      </c>
      <c r="X38" s="215" t="s">
        <v>350</v>
      </c>
    </row>
    <row r="39" spans="2:24" ht="24.6" x14ac:dyDescent="0.7">
      <c r="B39" s="3" t="s">
        <v>11</v>
      </c>
      <c r="D39" s="209" t="s">
        <v>251</v>
      </c>
      <c r="E39" s="21" t="s">
        <v>32</v>
      </c>
      <c r="F39">
        <v>38</v>
      </c>
      <c r="G39">
        <v>38</v>
      </c>
      <c r="H39">
        <v>35</v>
      </c>
      <c r="I39" s="211" t="s">
        <v>99</v>
      </c>
      <c r="J39" s="213" t="s">
        <v>35</v>
      </c>
      <c r="K39" s="214">
        <v>2802.7136727999996</v>
      </c>
      <c r="L39" s="214">
        <v>797.63268080000012</v>
      </c>
      <c r="M39" s="214">
        <v>18.589039100000001</v>
      </c>
      <c r="N39" s="214">
        <v>439.99767880000002</v>
      </c>
      <c r="O39" s="214">
        <v>1.7898889</v>
      </c>
      <c r="P39" s="214">
        <v>8.3500995999999983</v>
      </c>
      <c r="Q39" s="214">
        <v>156.18750350000002</v>
      </c>
      <c r="R39" s="214">
        <v>111.82951332</v>
      </c>
      <c r="S39" s="214">
        <v>732.78975772999979</v>
      </c>
      <c r="T39" s="215">
        <v>614.78</v>
      </c>
      <c r="U39" s="215">
        <v>187.13</v>
      </c>
      <c r="V39" s="215">
        <v>40.32</v>
      </c>
      <c r="W39" s="215">
        <v>26.12</v>
      </c>
      <c r="X39" s="215">
        <v>290.52</v>
      </c>
    </row>
    <row r="40" spans="2:24" ht="24.6" x14ac:dyDescent="0.7">
      <c r="B40" s="3" t="s">
        <v>11</v>
      </c>
      <c r="D40" s="209" t="s">
        <v>251</v>
      </c>
      <c r="E40" s="21" t="s">
        <v>32</v>
      </c>
      <c r="F40">
        <v>39</v>
      </c>
      <c r="G40">
        <v>39</v>
      </c>
      <c r="H40">
        <v>35</v>
      </c>
      <c r="I40" s="211" t="s">
        <v>80</v>
      </c>
      <c r="J40" s="213" t="s">
        <v>35</v>
      </c>
      <c r="K40" s="214">
        <v>3497.3052820000003</v>
      </c>
      <c r="L40" s="214">
        <v>122.99704440000001</v>
      </c>
      <c r="M40" s="214">
        <v>98.904133999999999</v>
      </c>
      <c r="N40" s="214">
        <v>876.94158870000001</v>
      </c>
      <c r="O40" s="214">
        <v>6.8651801999999993</v>
      </c>
      <c r="P40" s="214">
        <v>270.82073110000005</v>
      </c>
      <c r="Q40" s="214">
        <v>109.10796360000001</v>
      </c>
      <c r="R40" s="214">
        <v>49.878078710000004</v>
      </c>
      <c r="S40" s="214">
        <v>124.51952411000002</v>
      </c>
      <c r="T40" s="215">
        <v>320.89999999999998</v>
      </c>
      <c r="U40" s="215">
        <v>243.44</v>
      </c>
      <c r="V40" s="215">
        <v>502.09</v>
      </c>
      <c r="W40" s="215" t="s">
        <v>351</v>
      </c>
      <c r="X40" s="215">
        <v>147.97999999999999</v>
      </c>
    </row>
    <row r="41" spans="2:24" ht="24.6" x14ac:dyDescent="0.7">
      <c r="B41" s="3" t="s">
        <v>11</v>
      </c>
      <c r="D41" s="209" t="s">
        <v>251</v>
      </c>
      <c r="E41" s="21" t="s">
        <v>32</v>
      </c>
      <c r="F41">
        <v>40</v>
      </c>
      <c r="G41">
        <v>40</v>
      </c>
      <c r="H41">
        <v>35</v>
      </c>
      <c r="I41" s="211" t="s">
        <v>87</v>
      </c>
      <c r="J41" s="213" t="s">
        <v>35</v>
      </c>
      <c r="K41" s="214">
        <v>1755.8359272</v>
      </c>
      <c r="L41" s="214">
        <v>2382.0372021999992</v>
      </c>
      <c r="M41" s="214">
        <v>3735.9761691999997</v>
      </c>
      <c r="N41" s="214">
        <v>3548.8132390000001</v>
      </c>
      <c r="O41" s="214">
        <v>1990.0665343999999</v>
      </c>
      <c r="P41" s="214">
        <v>1880.5916408999999</v>
      </c>
      <c r="Q41" s="214">
        <v>3531.8319188999994</v>
      </c>
      <c r="R41" s="214">
        <v>2491.868485</v>
      </c>
      <c r="S41" s="214">
        <v>2631.1507442799993</v>
      </c>
      <c r="T41" s="215" t="s">
        <v>352</v>
      </c>
      <c r="U41" s="215" t="s">
        <v>353</v>
      </c>
      <c r="V41" s="215" t="s">
        <v>354</v>
      </c>
      <c r="W41" s="215" t="s">
        <v>355</v>
      </c>
      <c r="X41" s="215" t="s">
        <v>356</v>
      </c>
    </row>
    <row r="42" spans="2:24" ht="24.6" x14ac:dyDescent="0.7">
      <c r="B42" s="3" t="s">
        <v>11</v>
      </c>
      <c r="D42" s="209" t="s">
        <v>251</v>
      </c>
      <c r="E42" s="21" t="s">
        <v>32</v>
      </c>
      <c r="F42">
        <v>41</v>
      </c>
      <c r="G42">
        <v>41</v>
      </c>
      <c r="H42">
        <v>35</v>
      </c>
      <c r="I42" s="211" t="s">
        <v>89</v>
      </c>
      <c r="J42" s="213" t="s">
        <v>35</v>
      </c>
      <c r="K42" s="214">
        <v>50.99183</v>
      </c>
      <c r="L42" s="214">
        <v>148.8968433</v>
      </c>
      <c r="M42" s="214">
        <v>648.10910220000005</v>
      </c>
      <c r="N42" s="214">
        <v>451.66612400000002</v>
      </c>
      <c r="O42" s="214">
        <v>962.43265479999991</v>
      </c>
      <c r="P42" s="214">
        <v>561.91773420000004</v>
      </c>
      <c r="Q42" s="214">
        <v>304.27337279999995</v>
      </c>
      <c r="R42" s="214">
        <v>153.14330584999999</v>
      </c>
      <c r="S42" s="214">
        <v>260.04213751000003</v>
      </c>
      <c r="T42" s="215">
        <v>290.95999999999998</v>
      </c>
      <c r="U42" s="215">
        <v>184.27</v>
      </c>
      <c r="V42" s="215">
        <v>175.29</v>
      </c>
      <c r="W42" s="215">
        <v>226.54</v>
      </c>
      <c r="X42" s="215"/>
    </row>
    <row r="43" spans="2:24" ht="24.6" x14ac:dyDescent="0.7">
      <c r="B43" s="3" t="s">
        <v>11</v>
      </c>
      <c r="D43" s="209" t="s">
        <v>251</v>
      </c>
      <c r="E43" s="21" t="s">
        <v>32</v>
      </c>
      <c r="F43">
        <v>42</v>
      </c>
      <c r="G43">
        <v>42</v>
      </c>
      <c r="H43">
        <v>35</v>
      </c>
      <c r="I43" s="211" t="s">
        <v>145</v>
      </c>
      <c r="J43" s="213" t="s">
        <v>35</v>
      </c>
      <c r="K43" s="214">
        <v>0.70118510000000012</v>
      </c>
      <c r="L43" s="214">
        <v>2.3035000000000001</v>
      </c>
      <c r="M43" s="214">
        <v>214.82004419999998</v>
      </c>
      <c r="N43" s="214">
        <v>0</v>
      </c>
      <c r="O43" s="214">
        <v>0.1406</v>
      </c>
      <c r="P43" s="214">
        <v>0.31806719999999999</v>
      </c>
      <c r="Q43" s="214">
        <v>1.8425E-2</v>
      </c>
      <c r="R43" s="214">
        <v>0.33350249999999998</v>
      </c>
      <c r="S43" s="214">
        <v>376.76369699999998</v>
      </c>
      <c r="T43" s="215">
        <v>570.66</v>
      </c>
      <c r="U43" s="215">
        <v>745.49</v>
      </c>
      <c r="V43" s="215" t="s">
        <v>357</v>
      </c>
      <c r="W43" s="215">
        <v>0.1</v>
      </c>
      <c r="X43" s="215">
        <v>186.98</v>
      </c>
    </row>
    <row r="44" spans="2:24" ht="24.6" x14ac:dyDescent="0.7">
      <c r="B44" s="3" t="s">
        <v>11</v>
      </c>
      <c r="D44" s="209" t="s">
        <v>251</v>
      </c>
      <c r="E44" s="21" t="s">
        <v>32</v>
      </c>
      <c r="F44">
        <v>43</v>
      </c>
      <c r="G44">
        <v>43</v>
      </c>
      <c r="H44">
        <v>35</v>
      </c>
      <c r="I44" s="211" t="s">
        <v>358</v>
      </c>
      <c r="J44" s="213" t="s">
        <v>35</v>
      </c>
      <c r="K44" s="214">
        <v>188.35419619999996</v>
      </c>
      <c r="L44" s="214">
        <v>128.35187580000002</v>
      </c>
      <c r="M44" s="214">
        <v>165.55751000000001</v>
      </c>
      <c r="N44" s="214">
        <v>143.56705500000001</v>
      </c>
      <c r="O44" s="214">
        <v>143.01635899999999</v>
      </c>
      <c r="P44" s="214">
        <v>151.0901269</v>
      </c>
      <c r="Q44" s="214">
        <v>330.85790739999999</v>
      </c>
      <c r="R44" s="214">
        <v>824.45414532000007</v>
      </c>
      <c r="S44" s="214">
        <v>714.06918515000007</v>
      </c>
      <c r="T44" s="215">
        <v>229.82</v>
      </c>
      <c r="U44" s="215">
        <v>327.88</v>
      </c>
      <c r="V44" s="215">
        <v>318.85000000000002</v>
      </c>
      <c r="W44" s="215">
        <v>244.61</v>
      </c>
      <c r="X44" s="215">
        <v>385.34</v>
      </c>
    </row>
    <row r="45" spans="2:24" ht="24.6" x14ac:dyDescent="0.7">
      <c r="B45" s="3" t="s">
        <v>11</v>
      </c>
      <c r="D45" s="209" t="s">
        <v>251</v>
      </c>
      <c r="E45" s="21" t="s">
        <v>32</v>
      </c>
      <c r="F45">
        <v>44</v>
      </c>
      <c r="G45">
        <v>44</v>
      </c>
      <c r="H45">
        <v>35</v>
      </c>
      <c r="I45" s="211" t="s">
        <v>143</v>
      </c>
      <c r="J45" s="213" t="s">
        <v>35</v>
      </c>
      <c r="K45" s="214">
        <v>7553.0118782000009</v>
      </c>
      <c r="L45" s="214">
        <v>4502.7942724000013</v>
      </c>
      <c r="M45" s="214">
        <v>4766.5498694999978</v>
      </c>
      <c r="N45" s="214">
        <v>3015.2650804999998</v>
      </c>
      <c r="O45" s="214">
        <v>2946.3449211000006</v>
      </c>
      <c r="P45" s="214">
        <v>2310.1932537999996</v>
      </c>
      <c r="Q45" s="214">
        <v>3628.5310246999998</v>
      </c>
      <c r="R45" s="214">
        <v>2369.7014337799997</v>
      </c>
      <c r="S45" s="214">
        <v>3759.8147028199987</v>
      </c>
      <c r="T45" s="215" t="s">
        <v>359</v>
      </c>
      <c r="U45" s="215" t="s">
        <v>360</v>
      </c>
      <c r="V45" s="215" t="s">
        <v>361</v>
      </c>
      <c r="W45" s="215" t="s">
        <v>362</v>
      </c>
      <c r="X45" s="215" t="s">
        <v>363</v>
      </c>
    </row>
    <row r="46" spans="2:24" ht="24.6" x14ac:dyDescent="0.7">
      <c r="B46" s="3" t="s">
        <v>11</v>
      </c>
      <c r="D46" s="209" t="s">
        <v>251</v>
      </c>
      <c r="E46" s="21" t="s">
        <v>32</v>
      </c>
      <c r="F46">
        <v>45</v>
      </c>
      <c r="G46">
        <v>45</v>
      </c>
      <c r="H46">
        <v>35</v>
      </c>
      <c r="I46" s="211" t="s">
        <v>112</v>
      </c>
      <c r="J46" s="213" t="s">
        <v>35</v>
      </c>
      <c r="K46" s="214">
        <v>407.83919380000003</v>
      </c>
      <c r="L46" s="214">
        <v>510.75440230000004</v>
      </c>
      <c r="M46" s="214">
        <v>332.38451549999996</v>
      </c>
      <c r="N46" s="214">
        <v>705.55005870000014</v>
      </c>
      <c r="O46" s="214">
        <v>632.59037249999983</v>
      </c>
      <c r="P46" s="214">
        <v>635.6848593000002</v>
      </c>
      <c r="Q46" s="214">
        <v>970.7019537000001</v>
      </c>
      <c r="R46" s="214">
        <v>879.31881905000023</v>
      </c>
      <c r="S46" s="214">
        <v>952.12534193000045</v>
      </c>
      <c r="T46" s="215">
        <v>574.73</v>
      </c>
      <c r="U46" s="215">
        <v>820.46</v>
      </c>
      <c r="V46" s="215">
        <v>638.52</v>
      </c>
      <c r="W46" s="215">
        <v>659.9</v>
      </c>
      <c r="X46" s="215">
        <v>851.86</v>
      </c>
    </row>
    <row r="47" spans="2:24" ht="24.6" x14ac:dyDescent="0.7">
      <c r="B47" s="3" t="s">
        <v>11</v>
      </c>
      <c r="D47" s="209" t="s">
        <v>251</v>
      </c>
      <c r="E47" s="21" t="s">
        <v>32</v>
      </c>
      <c r="F47">
        <v>46</v>
      </c>
      <c r="G47">
        <v>46</v>
      </c>
      <c r="H47">
        <v>35</v>
      </c>
      <c r="I47" s="211" t="s">
        <v>364</v>
      </c>
      <c r="J47" s="213" t="s">
        <v>35</v>
      </c>
      <c r="K47" s="214">
        <v>360.22172760000001</v>
      </c>
      <c r="L47" s="214">
        <v>148.3175899</v>
      </c>
      <c r="M47" s="214">
        <v>6.26665E-2</v>
      </c>
      <c r="N47" s="214">
        <v>0</v>
      </c>
      <c r="O47" s="214">
        <v>4.6117169999999996</v>
      </c>
      <c r="P47" s="214">
        <v>104.4124429</v>
      </c>
      <c r="Q47" s="214">
        <v>1.7799999999999999E-3</v>
      </c>
      <c r="R47" s="214">
        <v>0</v>
      </c>
      <c r="S47" s="214">
        <v>0.58799999999999997</v>
      </c>
      <c r="T47" s="215">
        <v>11.09</v>
      </c>
      <c r="U47" s="215">
        <v>3.39</v>
      </c>
      <c r="V47" s="215">
        <v>0.02</v>
      </c>
      <c r="W47" s="215">
        <v>0.02</v>
      </c>
      <c r="X47" s="215">
        <v>0.5</v>
      </c>
    </row>
    <row r="48" spans="2:24" ht="24.6" x14ac:dyDescent="0.7">
      <c r="B48" s="3" t="s">
        <v>11</v>
      </c>
      <c r="D48" s="209" t="s">
        <v>251</v>
      </c>
      <c r="E48" s="21" t="s">
        <v>32</v>
      </c>
      <c r="F48">
        <v>47</v>
      </c>
      <c r="G48">
        <v>47</v>
      </c>
      <c r="H48">
        <v>35</v>
      </c>
      <c r="I48" s="211" t="s">
        <v>365</v>
      </c>
      <c r="J48" s="213" t="s">
        <v>35</v>
      </c>
      <c r="K48" s="214">
        <v>388.30010520000076</v>
      </c>
      <c r="L48" s="214">
        <v>62.868381700000761</v>
      </c>
      <c r="M48" s="214">
        <v>127.32269579999924</v>
      </c>
      <c r="N48" s="214">
        <v>34.489326500003813</v>
      </c>
      <c r="O48" s="214">
        <v>27.740654300001143</v>
      </c>
      <c r="P48" s="214">
        <v>96.615867299999238</v>
      </c>
      <c r="Q48" s="214">
        <v>66.138708299995429</v>
      </c>
      <c r="R48" s="214">
        <v>34.866479150001524</v>
      </c>
      <c r="S48" s="214">
        <v>85.599754420001986</v>
      </c>
      <c r="T48" s="215">
        <v>25.61</v>
      </c>
      <c r="U48" s="215">
        <v>27.62</v>
      </c>
      <c r="V48" s="215">
        <v>726.08</v>
      </c>
      <c r="W48" s="215">
        <v>479.21</v>
      </c>
      <c r="X48" s="215">
        <v>57.26</v>
      </c>
    </row>
    <row r="49" spans="2:24" ht="24.6" x14ac:dyDescent="0.7">
      <c r="B49" s="3" t="s">
        <v>11</v>
      </c>
      <c r="D49" s="209" t="s">
        <v>251</v>
      </c>
      <c r="E49" s="21" t="s">
        <v>32</v>
      </c>
      <c r="F49">
        <v>48</v>
      </c>
      <c r="G49">
        <v>48</v>
      </c>
      <c r="H49">
        <v>34</v>
      </c>
      <c r="I49" s="211" t="s">
        <v>366</v>
      </c>
      <c r="J49" s="213" t="s">
        <v>35</v>
      </c>
      <c r="K49" s="214">
        <v>348.61282590000002</v>
      </c>
      <c r="L49" s="214">
        <v>198.77148099999999</v>
      </c>
      <c r="M49" s="214">
        <v>255.46468409999997</v>
      </c>
      <c r="N49" s="214">
        <v>417.7277527</v>
      </c>
      <c r="O49" s="214">
        <v>25.219352899999997</v>
      </c>
      <c r="P49" s="214">
        <v>78.045066500000019</v>
      </c>
      <c r="Q49" s="214">
        <v>98.723331899999991</v>
      </c>
      <c r="R49" s="214">
        <v>185.81271842000001</v>
      </c>
      <c r="S49" s="214">
        <v>66.285545960000007</v>
      </c>
      <c r="T49" s="215">
        <v>63.03</v>
      </c>
      <c r="U49" s="215">
        <v>722.48</v>
      </c>
      <c r="V49" s="215">
        <v>867.8</v>
      </c>
      <c r="W49" s="215" t="s">
        <v>367</v>
      </c>
      <c r="X49" s="215">
        <v>930.71</v>
      </c>
    </row>
    <row r="50" spans="2:24" ht="24.6" x14ac:dyDescent="0.7">
      <c r="B50" s="3" t="s">
        <v>11</v>
      </c>
      <c r="D50" s="209" t="s">
        <v>251</v>
      </c>
      <c r="E50" s="21" t="s">
        <v>32</v>
      </c>
      <c r="F50">
        <v>49</v>
      </c>
      <c r="G50">
        <v>49</v>
      </c>
      <c r="H50">
        <v>34</v>
      </c>
      <c r="I50" s="211" t="s">
        <v>83</v>
      </c>
      <c r="J50" s="213" t="s">
        <v>35</v>
      </c>
      <c r="K50" s="214">
        <v>31.319807700000002</v>
      </c>
      <c r="L50" s="214">
        <v>29.874100300000002</v>
      </c>
      <c r="M50" s="214">
        <v>67.375513699999999</v>
      </c>
      <c r="N50" s="214">
        <v>350.22126019999996</v>
      </c>
      <c r="O50" s="214">
        <v>334.07634569999999</v>
      </c>
      <c r="P50" s="214">
        <v>579.19965409999998</v>
      </c>
      <c r="Q50" s="214">
        <v>1283.4825205999996</v>
      </c>
      <c r="R50" s="214">
        <v>1078.74638929</v>
      </c>
      <c r="S50" s="214">
        <v>1167.5477568200001</v>
      </c>
      <c r="T50" s="215">
        <v>818.15</v>
      </c>
      <c r="U50" s="215">
        <v>522.1</v>
      </c>
      <c r="V50" s="215">
        <v>710.37</v>
      </c>
      <c r="W50" s="215">
        <v>161.99</v>
      </c>
      <c r="X50" s="215">
        <v>324.33999999999997</v>
      </c>
    </row>
    <row r="51" spans="2:24" ht="24.6" x14ac:dyDescent="0.7">
      <c r="B51" s="3" t="s">
        <v>11</v>
      </c>
      <c r="D51" s="209" t="s">
        <v>251</v>
      </c>
      <c r="E51" s="21" t="s">
        <v>32</v>
      </c>
      <c r="F51">
        <v>50</v>
      </c>
      <c r="G51">
        <v>50</v>
      </c>
      <c r="H51">
        <v>34</v>
      </c>
      <c r="I51" s="211" t="s">
        <v>368</v>
      </c>
      <c r="J51" s="213" t="s">
        <v>35</v>
      </c>
      <c r="K51" s="214">
        <v>2.6466592000000002</v>
      </c>
      <c r="L51" s="214">
        <v>61.282499999999999</v>
      </c>
      <c r="M51" s="214">
        <v>149.47018919999999</v>
      </c>
      <c r="N51" s="214">
        <v>87.625494200000006</v>
      </c>
      <c r="O51" s="214">
        <v>68.641250499999998</v>
      </c>
      <c r="P51" s="214">
        <v>33.365259899999998</v>
      </c>
      <c r="Q51" s="214">
        <v>233.93494509999996</v>
      </c>
      <c r="R51" s="214">
        <v>343.23191573000003</v>
      </c>
      <c r="S51" s="214">
        <v>158.04821598000001</v>
      </c>
      <c r="T51" s="215">
        <v>83.48</v>
      </c>
      <c r="U51" s="215">
        <v>27.06</v>
      </c>
      <c r="V51" s="215">
        <v>62</v>
      </c>
      <c r="W51" s="215">
        <v>6.68</v>
      </c>
      <c r="X51" s="215">
        <v>36.15</v>
      </c>
    </row>
    <row r="52" spans="2:24" ht="24.6" x14ac:dyDescent="0.7">
      <c r="B52" s="3" t="s">
        <v>11</v>
      </c>
      <c r="D52" s="209" t="s">
        <v>251</v>
      </c>
      <c r="E52" s="21" t="s">
        <v>32</v>
      </c>
      <c r="F52">
        <v>51</v>
      </c>
      <c r="G52">
        <v>51</v>
      </c>
      <c r="H52">
        <v>34</v>
      </c>
      <c r="I52" s="211" t="s">
        <v>369</v>
      </c>
      <c r="J52" s="213" t="s">
        <v>35</v>
      </c>
      <c r="K52" s="214">
        <v>231.97490569999997</v>
      </c>
      <c r="L52" s="214">
        <v>167.15610860000007</v>
      </c>
      <c r="M52" s="214">
        <v>76.724274100000002</v>
      </c>
      <c r="N52" s="214">
        <v>117.44612459999999</v>
      </c>
      <c r="O52" s="214">
        <v>131.63310860000001</v>
      </c>
      <c r="P52" s="214">
        <v>80.742695699999999</v>
      </c>
      <c r="Q52" s="214">
        <v>105.81637449999997</v>
      </c>
      <c r="R52" s="214">
        <v>122.13551759000001</v>
      </c>
      <c r="S52" s="214">
        <v>120.08553244000001</v>
      </c>
      <c r="T52" s="215">
        <v>150.41999999999999</v>
      </c>
      <c r="U52" s="215">
        <v>127.6</v>
      </c>
      <c r="V52" s="215">
        <v>24.77</v>
      </c>
      <c r="W52" s="215">
        <v>40.94</v>
      </c>
      <c r="X52" s="215">
        <v>135.79</v>
      </c>
    </row>
    <row r="53" spans="2:24" ht="24.6" x14ac:dyDescent="0.7">
      <c r="B53" s="3" t="s">
        <v>11</v>
      </c>
      <c r="D53" s="209" t="s">
        <v>251</v>
      </c>
      <c r="E53" s="21" t="s">
        <v>32</v>
      </c>
      <c r="F53">
        <v>52</v>
      </c>
      <c r="G53">
        <v>52</v>
      </c>
      <c r="H53">
        <v>34</v>
      </c>
      <c r="I53" s="211" t="s">
        <v>142</v>
      </c>
      <c r="J53" s="213" t="s">
        <v>35</v>
      </c>
      <c r="K53" s="214">
        <v>3825.1403056000004</v>
      </c>
      <c r="L53" s="214">
        <v>8444.9997401000001</v>
      </c>
      <c r="M53" s="214">
        <v>10168.263972000001</v>
      </c>
      <c r="N53" s="214">
        <v>11047.500294300004</v>
      </c>
      <c r="O53" s="214">
        <v>8683.4150406999997</v>
      </c>
      <c r="P53" s="214">
        <v>7552.9262311000002</v>
      </c>
      <c r="Q53" s="214">
        <v>10964.0718715</v>
      </c>
      <c r="R53" s="214">
        <v>11563.838319800001</v>
      </c>
      <c r="S53" s="214">
        <v>28011.248872700002</v>
      </c>
      <c r="T53" s="215" t="s">
        <v>370</v>
      </c>
      <c r="U53" s="215">
        <v>0.68</v>
      </c>
      <c r="V53" s="215" t="s">
        <v>371</v>
      </c>
      <c r="W53" s="215" t="s">
        <v>372</v>
      </c>
      <c r="X53" s="215" t="s">
        <v>373</v>
      </c>
    </row>
    <row r="54" spans="2:24" ht="24.6" x14ac:dyDescent="0.7">
      <c r="B54" s="3" t="s">
        <v>11</v>
      </c>
      <c r="D54" s="209" t="s">
        <v>251</v>
      </c>
      <c r="E54" s="21" t="s">
        <v>32</v>
      </c>
      <c r="F54">
        <v>53</v>
      </c>
      <c r="G54">
        <v>53</v>
      </c>
      <c r="H54">
        <v>34</v>
      </c>
      <c r="I54" s="211" t="s">
        <v>374</v>
      </c>
      <c r="J54" s="213" t="s">
        <v>35</v>
      </c>
      <c r="K54" s="214">
        <v>752.83843979999972</v>
      </c>
      <c r="L54" s="214">
        <v>843.16897070000005</v>
      </c>
      <c r="M54" s="214">
        <v>1315.3357297999999</v>
      </c>
      <c r="N54" s="214">
        <v>1730.5214994000003</v>
      </c>
      <c r="O54" s="214">
        <v>1154.4464091000002</v>
      </c>
      <c r="P54" s="214">
        <v>2690.9648144999987</v>
      </c>
      <c r="Q54" s="214">
        <v>3425.3671490000002</v>
      </c>
      <c r="R54" s="214">
        <v>4882.2639158000002</v>
      </c>
      <c r="S54" s="214">
        <v>5342.0282757000004</v>
      </c>
      <c r="T54" s="215" t="s">
        <v>375</v>
      </c>
      <c r="U54" s="215" t="s">
        <v>376</v>
      </c>
      <c r="V54" s="215">
        <v>5.13</v>
      </c>
      <c r="W54" s="215">
        <v>1.22</v>
      </c>
      <c r="X54" s="215">
        <v>5.72</v>
      </c>
    </row>
    <row r="55" spans="2:24" ht="24.6" x14ac:dyDescent="0.7">
      <c r="B55" s="3" t="s">
        <v>11</v>
      </c>
      <c r="D55" s="209" t="s">
        <v>251</v>
      </c>
      <c r="E55" s="21" t="s">
        <v>32</v>
      </c>
      <c r="F55">
        <v>54</v>
      </c>
      <c r="G55">
        <v>54</v>
      </c>
      <c r="H55">
        <v>34</v>
      </c>
      <c r="I55" s="211" t="s">
        <v>147</v>
      </c>
      <c r="J55" s="213" t="s">
        <v>35</v>
      </c>
      <c r="K55" s="214">
        <v>99.543186799995425</v>
      </c>
      <c r="L55" s="214">
        <v>179.93453640000533</v>
      </c>
      <c r="M55" s="214">
        <v>38.004038000003817</v>
      </c>
      <c r="N55" s="214">
        <v>3785.1813303999979</v>
      </c>
      <c r="O55" s="214">
        <v>81.605526400001523</v>
      </c>
      <c r="P55" s="214">
        <v>34.937247499999998</v>
      </c>
      <c r="Q55" s="214">
        <v>114.5841865</v>
      </c>
      <c r="R55" s="214">
        <v>58.241138000007631</v>
      </c>
      <c r="S55" s="214">
        <v>8.9047472799987801</v>
      </c>
      <c r="T55" s="215">
        <v>41.12</v>
      </c>
      <c r="U55" s="215">
        <v>21.57</v>
      </c>
      <c r="V55" s="215">
        <v>25.73</v>
      </c>
      <c r="W55" s="215">
        <v>18.52</v>
      </c>
      <c r="X55" s="215">
        <v>28.43</v>
      </c>
    </row>
    <row r="56" spans="2:24" ht="24.6" x14ac:dyDescent="0.7">
      <c r="B56" s="3" t="s">
        <v>11</v>
      </c>
      <c r="D56" s="209" t="s">
        <v>251</v>
      </c>
      <c r="E56" s="21" t="s">
        <v>32</v>
      </c>
      <c r="F56">
        <v>55</v>
      </c>
      <c r="G56">
        <v>55</v>
      </c>
      <c r="H56">
        <v>1</v>
      </c>
      <c r="I56" s="211" t="s">
        <v>148</v>
      </c>
      <c r="J56" s="213" t="s">
        <v>35</v>
      </c>
      <c r="K56" s="214">
        <v>44.639064600000005</v>
      </c>
      <c r="L56" s="214">
        <v>34.489347400000007</v>
      </c>
      <c r="M56" s="214">
        <v>929.98496249999982</v>
      </c>
      <c r="N56" s="214">
        <v>74.395034799999991</v>
      </c>
      <c r="O56" s="214">
        <v>125.18715570000001</v>
      </c>
      <c r="P56" s="214">
        <v>129.75106070000001</v>
      </c>
      <c r="Q56" s="214">
        <v>174.37078009999999</v>
      </c>
      <c r="R56" s="214">
        <v>756.29096035999987</v>
      </c>
      <c r="S56" s="214">
        <v>1242.5158285799998</v>
      </c>
      <c r="T56" s="215" t="s">
        <v>377</v>
      </c>
      <c r="U56" s="215" t="s">
        <v>378</v>
      </c>
      <c r="V56" s="215" t="s">
        <v>379</v>
      </c>
      <c r="W56" s="215" t="s">
        <v>380</v>
      </c>
      <c r="X56" s="215" t="s">
        <v>381</v>
      </c>
    </row>
    <row r="57" spans="2:24" ht="24.6" x14ac:dyDescent="0.7">
      <c r="B57" s="3" t="s">
        <v>11</v>
      </c>
      <c r="D57" s="209" t="s">
        <v>251</v>
      </c>
      <c r="E57" s="21" t="s">
        <v>32</v>
      </c>
      <c r="F57">
        <v>56</v>
      </c>
      <c r="G57">
        <v>56</v>
      </c>
      <c r="H57">
        <v>55</v>
      </c>
      <c r="I57" s="211" t="s">
        <v>85</v>
      </c>
      <c r="J57" s="213" t="s">
        <v>35</v>
      </c>
      <c r="K57" s="214">
        <v>0</v>
      </c>
      <c r="L57" s="214">
        <v>2.7368607000000003</v>
      </c>
      <c r="M57" s="214">
        <v>0.05</v>
      </c>
      <c r="N57" s="214">
        <v>0.1</v>
      </c>
      <c r="O57" s="214">
        <v>0.02</v>
      </c>
      <c r="P57" s="214">
        <v>6.5000000000000002E-2</v>
      </c>
      <c r="Q57" s="214">
        <v>2.7149999999999999E-4</v>
      </c>
      <c r="R57" s="214">
        <v>0.13563</v>
      </c>
      <c r="S57" s="214">
        <v>17.847818829999998</v>
      </c>
      <c r="T57" s="215"/>
      <c r="U57" s="215"/>
      <c r="V57" s="215">
        <v>0.05</v>
      </c>
      <c r="W57" s="215"/>
      <c r="X57" s="215">
        <v>0.7</v>
      </c>
    </row>
    <row r="58" spans="2:24" ht="24.6" x14ac:dyDescent="0.7">
      <c r="B58" s="3" t="s">
        <v>11</v>
      </c>
      <c r="D58" s="209" t="s">
        <v>251</v>
      </c>
      <c r="E58" s="21" t="s">
        <v>32</v>
      </c>
      <c r="F58">
        <v>57</v>
      </c>
      <c r="G58">
        <v>57</v>
      </c>
      <c r="H58">
        <v>55</v>
      </c>
      <c r="I58" s="211" t="s">
        <v>152</v>
      </c>
      <c r="J58" s="213" t="s">
        <v>35</v>
      </c>
      <c r="K58" s="214">
        <v>0</v>
      </c>
      <c r="L58" s="214">
        <v>0</v>
      </c>
      <c r="M58" s="214">
        <v>0</v>
      </c>
      <c r="N58" s="214">
        <v>0</v>
      </c>
      <c r="O58" s="214">
        <v>0.05</v>
      </c>
      <c r="P58" s="214">
        <v>0</v>
      </c>
      <c r="Q58" s="214">
        <v>0</v>
      </c>
      <c r="R58" s="214">
        <v>9.5409300000000002E-2</v>
      </c>
      <c r="S58" s="214">
        <v>0</v>
      </c>
      <c r="T58" s="215">
        <v>0.04</v>
      </c>
      <c r="U58" s="215"/>
      <c r="V58" s="215"/>
      <c r="W58" s="215"/>
      <c r="X58" s="215">
        <v>4.6500000000000004</v>
      </c>
    </row>
    <row r="59" spans="2:24" ht="24.6" x14ac:dyDescent="0.7">
      <c r="B59" s="3" t="s">
        <v>11</v>
      </c>
      <c r="D59" s="209" t="s">
        <v>251</v>
      </c>
      <c r="E59" s="21" t="s">
        <v>32</v>
      </c>
      <c r="F59">
        <v>58</v>
      </c>
      <c r="G59">
        <v>58</v>
      </c>
      <c r="H59">
        <v>55</v>
      </c>
      <c r="I59" s="211" t="s">
        <v>150</v>
      </c>
      <c r="J59" s="213" t="s">
        <v>35</v>
      </c>
      <c r="K59" s="214">
        <v>8.5081791999999989</v>
      </c>
      <c r="L59" s="214">
        <v>4.3401262999999997</v>
      </c>
      <c r="M59" s="214">
        <v>805.89284499999985</v>
      </c>
      <c r="N59" s="214">
        <v>38.968178799999997</v>
      </c>
      <c r="O59" s="214">
        <v>64.296259000000006</v>
      </c>
      <c r="P59" s="214">
        <v>53.467566300000001</v>
      </c>
      <c r="Q59" s="214">
        <v>160.70974079999999</v>
      </c>
      <c r="R59" s="214">
        <v>314.85349718000003</v>
      </c>
      <c r="S59" s="214">
        <v>468.48807468000001</v>
      </c>
      <c r="T59" s="215">
        <v>96.25</v>
      </c>
      <c r="U59" s="215">
        <v>70.349999999999994</v>
      </c>
      <c r="V59" s="215">
        <v>63.64</v>
      </c>
      <c r="W59" s="215">
        <v>149.03</v>
      </c>
      <c r="X59" s="215">
        <v>0.87</v>
      </c>
    </row>
    <row r="60" spans="2:24" ht="24.6" x14ac:dyDescent="0.7">
      <c r="B60" s="3" t="s">
        <v>11</v>
      </c>
      <c r="D60" s="209" t="s">
        <v>251</v>
      </c>
      <c r="E60" s="21" t="s">
        <v>32</v>
      </c>
      <c r="F60">
        <v>59</v>
      </c>
      <c r="G60">
        <v>59</v>
      </c>
      <c r="H60">
        <v>55</v>
      </c>
      <c r="I60" s="211" t="s">
        <v>149</v>
      </c>
      <c r="J60" s="213" t="s">
        <v>35</v>
      </c>
      <c r="K60" s="214">
        <v>8.2234799999999997E-2</v>
      </c>
      <c r="L60" s="214">
        <v>1.2200000000000001E-2</v>
      </c>
      <c r="M60" s="214">
        <v>4.5572213000000001</v>
      </c>
      <c r="N60" s="214">
        <v>0.1506431</v>
      </c>
      <c r="O60" s="214">
        <v>0.1151736</v>
      </c>
      <c r="P60" s="214">
        <v>9.4097404000000004</v>
      </c>
      <c r="Q60" s="214">
        <v>4.8976101000000005</v>
      </c>
      <c r="R60" s="214">
        <v>8.9426592500000002</v>
      </c>
      <c r="S60" s="214">
        <v>0.64216096</v>
      </c>
      <c r="T60" s="215" t="s">
        <v>382</v>
      </c>
      <c r="U60" s="215" t="s">
        <v>383</v>
      </c>
      <c r="V60" s="215" t="s">
        <v>384</v>
      </c>
      <c r="W60" s="215" t="s">
        <v>385</v>
      </c>
      <c r="X60" s="215" t="s">
        <v>386</v>
      </c>
    </row>
    <row r="61" spans="2:24" ht="24.6" x14ac:dyDescent="0.7">
      <c r="B61" s="3" t="s">
        <v>11</v>
      </c>
      <c r="D61" s="209" t="s">
        <v>251</v>
      </c>
      <c r="E61" s="21" t="s">
        <v>32</v>
      </c>
      <c r="F61">
        <v>60</v>
      </c>
      <c r="G61">
        <v>60</v>
      </c>
      <c r="H61">
        <v>55</v>
      </c>
      <c r="I61" s="211" t="s">
        <v>154</v>
      </c>
      <c r="J61" s="213" t="s">
        <v>35</v>
      </c>
      <c r="K61" s="214">
        <v>36.048650600000002</v>
      </c>
      <c r="L61" s="214">
        <v>27.400160400000004</v>
      </c>
      <c r="M61" s="214">
        <v>119.48489620000005</v>
      </c>
      <c r="N61" s="214">
        <v>35.176212899999996</v>
      </c>
      <c r="O61" s="214">
        <v>60.7057231</v>
      </c>
      <c r="P61" s="214">
        <v>66.808754000000022</v>
      </c>
      <c r="Q61" s="214">
        <v>8.7631577000000185</v>
      </c>
      <c r="R61" s="214">
        <v>432.26376462999986</v>
      </c>
      <c r="S61" s="214">
        <v>755.53777410999987</v>
      </c>
      <c r="T61" s="215">
        <v>118.43</v>
      </c>
      <c r="U61" s="215">
        <v>367.81</v>
      </c>
      <c r="V61" s="215">
        <v>602.59</v>
      </c>
      <c r="W61" s="215" t="s">
        <v>387</v>
      </c>
      <c r="X61" s="215">
        <v>93.05</v>
      </c>
    </row>
    <row r="62" spans="2:24" ht="24.6" x14ac:dyDescent="0.7">
      <c r="B62" s="3" t="s">
        <v>11</v>
      </c>
      <c r="D62" s="209" t="s">
        <v>251</v>
      </c>
      <c r="E62" s="21" t="s">
        <v>32</v>
      </c>
      <c r="F62">
        <v>61</v>
      </c>
      <c r="G62">
        <v>61</v>
      </c>
      <c r="H62">
        <v>1</v>
      </c>
      <c r="I62" s="211" t="s">
        <v>155</v>
      </c>
      <c r="J62" s="213" t="s">
        <v>35</v>
      </c>
      <c r="K62" s="214">
        <v>39.081879700012209</v>
      </c>
      <c r="L62" s="214">
        <v>17.63710619999695</v>
      </c>
      <c r="M62" s="214">
        <v>22.918090099990845</v>
      </c>
      <c r="N62" s="214">
        <v>18.112999999984741</v>
      </c>
      <c r="O62" s="214">
        <v>23.336940100006103</v>
      </c>
      <c r="P62" s="214">
        <v>9.0437768000106811</v>
      </c>
      <c r="Q62" s="214">
        <v>14.153457200012207</v>
      </c>
      <c r="R62" s="214">
        <v>36.989212100021362</v>
      </c>
      <c r="S62" s="214">
        <v>5.9717241699523926</v>
      </c>
      <c r="T62" s="215">
        <v>0.13</v>
      </c>
      <c r="U62" s="215"/>
      <c r="V62" s="215">
        <v>0.05</v>
      </c>
      <c r="W62" s="215">
        <v>0.01</v>
      </c>
      <c r="X62" s="2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taux de change($)</vt:lpstr>
      <vt:lpstr>taux de change(€)</vt:lpstr>
      <vt:lpstr>taux de change(Fcfa)</vt:lpstr>
      <vt:lpstr>taux de change(¥)</vt:lpstr>
      <vt:lpstr>Import bien</vt:lpstr>
      <vt:lpstr>Alim val</vt:lpstr>
      <vt:lpstr>produit concu</vt:lpstr>
      <vt:lpstr>Imports_G_cont_t12 (2)</vt:lpstr>
      <vt:lpstr>Tableau</vt:lpstr>
      <vt:lpstr>Exportation Mauritanienne ty.pr</vt:lpstr>
      <vt:lpstr>Export poisson</vt:lpstr>
      <vt:lpstr>Export smcp pays</vt:lpstr>
      <vt:lpstr>Export_Marché</vt:lpstr>
      <vt:lpstr>EVOLUTION EXPOR Mens Minfer</vt:lpstr>
      <vt:lpstr>Export smcp pays VOL</vt:lpstr>
      <vt:lpstr>Export smcp pays VAL</vt:lpstr>
      <vt:lpstr>Smpc export Vol</vt:lpstr>
      <vt:lpstr>smcp export val</vt:lpstr>
      <vt:lpstr>BP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Nejib</cp:lastModifiedBy>
  <dcterms:created xsi:type="dcterms:W3CDTF">2015-06-05T18:17:20Z</dcterms:created>
  <dcterms:modified xsi:type="dcterms:W3CDTF">2025-10-10T12:27:39Z</dcterms:modified>
</cp:coreProperties>
</file>