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8_{94C000A4-1319-4346-81A3-F6FC495F14F6}" xr6:coauthVersionLast="47" xr6:coauthVersionMax="47" xr10:uidLastSave="{00000000-0000-0000-0000-000000000000}"/>
  <bookViews>
    <workbookView xWindow="-108" yWindow="-108" windowWidth="23256" windowHeight="12576" tabRatio="931" activeTab="2" xr2:uid="{00000000-000D-0000-FFFF-FFFF00000000}"/>
  </bookViews>
  <sheets>
    <sheet name="PG (1)" sheetId="44" r:id="rId1"/>
    <sheet name="Agriculture" sheetId="1" r:id="rId2"/>
    <sheet name="Elevage" sheetId="2" r:id="rId3"/>
    <sheet name="PG (2)" sheetId="46" r:id="rId4"/>
    <sheet name="péche" sheetId="3" r:id="rId5"/>
    <sheet name="péche 2" sheetId="4" r:id="rId6"/>
    <sheet name="PG (3)" sheetId="47" r:id="rId7"/>
    <sheet name="production de Fer" sheetId="5" r:id="rId8"/>
    <sheet name="IPI" sheetId="6" r:id="rId9"/>
    <sheet name="PG (4)" sheetId="49" r:id="rId10"/>
    <sheet name="INPC" sheetId="67" r:id="rId11"/>
    <sheet name="PMcentre NCK" sheetId="68" r:id="rId12"/>
    <sheet name="ICC" sheetId="69" r:id="rId13"/>
    <sheet name="PG (5)" sheetId="50" r:id="rId14"/>
    <sheet name="Brent-thé (2)" sheetId="17" r:id="rId15"/>
    <sheet name="sucre-blé (2)" sheetId="18" r:id="rId16"/>
    <sheet name="riz-mais (2)" sheetId="19" r:id="rId17"/>
    <sheet name="cours prod" sheetId="7" r:id="rId18"/>
    <sheet name="taux de change" sheetId="8" r:id="rId19"/>
    <sheet name="Import bien" sheetId="20" r:id="rId20"/>
    <sheet name="Alim val" sheetId="21" r:id="rId21"/>
    <sheet name="Imports_G_cont_t12 (2)" sheetId="23" r:id="rId22"/>
    <sheet name="Exportation Mauritanienne ty.pr" sheetId="24" r:id="rId23"/>
    <sheet name="EXPOR MAURITANIE selon desti" sheetId="25" r:id="rId24"/>
    <sheet name="EVOLUTION EXPOR Mens Minfer" sheetId="26" r:id="rId25"/>
    <sheet name="Export poisson" sheetId="27" r:id="rId26"/>
    <sheet name="Export smcp pays" sheetId="29" r:id="rId27"/>
    <sheet name="Export smcp pays 2" sheetId="30" r:id="rId28"/>
    <sheet name="Smpc export Vol" sheetId="31" r:id="rId29"/>
    <sheet name="smcp export val" sheetId="32" r:id="rId30"/>
    <sheet name="BP " sheetId="52" r:id="rId31"/>
    <sheet name="PG( 6)" sheetId="41" r:id="rId32"/>
    <sheet name="recette budjetaire" sheetId="9" r:id="rId33"/>
    <sheet name="Depense" sheetId="15" r:id="rId34"/>
    <sheet name="TOFE" sheetId="16" r:id="rId35"/>
    <sheet name="PG(7)" sheetId="42" r:id="rId36"/>
    <sheet name="Emplos du PIB courant " sheetId="54" r:id="rId37"/>
    <sheet name="PIB Courant (2)" sheetId="55" r:id="rId38"/>
    <sheet name="PG(8)" sheetId="56" r:id="rId39"/>
    <sheet name="Monnaie " sheetId="57" r:id="rId40"/>
    <sheet name="répart crédits " sheetId="58" r:id="rId41"/>
    <sheet name="PG(9)" sheetId="59" r:id="rId42"/>
    <sheet name="Electricité Eau" sheetId="11" r:id="rId43"/>
    <sheet name="Energie 2" sheetId="61" r:id="rId44"/>
    <sheet name="PG(10)" sheetId="43" r:id="rId45"/>
    <sheet name="Trasports_aerien" sheetId="12" r:id="rId46"/>
    <sheet name="Télécoms" sheetId="66" r:id="rId47"/>
    <sheet name="PG(11)" sheetId="36" r:id="rId48"/>
    <sheet name="temperature" sheetId="33" r:id="rId49"/>
    <sheet name="Humidité" sheetId="34" r:id="rId50"/>
    <sheet name="Pluies" sheetId="35" r:id="rId51"/>
  </sheets>
  <externalReferences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xlnm._FilterDatabase" localSheetId="12" hidden="1">ICC!#REF!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[8]CIRRs!$C$109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66" l="1"/>
  <c r="P25" i="66"/>
  <c r="O25" i="66"/>
  <c r="N25" i="66"/>
  <c r="M25" i="66"/>
  <c r="L25" i="66"/>
  <c r="K25" i="66"/>
  <c r="J25" i="66"/>
  <c r="I25" i="66"/>
  <c r="H25" i="66"/>
  <c r="G25" i="66"/>
  <c r="F25" i="66"/>
  <c r="E25" i="66"/>
  <c r="D25" i="66"/>
  <c r="C25" i="66"/>
  <c r="C23" i="66"/>
  <c r="D23" i="66" s="1"/>
  <c r="E23" i="66" s="1"/>
  <c r="F23" i="66" s="1"/>
  <c r="G23" i="66" s="1"/>
  <c r="H23" i="66" s="1"/>
  <c r="I23" i="66" s="1"/>
  <c r="J23" i="66" s="1"/>
  <c r="K23" i="66" s="1"/>
  <c r="L23" i="66" s="1"/>
  <c r="M23" i="66" s="1"/>
  <c r="N23" i="66" s="1"/>
  <c r="O23" i="66" s="1"/>
  <c r="P23" i="66" s="1"/>
  <c r="Q23" i="66" s="1"/>
  <c r="M18" i="66"/>
  <c r="C15" i="66"/>
  <c r="D15" i="66" s="1"/>
  <c r="E15" i="66" s="1"/>
  <c r="F15" i="66" s="1"/>
  <c r="G15" i="66" s="1"/>
  <c r="H15" i="66" s="1"/>
  <c r="I15" i="66" s="1"/>
  <c r="J15" i="66" s="1"/>
  <c r="K15" i="66" s="1"/>
  <c r="L15" i="66" s="1"/>
  <c r="M15" i="66" s="1"/>
  <c r="N15" i="66" s="1"/>
  <c r="O15" i="66" s="1"/>
  <c r="P15" i="66" s="1"/>
  <c r="Q15" i="66" s="1"/>
  <c r="M5" i="66"/>
  <c r="R3" i="66"/>
  <c r="Q3" i="66"/>
  <c r="C2" i="66"/>
  <c r="D2" i="66" s="1"/>
  <c r="E2" i="66" s="1"/>
  <c r="F2" i="66" s="1"/>
  <c r="G2" i="66" s="1"/>
  <c r="H2" i="66" s="1"/>
  <c r="I2" i="66" s="1"/>
  <c r="J2" i="66" s="1"/>
  <c r="K2" i="66" s="1"/>
  <c r="L2" i="66" s="1"/>
  <c r="M2" i="66" s="1"/>
  <c r="N2" i="66" s="1"/>
  <c r="O2" i="66" s="1"/>
  <c r="P2" i="66" s="1"/>
  <c r="Q2" i="66" s="1"/>
  <c r="N63" i="61" l="1"/>
  <c r="N62" i="61"/>
  <c r="M61" i="61"/>
  <c r="L61" i="61"/>
  <c r="K61" i="61"/>
  <c r="J61" i="61"/>
  <c r="I61" i="61"/>
  <c r="H61" i="61"/>
  <c r="G61" i="61"/>
  <c r="F61" i="61"/>
  <c r="E61" i="61"/>
  <c r="D61" i="61"/>
  <c r="C61" i="61"/>
  <c r="B61" i="61"/>
  <c r="N61" i="61" s="1"/>
  <c r="B58" i="61"/>
  <c r="B56" i="61" s="1"/>
  <c r="N56" i="61" s="1"/>
  <c r="B57" i="61"/>
  <c r="N57" i="61" s="1"/>
  <c r="M56" i="61"/>
  <c r="L56" i="61"/>
  <c r="K56" i="61"/>
  <c r="J56" i="61"/>
  <c r="I56" i="61"/>
  <c r="H56" i="61"/>
  <c r="G56" i="61"/>
  <c r="F56" i="61"/>
  <c r="E56" i="61"/>
  <c r="D56" i="61"/>
  <c r="C56" i="61"/>
  <c r="N54" i="61"/>
  <c r="N53" i="61"/>
  <c r="N52" i="61"/>
  <c r="M51" i="61"/>
  <c r="L51" i="61"/>
  <c r="K51" i="61"/>
  <c r="J51" i="61"/>
  <c r="I51" i="61"/>
  <c r="H51" i="61"/>
  <c r="G51" i="61"/>
  <c r="F51" i="61"/>
  <c r="E51" i="61"/>
  <c r="D51" i="61"/>
  <c r="C51" i="61"/>
  <c r="B51" i="61"/>
  <c r="N51" i="61" s="1"/>
  <c r="N49" i="61"/>
  <c r="N48" i="61"/>
  <c r="N47" i="61"/>
  <c r="M46" i="61"/>
  <c r="L46" i="61"/>
  <c r="K46" i="61"/>
  <c r="J46" i="61"/>
  <c r="I46" i="61"/>
  <c r="H46" i="61"/>
  <c r="G46" i="61"/>
  <c r="F46" i="61"/>
  <c r="E46" i="61"/>
  <c r="D46" i="61"/>
  <c r="C46" i="61"/>
  <c r="B46" i="61"/>
  <c r="N46" i="61" s="1"/>
  <c r="N44" i="61"/>
  <c r="N43" i="61"/>
  <c r="N42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N41" i="61" s="1"/>
  <c r="N39" i="61"/>
  <c r="N38" i="61"/>
  <c r="N37" i="61"/>
  <c r="M36" i="61"/>
  <c r="L36" i="61"/>
  <c r="K36" i="61"/>
  <c r="J36" i="61"/>
  <c r="I36" i="61"/>
  <c r="H36" i="61"/>
  <c r="G36" i="61"/>
  <c r="F36" i="61"/>
  <c r="E36" i="61"/>
  <c r="D36" i="61"/>
  <c r="C36" i="61"/>
  <c r="B36" i="61"/>
  <c r="N36" i="61" s="1"/>
  <c r="N34" i="61"/>
  <c r="N33" i="61"/>
  <c r="N32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N31" i="61" s="1"/>
  <c r="N28" i="61"/>
  <c r="N27" i="61"/>
  <c r="M26" i="61"/>
  <c r="L26" i="61"/>
  <c r="K26" i="61"/>
  <c r="J26" i="61"/>
  <c r="I26" i="61"/>
  <c r="H26" i="61"/>
  <c r="G26" i="61"/>
  <c r="F26" i="61"/>
  <c r="E26" i="61"/>
  <c r="D26" i="61"/>
  <c r="C26" i="61"/>
  <c r="N26" i="61" s="1"/>
  <c r="B26" i="61"/>
  <c r="N24" i="61"/>
  <c r="N23" i="61"/>
  <c r="N22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B21" i="61"/>
  <c r="N19" i="61"/>
  <c r="N18" i="61"/>
  <c r="N17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N13" i="61"/>
  <c r="N12" i="61"/>
  <c r="N11" i="61" s="1"/>
  <c r="M11" i="61"/>
  <c r="L11" i="61"/>
  <c r="K11" i="61"/>
  <c r="J11" i="61"/>
  <c r="I11" i="61"/>
  <c r="H11" i="61"/>
  <c r="G11" i="61"/>
  <c r="F11" i="61"/>
  <c r="E11" i="61"/>
  <c r="D11" i="61"/>
  <c r="C11" i="61"/>
  <c r="B11" i="61"/>
  <c r="N8" i="61"/>
  <c r="N7" i="61"/>
  <c r="N6" i="61" s="1"/>
  <c r="M6" i="61"/>
  <c r="L6" i="61"/>
  <c r="K6" i="61"/>
  <c r="J6" i="61"/>
  <c r="I6" i="61"/>
  <c r="H6" i="61"/>
  <c r="G6" i="61"/>
  <c r="F6" i="61"/>
  <c r="E6" i="61"/>
  <c r="D6" i="61"/>
  <c r="C6" i="61"/>
  <c r="B6" i="61"/>
  <c r="K5" i="58"/>
  <c r="J5" i="58"/>
  <c r="I5" i="58"/>
  <c r="H5" i="58"/>
  <c r="G5" i="58"/>
  <c r="F5" i="58"/>
  <c r="E5" i="58"/>
  <c r="D5" i="58"/>
  <c r="C5" i="58"/>
  <c r="B5" i="58"/>
  <c r="H23" i="52"/>
  <c r="G23" i="52"/>
  <c r="F23" i="52"/>
  <c r="E23" i="52"/>
  <c r="D23" i="52"/>
  <c r="C23" i="52"/>
  <c r="B23" i="52"/>
  <c r="C10" i="52"/>
  <c r="N58" i="61" l="1"/>
  <c r="C39" i="1" l="1"/>
  <c r="D39" i="1"/>
  <c r="E39" i="1"/>
  <c r="F39" i="1"/>
  <c r="G39" i="1"/>
  <c r="H39" i="1"/>
  <c r="I39" i="1"/>
  <c r="J39" i="1"/>
  <c r="K39" i="1"/>
  <c r="L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39" i="1"/>
  <c r="L48" i="16" l="1"/>
  <c r="K48" i="16"/>
  <c r="J48" i="16"/>
  <c r="I48" i="16"/>
  <c r="H48" i="16"/>
  <c r="G48" i="16"/>
  <c r="F48" i="16"/>
  <c r="E48" i="16"/>
  <c r="D48" i="16"/>
  <c r="C48" i="16"/>
  <c r="B48" i="16"/>
  <c r="L44" i="16"/>
  <c r="K44" i="16"/>
  <c r="K39" i="16" s="1"/>
  <c r="K38" i="16" s="1"/>
  <c r="J44" i="16"/>
  <c r="I44" i="16"/>
  <c r="I39" i="16" s="1"/>
  <c r="I38" i="16" s="1"/>
  <c r="H44" i="16"/>
  <c r="H39" i="16" s="1"/>
  <c r="G44" i="16"/>
  <c r="G39" i="16" s="1"/>
  <c r="G38" i="16" s="1"/>
  <c r="F44" i="16"/>
  <c r="F39" i="16" s="1"/>
  <c r="E44" i="16"/>
  <c r="E39" i="16" s="1"/>
  <c r="D44" i="16"/>
  <c r="C44" i="16"/>
  <c r="C39" i="16" s="1"/>
  <c r="C38" i="16" s="1"/>
  <c r="B44" i="16"/>
  <c r="B39" i="16" s="1"/>
  <c r="B38" i="16" s="1"/>
  <c r="L39" i="16"/>
  <c r="J39" i="16"/>
  <c r="D39" i="16"/>
  <c r="L33" i="16"/>
  <c r="K33" i="16"/>
  <c r="J33" i="16"/>
  <c r="I33" i="16"/>
  <c r="H33" i="16"/>
  <c r="G33" i="16"/>
  <c r="G29" i="16" s="1"/>
  <c r="F33" i="16"/>
  <c r="E33" i="16"/>
  <c r="D33" i="16"/>
  <c r="C33" i="16"/>
  <c r="B33" i="16"/>
  <c r="L30" i="16"/>
  <c r="L29" i="16" s="1"/>
  <c r="K30" i="16"/>
  <c r="K29" i="16" s="1"/>
  <c r="J30" i="16"/>
  <c r="J29" i="16" s="1"/>
  <c r="I30" i="16"/>
  <c r="H30" i="16"/>
  <c r="G30" i="16"/>
  <c r="F30" i="16"/>
  <c r="E30" i="16"/>
  <c r="D30" i="16"/>
  <c r="D29" i="16" s="1"/>
  <c r="C30" i="16"/>
  <c r="C29" i="16" s="1"/>
  <c r="B30" i="16"/>
  <c r="B29" i="16" s="1"/>
  <c r="L25" i="16"/>
  <c r="K25" i="16"/>
  <c r="J25" i="16"/>
  <c r="I25" i="16"/>
  <c r="H25" i="16"/>
  <c r="G25" i="16"/>
  <c r="F25" i="16"/>
  <c r="E25" i="16"/>
  <c r="D25" i="16"/>
  <c r="C25" i="16"/>
  <c r="B25" i="16"/>
  <c r="L19" i="16"/>
  <c r="K19" i="16"/>
  <c r="J19" i="16"/>
  <c r="J18" i="16" s="1"/>
  <c r="I19" i="16"/>
  <c r="I18" i="16" s="1"/>
  <c r="H19" i="16"/>
  <c r="G19" i="16"/>
  <c r="F19" i="16"/>
  <c r="E19" i="16"/>
  <c r="E18" i="16" s="1"/>
  <c r="D19" i="16"/>
  <c r="D18" i="16" s="1"/>
  <c r="C19" i="16"/>
  <c r="B19" i="16"/>
  <c r="B18" i="16" s="1"/>
  <c r="F18" i="16"/>
  <c r="L13" i="16"/>
  <c r="K13" i="16"/>
  <c r="J13" i="16"/>
  <c r="I13" i="16"/>
  <c r="H13" i="16"/>
  <c r="H5" i="16" s="1"/>
  <c r="G13" i="16"/>
  <c r="F13" i="16"/>
  <c r="E13" i="16"/>
  <c r="D13" i="16"/>
  <c r="C13" i="16"/>
  <c r="B13" i="16"/>
  <c r="L6" i="16"/>
  <c r="K6" i="16"/>
  <c r="J6" i="16"/>
  <c r="I6" i="16"/>
  <c r="H6" i="16"/>
  <c r="G6" i="16"/>
  <c r="F6" i="16"/>
  <c r="E6" i="16"/>
  <c r="E5" i="16" s="1"/>
  <c r="D6" i="16"/>
  <c r="C6" i="16"/>
  <c r="B6" i="16"/>
  <c r="J38" i="16" l="1"/>
  <c r="D38" i="16"/>
  <c r="I5" i="16"/>
  <c r="E29" i="16"/>
  <c r="H38" i="16"/>
  <c r="J5" i="16"/>
  <c r="B5" i="16"/>
  <c r="F38" i="16"/>
  <c r="F5" i="16"/>
  <c r="F37" i="16" s="1"/>
  <c r="G5" i="16"/>
  <c r="H29" i="16"/>
  <c r="L18" i="16"/>
  <c r="D17" i="16"/>
  <c r="D36" i="16" s="1"/>
  <c r="L17" i="16"/>
  <c r="L36" i="16" s="1"/>
  <c r="E17" i="16"/>
  <c r="E36" i="16" s="1"/>
  <c r="L38" i="16"/>
  <c r="E38" i="16"/>
  <c r="C5" i="16"/>
  <c r="L5" i="16"/>
  <c r="L37" i="16" s="1"/>
  <c r="G18" i="16"/>
  <c r="C18" i="16"/>
  <c r="C17" i="16" s="1"/>
  <c r="C36" i="16" s="1"/>
  <c r="K18" i="16"/>
  <c r="K17" i="16" s="1"/>
  <c r="K36" i="16" s="1"/>
  <c r="H18" i="16"/>
  <c r="H17" i="16" s="1"/>
  <c r="H37" i="16" s="1"/>
  <c r="K5" i="16"/>
  <c r="D5" i="16"/>
  <c r="I29" i="16"/>
  <c r="I17" i="16" s="1"/>
  <c r="I37" i="16" s="1"/>
  <c r="F29" i="16"/>
  <c r="F17" i="16" s="1"/>
  <c r="F36" i="16" s="1"/>
  <c r="B17" i="16"/>
  <c r="B36" i="16" s="1"/>
  <c r="J17" i="16"/>
  <c r="J36" i="16" s="1"/>
  <c r="G17" i="16"/>
  <c r="G37" i="16" s="1"/>
  <c r="E37" i="16" l="1"/>
  <c r="D37" i="16"/>
  <c r="I36" i="16"/>
  <c r="H36" i="16"/>
  <c r="G36" i="16"/>
  <c r="B37" i="16"/>
  <c r="K37" i="16"/>
  <c r="C37" i="16"/>
  <c r="J37" i="16"/>
  <c r="F19" i="35" l="1"/>
  <c r="E19" i="35"/>
  <c r="D19" i="35"/>
  <c r="C19" i="35"/>
  <c r="B19" i="35"/>
  <c r="Q33" i="33" l="1"/>
  <c r="P33" i="33"/>
  <c r="O33" i="33"/>
  <c r="Q32" i="33"/>
  <c r="P32" i="33"/>
  <c r="O32" i="33"/>
  <c r="Q41" i="34"/>
  <c r="P41" i="34"/>
  <c r="O41" i="34"/>
  <c r="N41" i="34"/>
  <c r="P19" i="34"/>
  <c r="O19" i="34"/>
  <c r="N19" i="34"/>
  <c r="U41" i="34" l="1"/>
  <c r="T41" i="34"/>
  <c r="S41" i="34"/>
  <c r="R41" i="34"/>
  <c r="L41" i="34"/>
  <c r="K41" i="34"/>
  <c r="J41" i="34"/>
  <c r="I41" i="34"/>
  <c r="H41" i="34"/>
  <c r="G41" i="34"/>
  <c r="F41" i="34"/>
  <c r="E41" i="34"/>
  <c r="D41" i="34"/>
  <c r="C41" i="34"/>
  <c r="B41" i="34"/>
  <c r="U19" i="34"/>
  <c r="T19" i="34"/>
  <c r="S19" i="34"/>
  <c r="R19" i="34"/>
  <c r="Q19" i="34"/>
  <c r="L19" i="34"/>
  <c r="K19" i="34"/>
  <c r="J19" i="34"/>
  <c r="I19" i="34"/>
  <c r="H19" i="34"/>
  <c r="G19" i="34"/>
  <c r="F19" i="34"/>
  <c r="E19" i="34"/>
  <c r="D19" i="34"/>
  <c r="C19" i="34"/>
  <c r="B19" i="34"/>
  <c r="V33" i="33"/>
  <c r="U33" i="33"/>
  <c r="T33" i="33"/>
  <c r="S33" i="33"/>
  <c r="R33" i="33"/>
  <c r="V32" i="33"/>
  <c r="U32" i="33"/>
  <c r="T32" i="33"/>
  <c r="S32" i="33"/>
  <c r="R32" i="33"/>
  <c r="M33" i="33"/>
  <c r="L33" i="33"/>
  <c r="K33" i="33"/>
  <c r="J33" i="33"/>
  <c r="I33" i="33"/>
  <c r="H33" i="33"/>
  <c r="G33" i="33"/>
  <c r="F33" i="33"/>
  <c r="E33" i="33"/>
  <c r="D33" i="33"/>
  <c r="C33" i="33"/>
  <c r="M32" i="33"/>
  <c r="L32" i="33"/>
  <c r="K32" i="33"/>
  <c r="J32" i="33"/>
  <c r="I32" i="33"/>
  <c r="H32" i="33"/>
  <c r="G32" i="33"/>
  <c r="F32" i="33"/>
  <c r="E32" i="33"/>
  <c r="D32" i="33"/>
  <c r="C32" i="33"/>
  <c r="N161" i="32"/>
  <c r="N160" i="32"/>
  <c r="N159" i="32"/>
  <c r="N158" i="32"/>
  <c r="N157" i="32"/>
  <c r="N156" i="32"/>
  <c r="N155" i="32"/>
  <c r="N154" i="32"/>
  <c r="M153" i="32"/>
  <c r="L153" i="32"/>
  <c r="K153" i="32"/>
  <c r="J153" i="32"/>
  <c r="I153" i="32"/>
  <c r="H153" i="32"/>
  <c r="G153" i="32"/>
  <c r="F153" i="32"/>
  <c r="E153" i="32"/>
  <c r="D153" i="32"/>
  <c r="C153" i="32"/>
  <c r="B153" i="32"/>
  <c r="N152" i="32"/>
  <c r="N151" i="32"/>
  <c r="N150" i="32"/>
  <c r="N149" i="32"/>
  <c r="M148" i="32"/>
  <c r="M144" i="32" s="1"/>
  <c r="L148" i="32"/>
  <c r="L144" i="32" s="1"/>
  <c r="K148" i="32"/>
  <c r="K144" i="32" s="1"/>
  <c r="J148" i="32"/>
  <c r="J144" i="32" s="1"/>
  <c r="I148" i="32"/>
  <c r="H148" i="32"/>
  <c r="H144" i="32" s="1"/>
  <c r="G148" i="32"/>
  <c r="G144" i="32" s="1"/>
  <c r="F148" i="32"/>
  <c r="F144" i="32" s="1"/>
  <c r="E148" i="32"/>
  <c r="D148" i="32"/>
  <c r="D144" i="32" s="1"/>
  <c r="C148" i="32"/>
  <c r="B148" i="32"/>
  <c r="B144" i="32" s="1"/>
  <c r="N147" i="32"/>
  <c r="N146" i="32"/>
  <c r="N145" i="32"/>
  <c r="I144" i="32"/>
  <c r="E144" i="32"/>
  <c r="C144" i="32"/>
  <c r="N143" i="32"/>
  <c r="N142" i="32"/>
  <c r="N141" i="32"/>
  <c r="N140" i="32"/>
  <c r="N139" i="32"/>
  <c r="N138" i="32"/>
  <c r="N137" i="32"/>
  <c r="N136" i="32"/>
  <c r="M135" i="32"/>
  <c r="L135" i="32"/>
  <c r="K135" i="32"/>
  <c r="J135" i="32"/>
  <c r="I135" i="32"/>
  <c r="H135" i="32"/>
  <c r="G135" i="32"/>
  <c r="F135" i="32"/>
  <c r="E135" i="32"/>
  <c r="D135" i="32"/>
  <c r="C135" i="32"/>
  <c r="B135" i="32"/>
  <c r="N134" i="32"/>
  <c r="N133" i="32"/>
  <c r="N132" i="32"/>
  <c r="N131" i="32"/>
  <c r="N130" i="32"/>
  <c r="N129" i="32"/>
  <c r="N128" i="32"/>
  <c r="N127" i="32"/>
  <c r="M126" i="32"/>
  <c r="L126" i="32"/>
  <c r="K126" i="32"/>
  <c r="J126" i="32"/>
  <c r="I126" i="32"/>
  <c r="H126" i="32"/>
  <c r="G126" i="32"/>
  <c r="F126" i="32"/>
  <c r="E126" i="32"/>
  <c r="D126" i="32"/>
  <c r="C126" i="32"/>
  <c r="B126" i="32"/>
  <c r="N125" i="32"/>
  <c r="N124" i="32"/>
  <c r="N123" i="32"/>
  <c r="N122" i="32"/>
  <c r="N121" i="32"/>
  <c r="N120" i="32"/>
  <c r="N119" i="32"/>
  <c r="N118" i="32"/>
  <c r="M117" i="32"/>
  <c r="L117" i="32"/>
  <c r="K117" i="32"/>
  <c r="J117" i="32"/>
  <c r="I117" i="32"/>
  <c r="H117" i="32"/>
  <c r="G117" i="32"/>
  <c r="F117" i="32"/>
  <c r="E117" i="32"/>
  <c r="D117" i="32"/>
  <c r="C117" i="32"/>
  <c r="B117" i="32"/>
  <c r="N116" i="32"/>
  <c r="N115" i="32"/>
  <c r="N114" i="32"/>
  <c r="N113" i="32"/>
  <c r="N112" i="32"/>
  <c r="N111" i="32"/>
  <c r="M110" i="32"/>
  <c r="M109" i="32" s="1"/>
  <c r="L110" i="32"/>
  <c r="L109" i="32" s="1"/>
  <c r="K110" i="32"/>
  <c r="K109" i="32" s="1"/>
  <c r="J110" i="32"/>
  <c r="J109" i="32" s="1"/>
  <c r="I110" i="32"/>
  <c r="I109" i="32" s="1"/>
  <c r="H110" i="32"/>
  <c r="H109" i="32" s="1"/>
  <c r="G110" i="32"/>
  <c r="G109" i="32" s="1"/>
  <c r="F110" i="32"/>
  <c r="F109" i="32" s="1"/>
  <c r="E110" i="32"/>
  <c r="E109" i="32" s="1"/>
  <c r="D110" i="32"/>
  <c r="D109" i="32" s="1"/>
  <c r="C110" i="32"/>
  <c r="C109" i="32" s="1"/>
  <c r="B110" i="32"/>
  <c r="N108" i="32"/>
  <c r="N107" i="32"/>
  <c r="N106" i="32"/>
  <c r="N105" i="32"/>
  <c r="N104" i="32"/>
  <c r="N103" i="32"/>
  <c r="M102" i="32"/>
  <c r="M101" i="32" s="1"/>
  <c r="L102" i="32"/>
  <c r="L101" i="32" s="1"/>
  <c r="K102" i="32"/>
  <c r="K101" i="32" s="1"/>
  <c r="J102" i="32"/>
  <c r="J101" i="32" s="1"/>
  <c r="I102" i="32"/>
  <c r="H102" i="32"/>
  <c r="G102" i="32"/>
  <c r="F102" i="32"/>
  <c r="F101" i="32" s="1"/>
  <c r="E102" i="32"/>
  <c r="E101" i="32" s="1"/>
  <c r="D102" i="32"/>
  <c r="D101" i="32" s="1"/>
  <c r="C102" i="32"/>
  <c r="C101" i="32" s="1"/>
  <c r="B102" i="32"/>
  <c r="I101" i="32"/>
  <c r="H101" i="32"/>
  <c r="G101" i="32"/>
  <c r="N100" i="32"/>
  <c r="N99" i="32"/>
  <c r="N98" i="32"/>
  <c r="N97" i="32"/>
  <c r="N96" i="32"/>
  <c r="N95" i="32"/>
  <c r="M94" i="32"/>
  <c r="M93" i="32" s="1"/>
  <c r="L94" i="32"/>
  <c r="L93" i="32" s="1"/>
  <c r="K94" i="32"/>
  <c r="K93" i="32" s="1"/>
  <c r="J94" i="32"/>
  <c r="J93" i="32" s="1"/>
  <c r="I94" i="32"/>
  <c r="H94" i="32"/>
  <c r="G94" i="32"/>
  <c r="F94" i="32"/>
  <c r="E94" i="32"/>
  <c r="E93" i="32" s="1"/>
  <c r="D94" i="32"/>
  <c r="D93" i="32" s="1"/>
  <c r="C94" i="32"/>
  <c r="C93" i="32" s="1"/>
  <c r="B94" i="32"/>
  <c r="I93" i="32"/>
  <c r="H93" i="32"/>
  <c r="G93" i="32"/>
  <c r="F93" i="32"/>
  <c r="N92" i="32"/>
  <c r="N91" i="32"/>
  <c r="N90" i="32"/>
  <c r="N89" i="32"/>
  <c r="N88" i="32"/>
  <c r="N87" i="32"/>
  <c r="M86" i="32"/>
  <c r="M85" i="32" s="1"/>
  <c r="L86" i="32"/>
  <c r="L85" i="32" s="1"/>
  <c r="K86" i="32"/>
  <c r="K85" i="32" s="1"/>
  <c r="J86" i="32"/>
  <c r="J85" i="32" s="1"/>
  <c r="I86" i="32"/>
  <c r="I85" i="32" s="1"/>
  <c r="H86" i="32"/>
  <c r="H85" i="32" s="1"/>
  <c r="G86" i="32"/>
  <c r="G85" i="32" s="1"/>
  <c r="F86" i="32"/>
  <c r="F85" i="32" s="1"/>
  <c r="E86" i="32"/>
  <c r="E85" i="32" s="1"/>
  <c r="D86" i="32"/>
  <c r="D85" i="32" s="1"/>
  <c r="C86" i="32"/>
  <c r="B86" i="32"/>
  <c r="B85" i="32" s="1"/>
  <c r="N84" i="32"/>
  <c r="N83" i="32"/>
  <c r="N82" i="32"/>
  <c r="N81" i="32"/>
  <c r="N80" i="32"/>
  <c r="N79" i="32"/>
  <c r="N78" i="32"/>
  <c r="M77" i="32"/>
  <c r="L77" i="32"/>
  <c r="K77" i="32"/>
  <c r="J77" i="32"/>
  <c r="I77" i="32"/>
  <c r="H77" i="32"/>
  <c r="G77" i="32"/>
  <c r="F77" i="32"/>
  <c r="E77" i="32"/>
  <c r="D77" i="32"/>
  <c r="C77" i="32"/>
  <c r="B77" i="32"/>
  <c r="N76" i="32"/>
  <c r="N75" i="32"/>
  <c r="N74" i="32"/>
  <c r="N73" i="32"/>
  <c r="N72" i="32"/>
  <c r="N71" i="32"/>
  <c r="N70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N68" i="32"/>
  <c r="N67" i="32"/>
  <c r="N66" i="32"/>
  <c r="N65" i="32"/>
  <c r="N64" i="32"/>
  <c r="N63" i="32"/>
  <c r="N62" i="32"/>
  <c r="M61" i="32"/>
  <c r="L61" i="32"/>
  <c r="K61" i="32"/>
  <c r="J61" i="32"/>
  <c r="I61" i="32"/>
  <c r="H61" i="32"/>
  <c r="G61" i="32"/>
  <c r="F61" i="32"/>
  <c r="E61" i="32"/>
  <c r="D61" i="32"/>
  <c r="C61" i="32"/>
  <c r="B61" i="32"/>
  <c r="N60" i="32"/>
  <c r="N59" i="32"/>
  <c r="N58" i="32"/>
  <c r="M57" i="32"/>
  <c r="M53" i="32" s="1"/>
  <c r="L57" i="32"/>
  <c r="L53" i="32" s="1"/>
  <c r="K57" i="32"/>
  <c r="J57" i="32"/>
  <c r="J53" i="32" s="1"/>
  <c r="I57" i="32"/>
  <c r="I53" i="32" s="1"/>
  <c r="H57" i="32"/>
  <c r="H53" i="32" s="1"/>
  <c r="G57" i="32"/>
  <c r="G53" i="32" s="1"/>
  <c r="F57" i="32"/>
  <c r="F53" i="32" s="1"/>
  <c r="E57" i="32"/>
  <c r="E53" i="32" s="1"/>
  <c r="D57" i="32"/>
  <c r="D53" i="32" s="1"/>
  <c r="C57" i="32"/>
  <c r="B57" i="32"/>
  <c r="N56" i="32"/>
  <c r="N55" i="32"/>
  <c r="N54" i="32"/>
  <c r="K53" i="32"/>
  <c r="C53" i="32"/>
  <c r="N52" i="32"/>
  <c r="N51" i="32"/>
  <c r="N50" i="32"/>
  <c r="M49" i="32"/>
  <c r="M45" i="32" s="1"/>
  <c r="L49" i="32"/>
  <c r="L45" i="32" s="1"/>
  <c r="K49" i="32"/>
  <c r="J49" i="32"/>
  <c r="I49" i="32"/>
  <c r="I45" i="32" s="1"/>
  <c r="H49" i="32"/>
  <c r="H45" i="32" s="1"/>
  <c r="G49" i="32"/>
  <c r="G45" i="32" s="1"/>
  <c r="F49" i="32"/>
  <c r="F45" i="32" s="1"/>
  <c r="E49" i="32"/>
  <c r="E45" i="32" s="1"/>
  <c r="D49" i="32"/>
  <c r="D45" i="32" s="1"/>
  <c r="C49" i="32"/>
  <c r="C45" i="32" s="1"/>
  <c r="B49" i="32"/>
  <c r="N48" i="32"/>
  <c r="N47" i="32"/>
  <c r="N46" i="32"/>
  <c r="K45" i="32"/>
  <c r="J45" i="32"/>
  <c r="B45" i="32"/>
  <c r="N44" i="32"/>
  <c r="N43" i="32"/>
  <c r="N42" i="32"/>
  <c r="M41" i="32"/>
  <c r="M37" i="32" s="1"/>
  <c r="L41" i="32"/>
  <c r="L37" i="32" s="1"/>
  <c r="K41" i="32"/>
  <c r="J41" i="32"/>
  <c r="J37" i="32" s="1"/>
  <c r="I41" i="32"/>
  <c r="I37" i="32" s="1"/>
  <c r="H41" i="32"/>
  <c r="H37" i="32" s="1"/>
  <c r="G41" i="32"/>
  <c r="F41" i="32"/>
  <c r="F37" i="32" s="1"/>
  <c r="E41" i="32"/>
  <c r="E37" i="32" s="1"/>
  <c r="D41" i="32"/>
  <c r="D37" i="32" s="1"/>
  <c r="C41" i="32"/>
  <c r="B41" i="32"/>
  <c r="N40" i="32"/>
  <c r="N39" i="32"/>
  <c r="N38" i="32"/>
  <c r="K37" i="32"/>
  <c r="G37" i="32"/>
  <c r="C37" i="32"/>
  <c r="B37" i="32"/>
  <c r="N36" i="32"/>
  <c r="N35" i="32"/>
  <c r="N34" i="32"/>
  <c r="M33" i="32"/>
  <c r="M29" i="32" s="1"/>
  <c r="L33" i="32"/>
  <c r="L29" i="32" s="1"/>
  <c r="K33" i="32"/>
  <c r="J33" i="32"/>
  <c r="J29" i="32" s="1"/>
  <c r="I33" i="32"/>
  <c r="I29" i="32" s="1"/>
  <c r="H33" i="32"/>
  <c r="H29" i="32" s="1"/>
  <c r="G33" i="32"/>
  <c r="G29" i="32" s="1"/>
  <c r="F33" i="32"/>
  <c r="F29" i="32" s="1"/>
  <c r="E33" i="32"/>
  <c r="E29" i="32" s="1"/>
  <c r="D33" i="32"/>
  <c r="C33" i="32"/>
  <c r="B33" i="32"/>
  <c r="N32" i="32"/>
  <c r="N31" i="32"/>
  <c r="N30" i="32"/>
  <c r="K29" i="32"/>
  <c r="D29" i="32"/>
  <c r="C29" i="32"/>
  <c r="N28" i="32"/>
  <c r="N27" i="32"/>
  <c r="N26" i="32"/>
  <c r="M25" i="32"/>
  <c r="M21" i="32" s="1"/>
  <c r="L25" i="32"/>
  <c r="L21" i="32" s="1"/>
  <c r="K25" i="32"/>
  <c r="K21" i="32" s="1"/>
  <c r="J25" i="32"/>
  <c r="J21" i="32" s="1"/>
  <c r="I25" i="32"/>
  <c r="I21" i="32" s="1"/>
  <c r="H25" i="32"/>
  <c r="H21" i="32" s="1"/>
  <c r="G25" i="32"/>
  <c r="G21" i="32" s="1"/>
  <c r="F25" i="32"/>
  <c r="F21" i="32" s="1"/>
  <c r="E25" i="32"/>
  <c r="E21" i="32" s="1"/>
  <c r="D25" i="32"/>
  <c r="D21" i="32" s="1"/>
  <c r="C25" i="32"/>
  <c r="C21" i="32" s="1"/>
  <c r="B25" i="32"/>
  <c r="B21" i="32" s="1"/>
  <c r="N24" i="32"/>
  <c r="N23" i="32"/>
  <c r="N22" i="32"/>
  <c r="N20" i="32"/>
  <c r="N19" i="32"/>
  <c r="N18" i="32"/>
  <c r="M17" i="32"/>
  <c r="M13" i="32" s="1"/>
  <c r="L17" i="32"/>
  <c r="L13" i="32" s="1"/>
  <c r="K17" i="32"/>
  <c r="K13" i="32" s="1"/>
  <c r="J17" i="32"/>
  <c r="J13" i="32" s="1"/>
  <c r="I17" i="32"/>
  <c r="I13" i="32" s="1"/>
  <c r="H17" i="32"/>
  <c r="H13" i="32" s="1"/>
  <c r="G17" i="32"/>
  <c r="G13" i="32" s="1"/>
  <c r="F17" i="32"/>
  <c r="F13" i="32" s="1"/>
  <c r="E17" i="32"/>
  <c r="E13" i="32" s="1"/>
  <c r="D17" i="32"/>
  <c r="C17" i="32"/>
  <c r="C13" i="32" s="1"/>
  <c r="B17" i="32"/>
  <c r="B13" i="32" s="1"/>
  <c r="N16" i="32"/>
  <c r="N15" i="32"/>
  <c r="N14" i="32"/>
  <c r="D13" i="32"/>
  <c r="N12" i="32"/>
  <c r="N11" i="32"/>
  <c r="N10" i="32"/>
  <c r="M9" i="32"/>
  <c r="M5" i="32" s="1"/>
  <c r="L9" i="32"/>
  <c r="L5" i="32" s="1"/>
  <c r="K9" i="32"/>
  <c r="K5" i="32" s="1"/>
  <c r="J9" i="32"/>
  <c r="J5" i="32" s="1"/>
  <c r="I9" i="32"/>
  <c r="I5" i="32" s="1"/>
  <c r="H9" i="32"/>
  <c r="H5" i="32" s="1"/>
  <c r="G9" i="32"/>
  <c r="F9" i="32"/>
  <c r="F5" i="32" s="1"/>
  <c r="E9" i="32"/>
  <c r="E5" i="32" s="1"/>
  <c r="D9" i="32"/>
  <c r="D5" i="32" s="1"/>
  <c r="C9" i="32"/>
  <c r="C5" i="32" s="1"/>
  <c r="B9" i="32"/>
  <c r="N8" i="32"/>
  <c r="N7" i="32"/>
  <c r="N6" i="32"/>
  <c r="G5" i="32"/>
  <c r="B5" i="32"/>
  <c r="N161" i="31"/>
  <c r="N160" i="31"/>
  <c r="N159" i="31"/>
  <c r="N158" i="31"/>
  <c r="N157" i="31"/>
  <c r="N156" i="31"/>
  <c r="N155" i="31"/>
  <c r="N154" i="31"/>
  <c r="M153" i="31"/>
  <c r="L153" i="31"/>
  <c r="K153" i="31"/>
  <c r="J153" i="31"/>
  <c r="I153" i="31"/>
  <c r="H153" i="31"/>
  <c r="G153" i="31"/>
  <c r="F153" i="31"/>
  <c r="E153" i="31"/>
  <c r="D153" i="31"/>
  <c r="C153" i="31"/>
  <c r="B153" i="31"/>
  <c r="N152" i="31"/>
  <c r="N151" i="31"/>
  <c r="N150" i="31"/>
  <c r="N149" i="31"/>
  <c r="M148" i="31"/>
  <c r="L148" i="31"/>
  <c r="L144" i="31" s="1"/>
  <c r="K148" i="31"/>
  <c r="K144" i="31" s="1"/>
  <c r="J148" i="31"/>
  <c r="J144" i="31" s="1"/>
  <c r="I148" i="31"/>
  <c r="H148" i="31"/>
  <c r="G148" i="31"/>
  <c r="G144" i="31" s="1"/>
  <c r="F148" i="31"/>
  <c r="F144" i="31" s="1"/>
  <c r="E148" i="31"/>
  <c r="D148" i="31"/>
  <c r="C148" i="31"/>
  <c r="C144" i="31" s="1"/>
  <c r="B148" i="31"/>
  <c r="B144" i="31" s="1"/>
  <c r="N147" i="31"/>
  <c r="N146" i="31"/>
  <c r="N145" i="31"/>
  <c r="M144" i="31"/>
  <c r="I144" i="31"/>
  <c r="H144" i="31"/>
  <c r="E144" i="31"/>
  <c r="N143" i="31"/>
  <c r="N142" i="31"/>
  <c r="N141" i="31"/>
  <c r="N140" i="31"/>
  <c r="N139" i="31"/>
  <c r="N138" i="31"/>
  <c r="N137" i="31"/>
  <c r="N136" i="31"/>
  <c r="M135" i="31"/>
  <c r="L135" i="31"/>
  <c r="K135" i="31"/>
  <c r="J135" i="31"/>
  <c r="I135" i="31"/>
  <c r="H135" i="31"/>
  <c r="G135" i="31"/>
  <c r="F135" i="31"/>
  <c r="E135" i="31"/>
  <c r="D135" i="31"/>
  <c r="C135" i="31"/>
  <c r="B135" i="31"/>
  <c r="N134" i="31"/>
  <c r="N133" i="31"/>
  <c r="N132" i="31"/>
  <c r="N131" i="31"/>
  <c r="N130" i="31"/>
  <c r="N129" i="31"/>
  <c r="N128" i="31"/>
  <c r="N127" i="31"/>
  <c r="M126" i="31"/>
  <c r="L126" i="31"/>
  <c r="K126" i="31"/>
  <c r="J126" i="31"/>
  <c r="I126" i="31"/>
  <c r="H126" i="31"/>
  <c r="G126" i="31"/>
  <c r="F126" i="31"/>
  <c r="E126" i="31"/>
  <c r="D126" i="31"/>
  <c r="C126" i="31"/>
  <c r="B126" i="31"/>
  <c r="N125" i="31"/>
  <c r="N124" i="31"/>
  <c r="N123" i="31"/>
  <c r="N122" i="31"/>
  <c r="N121" i="31"/>
  <c r="N120" i="31"/>
  <c r="N119" i="31"/>
  <c r="N118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N116" i="31"/>
  <c r="N115" i="31"/>
  <c r="N114" i="31"/>
  <c r="N113" i="31"/>
  <c r="N112" i="31"/>
  <c r="N111" i="31"/>
  <c r="M110" i="31"/>
  <c r="L110" i="31"/>
  <c r="L109" i="31" s="1"/>
  <c r="K110" i="31"/>
  <c r="K109" i="31" s="1"/>
  <c r="J110" i="31"/>
  <c r="J109" i="31" s="1"/>
  <c r="I110" i="31"/>
  <c r="I109" i="31" s="1"/>
  <c r="H110" i="31"/>
  <c r="H109" i="31" s="1"/>
  <c r="G110" i="31"/>
  <c r="F110" i="31"/>
  <c r="F109" i="31" s="1"/>
  <c r="E110" i="31"/>
  <c r="D110" i="31"/>
  <c r="D109" i="31" s="1"/>
  <c r="C110" i="31"/>
  <c r="C109" i="31" s="1"/>
  <c r="B110" i="31"/>
  <c r="M109" i="31"/>
  <c r="G109" i="31"/>
  <c r="E109" i="31"/>
  <c r="N108" i="31"/>
  <c r="N107" i="31"/>
  <c r="N106" i="31"/>
  <c r="N105" i="31"/>
  <c r="N104" i="31"/>
  <c r="N103" i="31"/>
  <c r="M102" i="31"/>
  <c r="L102" i="31"/>
  <c r="L101" i="31" s="1"/>
  <c r="K102" i="31"/>
  <c r="K101" i="31" s="1"/>
  <c r="J102" i="31"/>
  <c r="J101" i="31" s="1"/>
  <c r="I102" i="31"/>
  <c r="I101" i="31" s="1"/>
  <c r="H102" i="31"/>
  <c r="H101" i="31" s="1"/>
  <c r="G102" i="31"/>
  <c r="G101" i="31" s="1"/>
  <c r="F102" i="31"/>
  <c r="F101" i="31" s="1"/>
  <c r="E102" i="31"/>
  <c r="D102" i="31"/>
  <c r="D101" i="31" s="1"/>
  <c r="C102" i="31"/>
  <c r="C101" i="31" s="1"/>
  <c r="B102" i="31"/>
  <c r="M101" i="31"/>
  <c r="E101" i="31"/>
  <c r="N100" i="31"/>
  <c r="N99" i="31"/>
  <c r="N98" i="31"/>
  <c r="N97" i="31"/>
  <c r="N96" i="31"/>
  <c r="N95" i="31"/>
  <c r="M94" i="31"/>
  <c r="L94" i="31"/>
  <c r="L93" i="31" s="1"/>
  <c r="K94" i="31"/>
  <c r="K93" i="31" s="1"/>
  <c r="J94" i="31"/>
  <c r="J93" i="31" s="1"/>
  <c r="I94" i="31"/>
  <c r="I93" i="31" s="1"/>
  <c r="H94" i="31"/>
  <c r="H93" i="31" s="1"/>
  <c r="G94" i="31"/>
  <c r="F94" i="31"/>
  <c r="F93" i="31" s="1"/>
  <c r="E94" i="31"/>
  <c r="D94" i="31"/>
  <c r="D93" i="31" s="1"/>
  <c r="C94" i="31"/>
  <c r="C93" i="31" s="1"/>
  <c r="B94" i="31"/>
  <c r="M93" i="31"/>
  <c r="G93" i="31"/>
  <c r="E93" i="31"/>
  <c r="N92" i="31"/>
  <c r="N91" i="31"/>
  <c r="N90" i="31"/>
  <c r="N89" i="31"/>
  <c r="N88" i="31"/>
  <c r="N87" i="31"/>
  <c r="N86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N84" i="31"/>
  <c r="N83" i="31"/>
  <c r="N82" i="31"/>
  <c r="N81" i="31"/>
  <c r="N80" i="31"/>
  <c r="N79" i="31"/>
  <c r="N78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N76" i="31"/>
  <c r="N75" i="31"/>
  <c r="N74" i="31"/>
  <c r="N73" i="31"/>
  <c r="N72" i="31"/>
  <c r="N71" i="31"/>
  <c r="N70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N68" i="31"/>
  <c r="N67" i="31"/>
  <c r="N66" i="31"/>
  <c r="N65" i="31"/>
  <c r="N64" i="31"/>
  <c r="N63" i="31"/>
  <c r="N62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N60" i="31"/>
  <c r="N59" i="31"/>
  <c r="N58" i="31"/>
  <c r="M57" i="31"/>
  <c r="L57" i="31"/>
  <c r="L53" i="31" s="1"/>
  <c r="K57" i="31"/>
  <c r="K53" i="31" s="1"/>
  <c r="J57" i="31"/>
  <c r="J53" i="31" s="1"/>
  <c r="I57" i="31"/>
  <c r="H57" i="31"/>
  <c r="H53" i="31" s="1"/>
  <c r="G57" i="31"/>
  <c r="G53" i="31" s="1"/>
  <c r="F57" i="31"/>
  <c r="E57" i="31"/>
  <c r="D57" i="31"/>
  <c r="D53" i="31" s="1"/>
  <c r="C57" i="31"/>
  <c r="C53" i="31" s="1"/>
  <c r="B57" i="31"/>
  <c r="N56" i="31"/>
  <c r="N55" i="31"/>
  <c r="N54" i="31"/>
  <c r="M53" i="31"/>
  <c r="I53" i="31"/>
  <c r="F53" i="31"/>
  <c r="E53" i="31"/>
  <c r="N52" i="31"/>
  <c r="N51" i="31"/>
  <c r="N50" i="31"/>
  <c r="M49" i="31"/>
  <c r="M45" i="31" s="1"/>
  <c r="L49" i="31"/>
  <c r="L45" i="31" s="1"/>
  <c r="K49" i="31"/>
  <c r="K45" i="31" s="1"/>
  <c r="J49" i="31"/>
  <c r="J45" i="31" s="1"/>
  <c r="I49" i="31"/>
  <c r="H49" i="31"/>
  <c r="H45" i="31" s="1"/>
  <c r="G49" i="31"/>
  <c r="G45" i="31" s="1"/>
  <c r="F49" i="31"/>
  <c r="F45" i="31" s="1"/>
  <c r="E49" i="31"/>
  <c r="D49" i="31"/>
  <c r="D45" i="31" s="1"/>
  <c r="C49" i="31"/>
  <c r="C45" i="31" s="1"/>
  <c r="B49" i="31"/>
  <c r="N48" i="31"/>
  <c r="N47" i="31"/>
  <c r="N46" i="31"/>
  <c r="I45" i="31"/>
  <c r="E45" i="31"/>
  <c r="N44" i="31"/>
  <c r="N43" i="31"/>
  <c r="N42" i="31"/>
  <c r="M41" i="31"/>
  <c r="L41" i="31"/>
  <c r="L37" i="31" s="1"/>
  <c r="K41" i="31"/>
  <c r="K37" i="31" s="1"/>
  <c r="J41" i="31"/>
  <c r="J37" i="31" s="1"/>
  <c r="I41" i="31"/>
  <c r="I37" i="31" s="1"/>
  <c r="H41" i="31"/>
  <c r="H37" i="31" s="1"/>
  <c r="G41" i="31"/>
  <c r="G37" i="31" s="1"/>
  <c r="F41" i="31"/>
  <c r="E41" i="31"/>
  <c r="D41" i="31"/>
  <c r="D37" i="31" s="1"/>
  <c r="C41" i="31"/>
  <c r="C37" i="31" s="1"/>
  <c r="B41" i="31"/>
  <c r="N40" i="31"/>
  <c r="N39" i="31"/>
  <c r="N38" i="31"/>
  <c r="M37" i="31"/>
  <c r="F37" i="31"/>
  <c r="E37" i="31"/>
  <c r="B37" i="31"/>
  <c r="N36" i="31"/>
  <c r="N35" i="31"/>
  <c r="N34" i="31"/>
  <c r="M33" i="31"/>
  <c r="M29" i="31" s="1"/>
  <c r="L33" i="31"/>
  <c r="K33" i="31"/>
  <c r="J33" i="31"/>
  <c r="J29" i="31" s="1"/>
  <c r="I33" i="31"/>
  <c r="I29" i="31" s="1"/>
  <c r="H33" i="31"/>
  <c r="H29" i="31" s="1"/>
  <c r="G33" i="31"/>
  <c r="G29" i="31" s="1"/>
  <c r="F33" i="31"/>
  <c r="F29" i="31" s="1"/>
  <c r="E33" i="31"/>
  <c r="E29" i="31" s="1"/>
  <c r="D33" i="31"/>
  <c r="C33" i="31"/>
  <c r="C29" i="31" s="1"/>
  <c r="B33" i="31"/>
  <c r="N32" i="31"/>
  <c r="N31" i="31"/>
  <c r="N30" i="31"/>
  <c r="L29" i="31"/>
  <c r="K29" i="31"/>
  <c r="D29" i="31"/>
  <c r="B29" i="31"/>
  <c r="N28" i="31"/>
  <c r="N27" i="31"/>
  <c r="N26" i="31"/>
  <c r="M25" i="31"/>
  <c r="L25" i="31"/>
  <c r="L21" i="31" s="1"/>
  <c r="K25" i="31"/>
  <c r="K21" i="31" s="1"/>
  <c r="J25" i="31"/>
  <c r="I25" i="31"/>
  <c r="I21" i="31" s="1"/>
  <c r="H25" i="31"/>
  <c r="H21" i="31" s="1"/>
  <c r="G25" i="31"/>
  <c r="G21" i="31" s="1"/>
  <c r="F25" i="31"/>
  <c r="F21" i="31" s="1"/>
  <c r="E25" i="31"/>
  <c r="E21" i="31" s="1"/>
  <c r="D25" i="31"/>
  <c r="D21" i="31" s="1"/>
  <c r="C25" i="31"/>
  <c r="C21" i="31" s="1"/>
  <c r="B25" i="31"/>
  <c r="N24" i="31"/>
  <c r="N23" i="31"/>
  <c r="N22" i="31"/>
  <c r="M21" i="31"/>
  <c r="J21" i="31"/>
  <c r="B21" i="31"/>
  <c r="N20" i="31"/>
  <c r="N19" i="31"/>
  <c r="N18" i="31"/>
  <c r="M17" i="31"/>
  <c r="M13" i="31" s="1"/>
  <c r="L17" i="31"/>
  <c r="L13" i="31" s="1"/>
  <c r="K17" i="31"/>
  <c r="J17" i="31"/>
  <c r="I17" i="31"/>
  <c r="I13" i="31" s="1"/>
  <c r="H17" i="31"/>
  <c r="H13" i="31" s="1"/>
  <c r="G17" i="31"/>
  <c r="G13" i="31" s="1"/>
  <c r="F17" i="31"/>
  <c r="F13" i="31" s="1"/>
  <c r="E17" i="31"/>
  <c r="E13" i="31" s="1"/>
  <c r="D17" i="31"/>
  <c r="D13" i="31" s="1"/>
  <c r="C17" i="31"/>
  <c r="B17" i="31"/>
  <c r="N16" i="31"/>
  <c r="N15" i="31"/>
  <c r="N14" i="31"/>
  <c r="K13" i="31"/>
  <c r="J13" i="31"/>
  <c r="C13" i="31"/>
  <c r="B13" i="31"/>
  <c r="N12" i="31"/>
  <c r="N11" i="31"/>
  <c r="N10" i="31"/>
  <c r="M9" i="31"/>
  <c r="M5" i="31" s="1"/>
  <c r="L9" i="31"/>
  <c r="K9" i="31"/>
  <c r="K5" i="31" s="1"/>
  <c r="J9" i="31"/>
  <c r="J5" i="31" s="1"/>
  <c r="I9" i="31"/>
  <c r="I5" i="31" s="1"/>
  <c r="H9" i="31"/>
  <c r="H5" i="31" s="1"/>
  <c r="G9" i="31"/>
  <c r="G5" i="31" s="1"/>
  <c r="F9" i="31"/>
  <c r="F5" i="31" s="1"/>
  <c r="E9" i="31"/>
  <c r="D9" i="31"/>
  <c r="C9" i="31"/>
  <c r="C5" i="31" s="1"/>
  <c r="B9" i="31"/>
  <c r="N8" i="31"/>
  <c r="N7" i="31"/>
  <c r="N6" i="31"/>
  <c r="L5" i="31"/>
  <c r="E5" i="31"/>
  <c r="D5" i="31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N215" i="30"/>
  <c r="N214" i="30"/>
  <c r="N213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N211" i="30"/>
  <c r="N210" i="30"/>
  <c r="N209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N207" i="30"/>
  <c r="N206" i="30"/>
  <c r="N205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N203" i="30"/>
  <c r="N202" i="30"/>
  <c r="N201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N177" i="30"/>
  <c r="N176" i="30"/>
  <c r="N175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N173" i="30"/>
  <c r="N172" i="30"/>
  <c r="N171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N169" i="30"/>
  <c r="N168" i="30"/>
  <c r="N167" i="30"/>
  <c r="M166" i="30"/>
  <c r="L166" i="30"/>
  <c r="K166" i="30"/>
  <c r="J166" i="30"/>
  <c r="I166" i="30"/>
  <c r="H166" i="30"/>
  <c r="G166" i="30"/>
  <c r="F166" i="30"/>
  <c r="E166" i="30"/>
  <c r="D166" i="30"/>
  <c r="C166" i="30"/>
  <c r="B166" i="30"/>
  <c r="N165" i="30"/>
  <c r="N164" i="30"/>
  <c r="N163" i="30"/>
  <c r="M162" i="30"/>
  <c r="L162" i="30"/>
  <c r="K162" i="30"/>
  <c r="J162" i="30"/>
  <c r="I162" i="30"/>
  <c r="H162" i="30"/>
  <c r="G162" i="30"/>
  <c r="F162" i="30"/>
  <c r="E162" i="30"/>
  <c r="D162" i="30"/>
  <c r="C162" i="30"/>
  <c r="B162" i="30"/>
  <c r="N161" i="30"/>
  <c r="N160" i="30"/>
  <c r="N159" i="30"/>
  <c r="N158" i="30" s="1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N157" i="30"/>
  <c r="N156" i="30"/>
  <c r="N155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N153" i="30"/>
  <c r="N152" i="30"/>
  <c r="N151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N149" i="30"/>
  <c r="N148" i="30"/>
  <c r="N147" i="30"/>
  <c r="M146" i="30"/>
  <c r="L146" i="30"/>
  <c r="K146" i="30"/>
  <c r="J146" i="30"/>
  <c r="I146" i="30"/>
  <c r="H146" i="30"/>
  <c r="G146" i="30"/>
  <c r="F146" i="30"/>
  <c r="E146" i="30"/>
  <c r="D146" i="30"/>
  <c r="C146" i="30"/>
  <c r="B146" i="30"/>
  <c r="N145" i="30"/>
  <c r="N144" i="30"/>
  <c r="N143" i="30"/>
  <c r="M142" i="30"/>
  <c r="L142" i="30"/>
  <c r="K142" i="30"/>
  <c r="J142" i="30"/>
  <c r="I142" i="30"/>
  <c r="H142" i="30"/>
  <c r="G142" i="30"/>
  <c r="F142" i="30"/>
  <c r="E142" i="30"/>
  <c r="D142" i="30"/>
  <c r="C142" i="30"/>
  <c r="B142" i="30"/>
  <c r="N141" i="30"/>
  <c r="N140" i="30"/>
  <c r="N139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N137" i="30"/>
  <c r="N136" i="30"/>
  <c r="N135" i="30"/>
  <c r="M134" i="30"/>
  <c r="L134" i="30"/>
  <c r="K134" i="30"/>
  <c r="J134" i="30"/>
  <c r="I134" i="30"/>
  <c r="H134" i="30"/>
  <c r="G134" i="30"/>
  <c r="F134" i="30"/>
  <c r="E134" i="30"/>
  <c r="D134" i="30"/>
  <c r="C134" i="30"/>
  <c r="B134" i="30"/>
  <c r="N133" i="30"/>
  <c r="N132" i="30"/>
  <c r="N131" i="30"/>
  <c r="M130" i="30"/>
  <c r="L130" i="30"/>
  <c r="K130" i="30"/>
  <c r="J130" i="30"/>
  <c r="I130" i="30"/>
  <c r="H130" i="30"/>
  <c r="G130" i="30"/>
  <c r="F130" i="30"/>
  <c r="E130" i="30"/>
  <c r="D130" i="30"/>
  <c r="C130" i="30"/>
  <c r="B130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N112" i="30"/>
  <c r="N111" i="30"/>
  <c r="N110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N108" i="30"/>
  <c r="N107" i="30"/>
  <c r="N106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N104" i="30"/>
  <c r="N103" i="30"/>
  <c r="N102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N100" i="30"/>
  <c r="N99" i="30"/>
  <c r="N98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N96" i="30"/>
  <c r="N95" i="30"/>
  <c r="N94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N92" i="30"/>
  <c r="N91" i="30"/>
  <c r="N90" i="30"/>
  <c r="N89" i="30"/>
  <c r="N88" i="30"/>
  <c r="N87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N85" i="30"/>
  <c r="N84" i="30"/>
  <c r="N83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N81" i="30"/>
  <c r="N80" i="30"/>
  <c r="N79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N77" i="30"/>
  <c r="N76" i="30"/>
  <c r="N75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N73" i="30"/>
  <c r="N72" i="30"/>
  <c r="N71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N69" i="30"/>
  <c r="N68" i="30"/>
  <c r="N67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N65" i="30"/>
  <c r="N64" i="30"/>
  <c r="N63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N61" i="30"/>
  <c r="N60" i="30"/>
  <c r="N59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N57" i="30"/>
  <c r="N56" i="30"/>
  <c r="N55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N53" i="30"/>
  <c r="N52" i="30"/>
  <c r="N51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N49" i="30"/>
  <c r="N48" i="30"/>
  <c r="N47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N45" i="30"/>
  <c r="N44" i="30"/>
  <c r="N43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N41" i="30"/>
  <c r="N40" i="30"/>
  <c r="N39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N37" i="30"/>
  <c r="N36" i="30"/>
  <c r="N35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N33" i="30"/>
  <c r="N32" i="30"/>
  <c r="N31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N29" i="30"/>
  <c r="N28" i="30"/>
  <c r="N27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N25" i="30"/>
  <c r="N24" i="30"/>
  <c r="N23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N21" i="30"/>
  <c r="N20" i="30"/>
  <c r="N19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N17" i="30"/>
  <c r="N16" i="30"/>
  <c r="N15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N13" i="30"/>
  <c r="N12" i="30"/>
  <c r="N11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N9" i="30"/>
  <c r="N8" i="30"/>
  <c r="N7" i="30"/>
  <c r="M6" i="30"/>
  <c r="L6" i="30"/>
  <c r="K6" i="30"/>
  <c r="J6" i="30"/>
  <c r="I6" i="30"/>
  <c r="H6" i="30"/>
  <c r="G6" i="30"/>
  <c r="F6" i="30"/>
  <c r="E6" i="30"/>
  <c r="D6" i="30"/>
  <c r="C6" i="30"/>
  <c r="B6" i="30"/>
  <c r="M47" i="29"/>
  <c r="M45" i="29"/>
  <c r="M43" i="29"/>
  <c r="P41" i="29"/>
  <c r="O41" i="29"/>
  <c r="N41" i="29"/>
  <c r="M41" i="29"/>
  <c r="X47" i="29"/>
  <c r="W47" i="29"/>
  <c r="V47" i="29"/>
  <c r="U47" i="29"/>
  <c r="T47" i="29"/>
  <c r="S47" i="29"/>
  <c r="R47" i="29"/>
  <c r="X45" i="29"/>
  <c r="W45" i="29"/>
  <c r="V45" i="29"/>
  <c r="U45" i="29"/>
  <c r="T45" i="29"/>
  <c r="S45" i="29"/>
  <c r="R45" i="29"/>
  <c r="X43" i="29"/>
  <c r="W43" i="29"/>
  <c r="V43" i="29"/>
  <c r="U43" i="29"/>
  <c r="T43" i="29"/>
  <c r="S43" i="29"/>
  <c r="R43" i="29"/>
  <c r="L41" i="29"/>
  <c r="K41" i="29"/>
  <c r="J41" i="29"/>
  <c r="I41" i="29"/>
  <c r="H41" i="29"/>
  <c r="G41" i="29"/>
  <c r="F41" i="29"/>
  <c r="E41" i="29"/>
  <c r="D41" i="29"/>
  <c r="C41" i="29"/>
  <c r="B41" i="29"/>
  <c r="X39" i="29"/>
  <c r="W39" i="29"/>
  <c r="V39" i="29"/>
  <c r="U39" i="29"/>
  <c r="T39" i="29"/>
  <c r="S39" i="29"/>
  <c r="R39" i="29"/>
  <c r="X37" i="29"/>
  <c r="W37" i="29"/>
  <c r="V37" i="29"/>
  <c r="U37" i="29"/>
  <c r="T37" i="29"/>
  <c r="S37" i="29"/>
  <c r="R37" i="29"/>
  <c r="X35" i="29"/>
  <c r="W35" i="29"/>
  <c r="V35" i="29"/>
  <c r="U35" i="29"/>
  <c r="T35" i="29"/>
  <c r="S35" i="29"/>
  <c r="R35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V16" i="29"/>
  <c r="U16" i="29"/>
  <c r="S16" i="29"/>
  <c r="V5" i="29"/>
  <c r="U5" i="29"/>
  <c r="S5" i="29"/>
  <c r="R5" i="29"/>
  <c r="AA11" i="27"/>
  <c r="AA10" i="27"/>
  <c r="AA8" i="27"/>
  <c r="AA7" i="27"/>
  <c r="N85" i="26"/>
  <c r="N84" i="26"/>
  <c r="N83" i="26"/>
  <c r="N81" i="26"/>
  <c r="N80" i="26"/>
  <c r="N79" i="26"/>
  <c r="N77" i="26"/>
  <c r="N76" i="26"/>
  <c r="N75" i="26"/>
  <c r="N73" i="26"/>
  <c r="N72" i="26"/>
  <c r="N71" i="26"/>
  <c r="N69" i="26"/>
  <c r="N68" i="26"/>
  <c r="N67" i="26"/>
  <c r="N65" i="26"/>
  <c r="N64" i="26"/>
  <c r="N63" i="26"/>
  <c r="N61" i="26"/>
  <c r="N60" i="26"/>
  <c r="N59" i="26"/>
  <c r="N57" i="26"/>
  <c r="N56" i="26"/>
  <c r="N55" i="26"/>
  <c r="N53" i="26"/>
  <c r="N52" i="26"/>
  <c r="N51" i="26"/>
  <c r="N49" i="26"/>
  <c r="N48" i="26"/>
  <c r="N47" i="26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9" i="25"/>
  <c r="J9" i="25"/>
  <c r="I9" i="25"/>
  <c r="H9" i="25"/>
  <c r="G9" i="25"/>
  <c r="F9" i="25"/>
  <c r="D9" i="25"/>
  <c r="C9" i="25"/>
  <c r="B9" i="25"/>
  <c r="N61" i="32" l="1"/>
  <c r="N57" i="32"/>
  <c r="N53" i="32" s="1"/>
  <c r="N77" i="32"/>
  <c r="N9" i="31"/>
  <c r="N5" i="31" s="1"/>
  <c r="N102" i="31"/>
  <c r="N101" i="31" s="1"/>
  <c r="N69" i="31"/>
  <c r="N57" i="31"/>
  <c r="N53" i="31" s="1"/>
  <c r="N46" i="30"/>
  <c r="N34" i="30"/>
  <c r="N54" i="30"/>
  <c r="N101" i="30"/>
  <c r="N138" i="30"/>
  <c r="N17" i="31"/>
  <c r="N13" i="31" s="1"/>
  <c r="N61" i="31"/>
  <c r="N85" i="31"/>
  <c r="N148" i="31"/>
  <c r="N41" i="32"/>
  <c r="N37" i="32" s="1"/>
  <c r="N94" i="32"/>
  <c r="N93" i="32" s="1"/>
  <c r="N135" i="32"/>
  <c r="N22" i="30"/>
  <c r="N41" i="31"/>
  <c r="N37" i="31" s="1"/>
  <c r="N110" i="31"/>
  <c r="N109" i="31" s="1"/>
  <c r="D144" i="31"/>
  <c r="N144" i="31" s="1"/>
  <c r="N9" i="32"/>
  <c r="N5" i="32" s="1"/>
  <c r="N126" i="32"/>
  <c r="B5" i="31"/>
  <c r="N94" i="31"/>
  <c r="N93" i="31" s="1"/>
  <c r="N117" i="31"/>
  <c r="N33" i="32"/>
  <c r="N29" i="32" s="1"/>
  <c r="N86" i="32"/>
  <c r="N85" i="32" s="1"/>
  <c r="N110" i="32"/>
  <c r="N109" i="32" s="1"/>
  <c r="N33" i="31"/>
  <c r="N29" i="31" s="1"/>
  <c r="B53" i="31"/>
  <c r="N135" i="31"/>
  <c r="B29" i="32"/>
  <c r="B53" i="32"/>
  <c r="N49" i="31"/>
  <c r="N45" i="31" s="1"/>
  <c r="N25" i="32"/>
  <c r="N49" i="32"/>
  <c r="N45" i="32" s="1"/>
  <c r="N117" i="32"/>
  <c r="N25" i="31"/>
  <c r="N21" i="31" s="1"/>
  <c r="N77" i="31"/>
  <c r="N153" i="31"/>
  <c r="N69" i="32"/>
  <c r="N102" i="32"/>
  <c r="N101" i="32" s="1"/>
  <c r="N148" i="32"/>
  <c r="N153" i="32"/>
  <c r="N126" i="31"/>
  <c r="N17" i="32"/>
  <c r="N13" i="32" s="1"/>
  <c r="N144" i="32"/>
  <c r="B93" i="32"/>
  <c r="B101" i="32"/>
  <c r="B109" i="32"/>
  <c r="C85" i="32"/>
  <c r="N21" i="32"/>
  <c r="B93" i="31"/>
  <c r="B101" i="31"/>
  <c r="B109" i="31"/>
  <c r="B45" i="31"/>
  <c r="N62" i="30"/>
  <c r="N78" i="30"/>
  <c r="N146" i="30"/>
  <c r="N26" i="30"/>
  <c r="N58" i="30"/>
  <c r="N142" i="30"/>
  <c r="N174" i="30"/>
  <c r="N18" i="30"/>
  <c r="N166" i="30"/>
  <c r="N6" i="30"/>
  <c r="N14" i="30"/>
  <c r="N93" i="30"/>
  <c r="N130" i="30"/>
  <c r="N162" i="30"/>
  <c r="N50" i="30"/>
  <c r="N38" i="30"/>
  <c r="N66" i="30"/>
  <c r="N97" i="30"/>
  <c r="N134" i="30"/>
  <c r="N74" i="30"/>
  <c r="N42" i="30"/>
  <c r="N70" i="30"/>
  <c r="N212" i="30"/>
  <c r="N109" i="30"/>
  <c r="N208" i="30"/>
  <c r="N30" i="30"/>
  <c r="N86" i="30"/>
  <c r="N105" i="30"/>
  <c r="N154" i="30"/>
  <c r="N204" i="30"/>
  <c r="N10" i="30"/>
  <c r="N82" i="30"/>
  <c r="N150" i="30"/>
  <c r="N170" i="30"/>
  <c r="N200" i="30"/>
  <c r="AA13" i="27"/>
  <c r="AA14" i="27"/>
  <c r="AB5" i="20" l="1"/>
  <c r="AA5" i="20"/>
  <c r="Z5" i="20"/>
  <c r="Y5" i="20"/>
  <c r="X5" i="20"/>
  <c r="W5" i="20"/>
  <c r="V5" i="20"/>
  <c r="U5" i="20"/>
  <c r="T5" i="20"/>
  <c r="S5" i="20"/>
  <c r="R5" i="20"/>
  <c r="Z37" i="19" l="1"/>
  <c r="Y37" i="19"/>
  <c r="X37" i="19"/>
  <c r="W37" i="19"/>
  <c r="V37" i="19"/>
  <c r="U37" i="19"/>
  <c r="T37" i="19"/>
  <c r="S37" i="19"/>
  <c r="R37" i="19"/>
  <c r="Q37" i="19"/>
  <c r="AA25" i="19"/>
  <c r="AA37" i="19" s="1"/>
  <c r="Z17" i="19"/>
  <c r="X17" i="19"/>
  <c r="W17" i="19"/>
  <c r="V17" i="19"/>
  <c r="U17" i="19"/>
  <c r="T17" i="19"/>
  <c r="S17" i="19"/>
  <c r="R17" i="19"/>
  <c r="Q17" i="19"/>
  <c r="Y16" i="19"/>
  <c r="Y15" i="19"/>
  <c r="Y14" i="19"/>
  <c r="Y13" i="19"/>
  <c r="Y12" i="19"/>
  <c r="Y11" i="19"/>
  <c r="Y10" i="19"/>
  <c r="Y9" i="19"/>
  <c r="Y8" i="19"/>
  <c r="Y7" i="19"/>
  <c r="Y6" i="19"/>
  <c r="AA5" i="19"/>
  <c r="AA17" i="19" s="1"/>
  <c r="Y5" i="19"/>
  <c r="Z37" i="18"/>
  <c r="X37" i="18"/>
  <c r="V37" i="18"/>
  <c r="U37" i="18"/>
  <c r="T37" i="18"/>
  <c r="S37" i="18"/>
  <c r="R37" i="18"/>
  <c r="Q37" i="18"/>
  <c r="Y36" i="18"/>
  <c r="W36" i="18"/>
  <c r="Y35" i="18"/>
  <c r="W35" i="18"/>
  <c r="Y34" i="18"/>
  <c r="W34" i="18"/>
  <c r="Y33" i="18"/>
  <c r="W33" i="18"/>
  <c r="Y32" i="18"/>
  <c r="W32" i="18"/>
  <c r="Y31" i="18"/>
  <c r="W31" i="18"/>
  <c r="Y30" i="18"/>
  <c r="W30" i="18"/>
  <c r="Y29" i="18"/>
  <c r="W29" i="18"/>
  <c r="Y28" i="18"/>
  <c r="W28" i="18"/>
  <c r="Y27" i="18"/>
  <c r="W27" i="18"/>
  <c r="Y26" i="18"/>
  <c r="W26" i="18"/>
  <c r="AA25" i="18"/>
  <c r="AA37" i="18" s="1"/>
  <c r="Y25" i="18"/>
  <c r="W25" i="18"/>
  <c r="Z17" i="18"/>
  <c r="X17" i="18"/>
  <c r="U17" i="18"/>
  <c r="T17" i="18"/>
  <c r="S17" i="18"/>
  <c r="R17" i="18"/>
  <c r="Y16" i="18"/>
  <c r="W16" i="18"/>
  <c r="V16" i="18"/>
  <c r="Y15" i="18"/>
  <c r="W15" i="18"/>
  <c r="V15" i="18"/>
  <c r="Y14" i="18"/>
  <c r="W14" i="18"/>
  <c r="V14" i="18"/>
  <c r="Y13" i="18"/>
  <c r="W13" i="18"/>
  <c r="V13" i="18"/>
  <c r="Y12" i="18"/>
  <c r="W12" i="18"/>
  <c r="V12" i="18"/>
  <c r="Y11" i="18"/>
  <c r="W11" i="18"/>
  <c r="V11" i="18"/>
  <c r="Y10" i="18"/>
  <c r="W10" i="18"/>
  <c r="V10" i="18"/>
  <c r="Y9" i="18"/>
  <c r="W9" i="18"/>
  <c r="V9" i="18"/>
  <c r="Y8" i="18"/>
  <c r="W8" i="18"/>
  <c r="V8" i="18"/>
  <c r="Y7" i="18"/>
  <c r="W7" i="18"/>
  <c r="V7" i="18"/>
  <c r="Y6" i="18"/>
  <c r="W6" i="18"/>
  <c r="V6" i="18"/>
  <c r="AA5" i="18"/>
  <c r="AA17" i="18" s="1"/>
  <c r="Y5" i="18"/>
  <c r="W5" i="18"/>
  <c r="V5" i="18"/>
  <c r="Z38" i="17"/>
  <c r="V38" i="17"/>
  <c r="U38" i="17"/>
  <c r="T38" i="17"/>
  <c r="S38" i="17"/>
  <c r="R38" i="17"/>
  <c r="Q38" i="17"/>
  <c r="AA37" i="17"/>
  <c r="Y37" i="17"/>
  <c r="X37" i="17"/>
  <c r="W37" i="17"/>
  <c r="AA36" i="17"/>
  <c r="Y36" i="17"/>
  <c r="X36" i="17"/>
  <c r="W36" i="17"/>
  <c r="AA35" i="17"/>
  <c r="Y35" i="17"/>
  <c r="X35" i="17"/>
  <c r="W35" i="17"/>
  <c r="AA34" i="17"/>
  <c r="Y34" i="17"/>
  <c r="X34" i="17"/>
  <c r="W34" i="17"/>
  <c r="AA33" i="17"/>
  <c r="Y33" i="17"/>
  <c r="X33" i="17"/>
  <c r="W33" i="17"/>
  <c r="AA32" i="17"/>
  <c r="Y32" i="17"/>
  <c r="X32" i="17"/>
  <c r="W32" i="17"/>
  <c r="AA31" i="17"/>
  <c r="Y31" i="17"/>
  <c r="X31" i="17"/>
  <c r="W31" i="17"/>
  <c r="AA30" i="17"/>
  <c r="Y30" i="17"/>
  <c r="X30" i="17"/>
  <c r="W30" i="17"/>
  <c r="AA29" i="17"/>
  <c r="Y29" i="17"/>
  <c r="X29" i="17"/>
  <c r="W29" i="17"/>
  <c r="AA28" i="17"/>
  <c r="Y28" i="17"/>
  <c r="X28" i="17"/>
  <c r="W28" i="17"/>
  <c r="AA27" i="17"/>
  <c r="Y27" i="17"/>
  <c r="X27" i="17"/>
  <c r="W27" i="17"/>
  <c r="AA26" i="17"/>
  <c r="Y26" i="17"/>
  <c r="X26" i="17"/>
  <c r="W26" i="17"/>
  <c r="Z18" i="17"/>
  <c r="Y18" i="17"/>
  <c r="X18" i="17"/>
  <c r="W18" i="17"/>
  <c r="V18" i="17"/>
  <c r="U18" i="17"/>
  <c r="T18" i="17"/>
  <c r="S18" i="17"/>
  <c r="R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38" i="17" l="1"/>
  <c r="X38" i="17"/>
  <c r="W38" i="17"/>
  <c r="Y38" i="17"/>
  <c r="Y17" i="19"/>
  <c r="Y37" i="18"/>
  <c r="Y17" i="18"/>
  <c r="W17" i="18"/>
  <c r="V17" i="18"/>
  <c r="W37" i="18"/>
  <c r="AA18" i="17"/>
  <c r="E45" i="29"/>
  <c r="E47" i="29"/>
  <c r="E43" i="29"/>
  <c r="C43" i="29"/>
  <c r="C47" i="29"/>
  <c r="C45" i="29"/>
  <c r="L43" i="29"/>
  <c r="L47" i="29"/>
  <c r="L45" i="29"/>
  <c r="B35" i="29"/>
  <c r="B37" i="29"/>
  <c r="B39" i="29"/>
  <c r="E35" i="29"/>
  <c r="E37" i="29"/>
  <c r="E39" i="29"/>
  <c r="D39" i="29"/>
  <c r="D37" i="29"/>
  <c r="D35" i="29"/>
  <c r="J39" i="29"/>
  <c r="J37" i="29"/>
  <c r="J35" i="29"/>
  <c r="D45" i="29"/>
  <c r="D47" i="29"/>
  <c r="D43" i="29"/>
  <c r="I43" i="29"/>
  <c r="I47" i="29"/>
  <c r="I45" i="29"/>
  <c r="G43" i="29"/>
  <c r="G47" i="29"/>
  <c r="G45" i="29"/>
  <c r="H39" i="29"/>
  <c r="H37" i="29"/>
  <c r="H35" i="29"/>
  <c r="B45" i="29"/>
  <c r="B47" i="29"/>
  <c r="B43" i="29"/>
  <c r="G39" i="29"/>
  <c r="G37" i="29"/>
  <c r="G35" i="29"/>
  <c r="F43" i="29"/>
  <c r="F47" i="29"/>
  <c r="F45" i="29"/>
  <c r="F35" i="29"/>
  <c r="F37" i="29"/>
  <c r="F39" i="29"/>
  <c r="J43" i="29"/>
  <c r="J47" i="29"/>
  <c r="J45" i="29"/>
  <c r="C39" i="29"/>
  <c r="C37" i="29"/>
  <c r="C35" i="29"/>
  <c r="K35" i="29"/>
  <c r="K37" i="29"/>
  <c r="K39" i="29"/>
  <c r="L35" i="29"/>
  <c r="L37" i="29"/>
  <c r="L39" i="29"/>
  <c r="H43" i="29"/>
  <c r="H47" i="29"/>
  <c r="H45" i="29"/>
  <c r="I35" i="29"/>
  <c r="I37" i="29"/>
  <c r="I39" i="29"/>
  <c r="K43" i="29"/>
  <c r="K47" i="29"/>
  <c r="K45" i="29"/>
</calcChain>
</file>

<file path=xl/sharedStrings.xml><?xml version="1.0" encoding="utf-8"?>
<sst xmlns="http://schemas.openxmlformats.org/spreadsheetml/2006/main" count="4876" uniqueCount="1698">
  <si>
    <t>الجدول 1.9 : المساحات المزروعة حسب الزراعة الرئيسة</t>
  </si>
  <si>
    <t>Unités : milliers d'hectares</t>
  </si>
  <si>
    <t>الوحدة : ألف هكتار</t>
  </si>
  <si>
    <t>Total céréales</t>
  </si>
  <si>
    <t>المجموع</t>
  </si>
  <si>
    <t xml:space="preserve">    Mil et sorgho </t>
  </si>
  <si>
    <t>الذرة البيضاء</t>
  </si>
  <si>
    <t xml:space="preserve">    Riz paddy</t>
  </si>
  <si>
    <t>الأرز</t>
  </si>
  <si>
    <t xml:space="preserve">    Maïs, blé, orge</t>
  </si>
  <si>
    <t>-</t>
  </si>
  <si>
    <t>الذرة الصفراء،قمح، شعير</t>
  </si>
  <si>
    <t>Légumes et divers</t>
  </si>
  <si>
    <t>…</t>
  </si>
  <si>
    <t xml:space="preserve">خضروات ومنتجات مختلفة </t>
  </si>
  <si>
    <t>Dattes</t>
  </si>
  <si>
    <t>التمور</t>
  </si>
  <si>
    <t>Sources :MDR/DPCSE</t>
  </si>
  <si>
    <t>المصدر : وزارة التنمية الريفية/ إدارة التنسيق والبرمجة الإحصائية</t>
  </si>
  <si>
    <t xml:space="preserve">الجدول: 2.9. : تطور الانتاج الزراعي الخام </t>
  </si>
  <si>
    <t>Unités : tonnes</t>
  </si>
  <si>
    <t>الوحدة : طن</t>
  </si>
  <si>
    <t xml:space="preserve">    Mil et sorgho</t>
  </si>
  <si>
    <t xml:space="preserve">    Maïs,  blé, orge</t>
  </si>
  <si>
    <t xml:space="preserve"> TOTAL</t>
  </si>
  <si>
    <t>المصدر : وزارة الزراعة/ إدارة التنسيق والبرمجة الإحصائية</t>
  </si>
  <si>
    <t>الجدول 3.9 : تطور الإنتاج الزراعي الصافي</t>
  </si>
  <si>
    <t xml:space="preserve"> Mil et  sorgho</t>
  </si>
  <si>
    <t xml:space="preserve"> Riz paddy</t>
  </si>
  <si>
    <t>Légumineuse et divers</t>
  </si>
  <si>
    <t xml:space="preserve">  خضروات ومنتجات أخرى </t>
  </si>
  <si>
    <t>Unité :  milliers de têtes</t>
  </si>
  <si>
    <t>الوحدة : آلاف  الرؤوس</t>
  </si>
  <si>
    <t>Effectifs du Cheptel</t>
  </si>
  <si>
    <t xml:space="preserve">   مجموع القطعان</t>
  </si>
  <si>
    <t>Bovins</t>
  </si>
  <si>
    <t xml:space="preserve">       أبقار</t>
  </si>
  <si>
    <t>Camelins</t>
  </si>
  <si>
    <t xml:space="preserve">       إبل</t>
  </si>
  <si>
    <t>Ovins et Caprins</t>
  </si>
  <si>
    <t xml:space="preserve">      ضأن و ماعز</t>
  </si>
  <si>
    <t>المصدر : وزارة التنمية الحيوانية</t>
  </si>
  <si>
    <t>الجدول:1.2. : عدد بواخر الصيد حسب الجنسية في المنطقة الاقتصادية</t>
  </si>
  <si>
    <t>TABLEAU 2.1 : EFFECTIF DES NAVIRES DE PECHE PAR NATIONALITE DANS LA ZEEM</t>
  </si>
  <si>
    <t>Unité : Nombre</t>
  </si>
  <si>
    <t>2010*</t>
  </si>
  <si>
    <t>2020*</t>
  </si>
  <si>
    <t>الوحدة: عدد</t>
  </si>
  <si>
    <t>Total</t>
  </si>
  <si>
    <t>Mauritaniens</t>
  </si>
  <si>
    <t xml:space="preserve">موريتانية </t>
  </si>
  <si>
    <t>Etrangers</t>
  </si>
  <si>
    <t>اجنبية</t>
  </si>
  <si>
    <t>Pêche pélagique</t>
  </si>
  <si>
    <t>الصيد السطحي</t>
  </si>
  <si>
    <t>Autres pêches</t>
  </si>
  <si>
    <t>أخرى</t>
  </si>
  <si>
    <t xml:space="preserve">    موريتانية </t>
  </si>
  <si>
    <t>Pêche de fonds</t>
  </si>
  <si>
    <t>صيد الاعماق</t>
  </si>
  <si>
    <t>Source : Direction de l'Amémagement des Resources et des Etudes (DARE)</t>
  </si>
  <si>
    <t xml:space="preserve">المصدر: وزارة الصيد والاقتصاد البحري/مديرية استصلاح الثروة والدراسات  </t>
  </si>
  <si>
    <t xml:space="preserve">الجدول:2.2 : تطور اصتياد الأسماك  في المنطقة الاقتصادية حسب النوع    </t>
  </si>
  <si>
    <t>TABLEAU 2.2 : EVOLUTION DES CAPTURES PAR TYPE DE PECHERIE DANS LA ZEEM</t>
  </si>
  <si>
    <t>Unités : Tonnes</t>
  </si>
  <si>
    <t>Total Pêche</t>
  </si>
  <si>
    <t>مجموع الإصتياد</t>
  </si>
  <si>
    <t xml:space="preserve">Pêche artisanale </t>
  </si>
  <si>
    <t>صيد تقليدي</t>
  </si>
  <si>
    <t xml:space="preserve">Pêche industrielle </t>
  </si>
  <si>
    <t>صيد صناعي</t>
  </si>
  <si>
    <t>Pélagiques</t>
  </si>
  <si>
    <t>سطحي</t>
  </si>
  <si>
    <t>Démersaux</t>
  </si>
  <si>
    <t>قاعي (ديمرصو)</t>
  </si>
  <si>
    <t>Céphalopodes</t>
  </si>
  <si>
    <t>رأسيات الأرجل</t>
  </si>
  <si>
    <t>Crustacés</t>
  </si>
  <si>
    <t>قشريات</t>
  </si>
  <si>
    <t>الجدول 3.2 : تطور الإصطياد الصناعي حسب النوع في المنطقة الاقتصادية</t>
  </si>
  <si>
    <t>TABLEAU 2.3 : EVOLUTION DES CAPTURES PAR ESPECES DANS LA ZEEM POUR LA PÊCHE INDUSTRIELLE</t>
  </si>
  <si>
    <t>Famille</t>
  </si>
  <si>
    <t xml:space="preserve">Espèces </t>
  </si>
  <si>
    <t>النوع</t>
  </si>
  <si>
    <t xml:space="preserve">العائلة </t>
  </si>
  <si>
    <t>PELAGIQUES</t>
  </si>
  <si>
    <t xml:space="preserve">Chinchards </t>
  </si>
  <si>
    <t>شاخور(شينشار)</t>
  </si>
  <si>
    <t>سطحية</t>
  </si>
  <si>
    <t>Sardinelles</t>
  </si>
  <si>
    <t>صردينلا</t>
  </si>
  <si>
    <t>Anchois</t>
  </si>
  <si>
    <t>الانشوفة</t>
  </si>
  <si>
    <t>Marquereaux</t>
  </si>
  <si>
    <t>الاسقمري</t>
  </si>
  <si>
    <t>Sardines</t>
  </si>
  <si>
    <t>صردين</t>
  </si>
  <si>
    <t>Sabres</t>
  </si>
  <si>
    <t>سبار</t>
  </si>
  <si>
    <t>Thonides</t>
  </si>
  <si>
    <t>التونة</t>
  </si>
  <si>
    <t>Divers pelagique</t>
  </si>
  <si>
    <t>DEMERSAUX</t>
  </si>
  <si>
    <t>قاعية(دمورصو)</t>
  </si>
  <si>
    <t>Autre poisson</t>
  </si>
  <si>
    <t xml:space="preserve">اسماك اخرى </t>
  </si>
  <si>
    <t>Merlus</t>
  </si>
  <si>
    <t>مرلي</t>
  </si>
  <si>
    <t>Dorades roses</t>
  </si>
  <si>
    <t>مرجان</t>
  </si>
  <si>
    <t>Divers coquillages</t>
  </si>
  <si>
    <t>محار مختلف</t>
  </si>
  <si>
    <t>CEPHALOPODES</t>
  </si>
  <si>
    <t>Poulpes</t>
  </si>
  <si>
    <t>اخطبوط</t>
  </si>
  <si>
    <t>Seiches</t>
  </si>
  <si>
    <t>سيشة</t>
  </si>
  <si>
    <t>Calamars</t>
  </si>
  <si>
    <t>كالمار</t>
  </si>
  <si>
    <t>Divers cephalopodes</t>
  </si>
  <si>
    <t xml:space="preserve">راسية ارجل متنوعة </t>
  </si>
  <si>
    <t>CRUSTACES</t>
  </si>
  <si>
    <t xml:space="preserve">قشريات </t>
  </si>
  <si>
    <t>Crevettes et autres</t>
  </si>
  <si>
    <t>ربيان اخر(كرفت)</t>
  </si>
  <si>
    <t>Langoustes</t>
  </si>
  <si>
    <t>جراد البحر</t>
  </si>
  <si>
    <t>Divers</t>
  </si>
  <si>
    <t>Capture Totale</t>
  </si>
  <si>
    <t>مجموع الاصتياد</t>
  </si>
  <si>
    <t>p</t>
  </si>
  <si>
    <t>الجدول 1.3 : تطور نشاطات الشركة الوطنية للصناعة والمناجم</t>
  </si>
  <si>
    <t>TABLEAU 3.1 : EVOLUTION DES ACTIVITES DE LA SNIM</t>
  </si>
  <si>
    <t>Unités : milliers de tonnes</t>
  </si>
  <si>
    <t>الوحدة : آلاف الأطنان</t>
  </si>
  <si>
    <t>Production :</t>
  </si>
  <si>
    <t xml:space="preserve">   انتاج</t>
  </si>
  <si>
    <t>KEDIA</t>
  </si>
  <si>
    <t xml:space="preserve">   الكدية</t>
  </si>
  <si>
    <t>M'HAOUDAT</t>
  </si>
  <si>
    <t xml:space="preserve">   كلب الغين</t>
  </si>
  <si>
    <t>GUELBS</t>
  </si>
  <si>
    <t xml:space="preserve">  لمهاودات</t>
  </si>
  <si>
    <t>Tonnage de minerai culbuté</t>
  </si>
  <si>
    <t xml:space="preserve">    عدد الأطنان  المعالجة</t>
  </si>
  <si>
    <t>Terrassement :</t>
  </si>
  <si>
    <t xml:space="preserve">    تهيئة تربة </t>
  </si>
  <si>
    <t>Autres productions de la SNIM :</t>
  </si>
  <si>
    <t xml:space="preserve">    انتاج اخر لسنيم </t>
  </si>
  <si>
    <t>Eau (1 000 m3) :</t>
  </si>
  <si>
    <t xml:space="preserve"> الماء(ب1000متر مكعب)</t>
  </si>
  <si>
    <t>Zouerate</t>
  </si>
  <si>
    <t>أزويرات</t>
  </si>
  <si>
    <t>Nouadhibou</t>
  </si>
  <si>
    <t>أنواذيبو</t>
  </si>
  <si>
    <t>Electricité (1 000 kWh) :</t>
  </si>
  <si>
    <t>الكهرباء(بآلاف الكيلو واط)</t>
  </si>
  <si>
    <t>Source : Société Nationale Industrielle et Minière (SNIM)</t>
  </si>
  <si>
    <t>المصدر: الشركة الوطنية للصناعة والمناجم/سنيم</t>
  </si>
  <si>
    <t>الجدول 2.3 :  التطور الشهري لإنتاج الحديد</t>
  </si>
  <si>
    <t>TABLEAU 3.2 : EVOLUTION DE LA PRODUCTION MENSUELLE DE MINERAI DE FER</t>
  </si>
  <si>
    <t>Unité : 1000 Tonnes</t>
  </si>
  <si>
    <t xml:space="preserve"> الوحدة : 1000 طن</t>
  </si>
  <si>
    <t>Janvier</t>
  </si>
  <si>
    <t xml:space="preserve">يناير </t>
  </si>
  <si>
    <t>Février</t>
  </si>
  <si>
    <t xml:space="preserve"> فبراير</t>
  </si>
  <si>
    <t>Mars</t>
  </si>
  <si>
    <t xml:space="preserve"> مارس </t>
  </si>
  <si>
    <t>Avril</t>
  </si>
  <si>
    <t xml:space="preserve">إبريل   </t>
  </si>
  <si>
    <t>Mai</t>
  </si>
  <si>
    <t>مايو</t>
  </si>
  <si>
    <t>Juin</t>
  </si>
  <si>
    <t xml:space="preserve">يونيو   </t>
  </si>
  <si>
    <t>Juillet</t>
  </si>
  <si>
    <t xml:space="preserve">يوليو </t>
  </si>
  <si>
    <t>Août</t>
  </si>
  <si>
    <t xml:space="preserve"> أغسطس  </t>
  </si>
  <si>
    <t>Septembre</t>
  </si>
  <si>
    <t>سبتمبر</t>
  </si>
  <si>
    <t>Octobre</t>
  </si>
  <si>
    <t>أكتوبر</t>
  </si>
  <si>
    <t>Novembre</t>
  </si>
  <si>
    <t>نفمبر</t>
  </si>
  <si>
    <t>Décembre</t>
  </si>
  <si>
    <t>دجمبر</t>
  </si>
  <si>
    <t>Source : Société Nationale Industrielles et Minière (SNIM)/Tableau de bord</t>
  </si>
  <si>
    <t>الجدول 3.3 : تطور إنتاج مواد أخرى</t>
  </si>
  <si>
    <t>TABLEAU 3.3 : EVOLUTION DE LA PRODUCTION D'AUTRES PRODUITS</t>
  </si>
  <si>
    <t>Productions</t>
  </si>
  <si>
    <t>الإنتاج</t>
  </si>
  <si>
    <t xml:space="preserve">Pétrole (milliers de barils) </t>
  </si>
  <si>
    <t xml:space="preserve">  النفط ( الف برميل)</t>
  </si>
  <si>
    <t>Cuivre (tonnes)</t>
  </si>
  <si>
    <t xml:space="preserve">  النحاس  (طن)</t>
  </si>
  <si>
    <t>Or (onces)</t>
  </si>
  <si>
    <t xml:space="preserve">  الذهب  (أونصة)</t>
  </si>
  <si>
    <t>Sources : BCM</t>
  </si>
  <si>
    <t>المصدر: البنك المركزي الموريتاني</t>
  </si>
  <si>
    <t>Unité : $ E.U.</t>
  </si>
  <si>
    <t>2006</t>
  </si>
  <si>
    <t>2007</t>
  </si>
  <si>
    <t>2008</t>
  </si>
  <si>
    <t>2009</t>
  </si>
  <si>
    <t>2010</t>
  </si>
  <si>
    <t xml:space="preserve">الوحدة : دولار امريكي </t>
  </si>
  <si>
    <t>Pix de la tonne de sorgho</t>
  </si>
  <si>
    <t xml:space="preserve">   سعر طن الذرة </t>
  </si>
  <si>
    <t>Prix de la tonne d'huile de palme</t>
  </si>
  <si>
    <t xml:space="preserve">   سعر طن زيت النخيل</t>
  </si>
  <si>
    <t>Prix de la tonne de viande de bœuf</t>
  </si>
  <si>
    <t xml:space="preserve">   سعر  طن لحم البقر </t>
  </si>
  <si>
    <t>Prix du Kg de viande d'agneau</t>
  </si>
  <si>
    <t xml:space="preserve">   سعر كلغ لحم الضأن </t>
  </si>
  <si>
    <t>Prix de la tonne de gaz naturel US</t>
  </si>
  <si>
    <t xml:space="preserve">   سعر طن الغاز الطبيعي الولايات المتحدة</t>
  </si>
  <si>
    <t>Prix de la tonne de minerai de fer1</t>
  </si>
  <si>
    <t xml:space="preserve">   سعر طن الحديد1 </t>
  </si>
  <si>
    <t>Prix tonne minerai de fer mauritanien</t>
  </si>
  <si>
    <t xml:space="preserve">   سعر طن الحديد الموريتاني </t>
  </si>
  <si>
    <t>Source :Banque Mondiale (Commodity price)</t>
  </si>
  <si>
    <t xml:space="preserve">المصدر: البنك الدولي </t>
  </si>
  <si>
    <t>….</t>
  </si>
  <si>
    <t>…..</t>
  </si>
  <si>
    <t>2017</t>
  </si>
  <si>
    <t>2018</t>
  </si>
  <si>
    <t>2019</t>
  </si>
  <si>
    <t>2020</t>
  </si>
  <si>
    <t>2021</t>
  </si>
  <si>
    <t>Boissons</t>
  </si>
  <si>
    <t>Produits alimentaires</t>
  </si>
  <si>
    <t>Huiles et graisses</t>
  </si>
  <si>
    <t>Céréales</t>
  </si>
  <si>
    <t>Autres produits alimentaires</t>
  </si>
  <si>
    <t>Matières premières</t>
  </si>
  <si>
    <t>Autres matières premières</t>
  </si>
  <si>
    <t>Métaux et minéraux</t>
  </si>
  <si>
    <t>2004</t>
  </si>
  <si>
    <t>2005</t>
  </si>
  <si>
    <t xml:space="preserve"> Taux de change du dollar E.U. "$" en ouguiya</t>
  </si>
  <si>
    <t>معدل صرف الدولار مقابل الأوقية</t>
  </si>
  <si>
    <t>Unité : Ouguiya</t>
  </si>
  <si>
    <t>الوحدة: أوقية</t>
  </si>
  <si>
    <t>يناير</t>
  </si>
  <si>
    <t>فبراير</t>
  </si>
  <si>
    <t>مارس</t>
  </si>
  <si>
    <t>إبريل</t>
  </si>
  <si>
    <t>يونيو</t>
  </si>
  <si>
    <t>يوليو</t>
  </si>
  <si>
    <t>أغسطس</t>
  </si>
  <si>
    <t>Cours moyen</t>
  </si>
  <si>
    <t>متوسط السعر</t>
  </si>
  <si>
    <t>Source : Banque Centrale de Mauritanie</t>
  </si>
  <si>
    <t xml:space="preserve"> Taux de change de 1000 Fcfa en ouguiya</t>
  </si>
  <si>
    <t xml:space="preserve">معدل صرف1000 إفرنك افريقي مقابل الأوقية </t>
  </si>
  <si>
    <t xml:space="preserve"> Taux de change de la livre sterling "£" en ouguiya</t>
  </si>
  <si>
    <t>معدل صرف  الجنيه الاسترليني  مقابل الأوقية</t>
  </si>
  <si>
    <t xml:space="preserve"> Taux de change du Dirham marocain "DH-M" en ouguiya</t>
  </si>
  <si>
    <t xml:space="preserve">معدل صرف الدرهم المغربي مقابل الأوقية </t>
  </si>
  <si>
    <t xml:space="preserve"> Taux de change du Dinar tunisien "DT" en ouguiya</t>
  </si>
  <si>
    <t xml:space="preserve">معدل صرف الدينار التونسي مقابل الأوقية </t>
  </si>
  <si>
    <t xml:space="preserve"> Taux de change du Dinar algérien "DA" en ouguiya</t>
  </si>
  <si>
    <t>معدل صرف الدينار الجزائري مقابل الأوقية</t>
  </si>
  <si>
    <t xml:space="preserve"> Taux de change du Yen "¥" en ouguiya</t>
  </si>
  <si>
    <t xml:space="preserve"> معدل صرف الين مقابل الأوقية </t>
  </si>
  <si>
    <t xml:space="preserve"> Taux de change du DTS FMI en ouguiya</t>
  </si>
  <si>
    <t xml:space="preserve">معدل صرف وحدة السحب الخاصة  لصندوق النقد الدولي مقابل الأوقية </t>
  </si>
  <si>
    <t>Source : Afristat</t>
  </si>
  <si>
    <t>المصدر: المرصد الاقتصادي والاحصائي لافريقيا جنوب الصحراء</t>
  </si>
  <si>
    <t>Base 100 en 1990 jusq'au 2009
Base 100 en 2010 jusqu'à la fin de la série</t>
  </si>
  <si>
    <t>TABLEAU 14.3: EVOLUTION DES RECETTES BUDGETAIRES</t>
  </si>
  <si>
    <t xml:space="preserve"> الجدول 3.14 : تطور إيرادات الميزانية   </t>
  </si>
  <si>
    <t>Unité : millions UM</t>
  </si>
  <si>
    <t>2008*</t>
  </si>
  <si>
    <t>RECETTES FISCALES</t>
  </si>
  <si>
    <t>Impôts sur les revenus et bénéfices</t>
  </si>
  <si>
    <t>BIC-IMF-BNC</t>
  </si>
  <si>
    <t>ITS</t>
  </si>
  <si>
    <t>IGR</t>
  </si>
  <si>
    <t>Autres</t>
  </si>
  <si>
    <t>Taxe sur biens et services</t>
  </si>
  <si>
    <t>TCA TPS</t>
  </si>
  <si>
    <t>Taxes sur produits pétroliers</t>
  </si>
  <si>
    <t>Autres taxes de consommation</t>
  </si>
  <si>
    <t>Autres taxes (cinéma,assurance,véhicules)</t>
  </si>
  <si>
    <t>Taxe sur la valeur ajoutée</t>
  </si>
  <si>
    <t>TVA intérieure</t>
  </si>
  <si>
    <t xml:space="preserve">TVA sur les importations </t>
  </si>
  <si>
    <t>Taxes sur commerce international</t>
  </si>
  <si>
    <t>Importations</t>
  </si>
  <si>
    <t>Taxes statistique</t>
  </si>
  <si>
    <t>Autres droits</t>
  </si>
  <si>
    <t>RECETTES NON FISCALES</t>
  </si>
  <si>
    <t>recettes non fiscales non budgétisés</t>
  </si>
  <si>
    <t>Redevances et amendes de pêche</t>
  </si>
  <si>
    <t>Transferts des entreprises publiques</t>
  </si>
  <si>
    <t>Dette rétrocédée</t>
  </si>
  <si>
    <t>...</t>
  </si>
  <si>
    <t>Recouvrement des créances bancaires</t>
  </si>
  <si>
    <t>Redevance SNIM</t>
  </si>
  <si>
    <t xml:space="preserve">      ...</t>
  </si>
  <si>
    <t>Primes d'adjudication</t>
  </si>
  <si>
    <t>Aut.Rec.non fisc.(SNIM,SONIMEX)</t>
  </si>
  <si>
    <t>Recettes en Capital</t>
  </si>
  <si>
    <t>Vente de terrains</t>
  </si>
  <si>
    <t>Autres recettes en capital</t>
  </si>
  <si>
    <t>Comptes spéciaux</t>
  </si>
  <si>
    <t>RECETTES NON VENTILEES</t>
  </si>
  <si>
    <t>RECETTES NON BUDGETISEES</t>
  </si>
  <si>
    <t>RECETTES PETROLIERES</t>
  </si>
  <si>
    <t>Recettes pétrolières fiscales</t>
  </si>
  <si>
    <t>Recettes pétrolières non fiscales</t>
  </si>
  <si>
    <t>Recettes fiscales hors dons</t>
  </si>
  <si>
    <t>Dons</t>
  </si>
  <si>
    <t>TOTAL GENERAL</t>
  </si>
  <si>
    <t>Sources : Trésor</t>
  </si>
  <si>
    <t>المصدر : الخزينة العامة</t>
  </si>
  <si>
    <t>* : données en milliards d'ouguiya</t>
  </si>
  <si>
    <t>* : معطيات بمليار أوقية</t>
  </si>
  <si>
    <t xml:space="preserve">الجدول 1.9 : تطور إنتاج الكهرباء الخام </t>
  </si>
  <si>
    <t xml:space="preserve">TABLEAU 9.1 : EVOLUTION DE LA PRODUCTION BRUTE D'ELECTRICITE </t>
  </si>
  <si>
    <t>Unité : milliers kwh</t>
  </si>
  <si>
    <t>الوحدة بالألف كيلو واط/ساعة</t>
  </si>
  <si>
    <t>Mois</t>
  </si>
  <si>
    <t>الشهر</t>
  </si>
  <si>
    <t xml:space="preserve"> المجموع </t>
  </si>
  <si>
    <t>Source : SOMELEC</t>
  </si>
  <si>
    <t>المصدر : الشركة الوطنية للكهرباء</t>
  </si>
  <si>
    <t>الجدول 2.9 : إنتاج الكهرباء في أهم المدن</t>
  </si>
  <si>
    <t>TABLEAU 9.2 : PRODUCTION  D'ELECTRICITE DANS LES PRINCIPALES VILLES</t>
  </si>
  <si>
    <t>الوحدة: بالألف كيلو واط/ساعة</t>
  </si>
  <si>
    <t>Régions</t>
  </si>
  <si>
    <t>الولاية</t>
  </si>
  <si>
    <t xml:space="preserve">  Nouakchott</t>
  </si>
  <si>
    <t>انواكشوط</t>
  </si>
  <si>
    <t xml:space="preserve">  Nouadhibou</t>
  </si>
  <si>
    <t xml:space="preserve">  Autres </t>
  </si>
  <si>
    <t>Production totale</t>
  </si>
  <si>
    <t xml:space="preserve"> مجموع إلانتاج</t>
  </si>
  <si>
    <t>Capacité garantie installée1</t>
  </si>
  <si>
    <t>الطاقة الانتاجية المضمونة</t>
  </si>
  <si>
    <t>المصدر : الشركة الموريتانية للكهرباء</t>
  </si>
  <si>
    <t>1 : En Mégawatts</t>
  </si>
  <si>
    <t xml:space="preserve">1:بالميجاوات </t>
  </si>
  <si>
    <t>الجدول 3.9 : تطور انتاج  الماء</t>
  </si>
  <si>
    <t>TABLEAU 9.3 : EVOLUTION DE LA PRODUCTION BRUTE D'EAU</t>
  </si>
  <si>
    <t>Unité : milliers m3</t>
  </si>
  <si>
    <t>الوحدة بالألف متر مكعب</t>
  </si>
  <si>
    <t xml:space="preserve">  Autres</t>
  </si>
  <si>
    <t>مجموع إلانتاج</t>
  </si>
  <si>
    <t>Source : SNDE</t>
  </si>
  <si>
    <t>المصدر : الشركة الوطنية للماء</t>
  </si>
  <si>
    <t>Source: ANAC</t>
  </si>
  <si>
    <t>Passagers</t>
  </si>
  <si>
    <t>Mouvements d'avions</t>
  </si>
  <si>
    <t>Arrivé (nombre)</t>
  </si>
  <si>
    <t>Départ (nombre)</t>
  </si>
  <si>
    <t>Total            (nombre)</t>
  </si>
  <si>
    <t>الوحدة : مليون أوقية</t>
  </si>
  <si>
    <t>المجموع العام</t>
  </si>
  <si>
    <t>SNIM</t>
  </si>
  <si>
    <t>سنيم</t>
  </si>
  <si>
    <t>TABLEAU 6.4 : EVOLUTION DES DEPENSES BUDGETAIRES</t>
  </si>
  <si>
    <t xml:space="preserve">الجدول 4.14 : تطور نفقات الميزانية </t>
  </si>
  <si>
    <r>
      <t xml:space="preserve">Unité : </t>
    </r>
    <r>
      <rPr>
        <b/>
        <i/>
        <sz val="12"/>
        <color rgb="FFFFFFFF"/>
        <rFont val="Sakkal Majalla"/>
      </rPr>
      <t>millions UM</t>
    </r>
  </si>
  <si>
    <t>Dépenses et prêts net</t>
  </si>
  <si>
    <t>نفقات و ديون صافية</t>
  </si>
  <si>
    <t>Dépenses courantes</t>
  </si>
  <si>
    <t>نفقات جارية</t>
  </si>
  <si>
    <t>Traitements et salaires</t>
  </si>
  <si>
    <t>الأجوروالرواتب</t>
  </si>
  <si>
    <t>Biens et services</t>
  </si>
  <si>
    <t>معدات و خدمات</t>
  </si>
  <si>
    <t>Dépenses militaires</t>
  </si>
  <si>
    <t>النفقات العسكرية</t>
  </si>
  <si>
    <t>Subventions et transferts</t>
  </si>
  <si>
    <t>إعانات وتحويلات</t>
  </si>
  <si>
    <t xml:space="preserve">حسابات خاصة </t>
  </si>
  <si>
    <t>Intérêts de la dette</t>
  </si>
  <si>
    <t>فوائد على الديون</t>
  </si>
  <si>
    <t>Extérieurs</t>
  </si>
  <si>
    <t>خارجية</t>
  </si>
  <si>
    <t>Intérieurs</t>
  </si>
  <si>
    <t>داخلية</t>
  </si>
  <si>
    <t>Autres dépenses</t>
  </si>
  <si>
    <t xml:space="preserve">نفقات أخرى </t>
  </si>
  <si>
    <t>Dépenses d'équipement et prêts nets</t>
  </si>
  <si>
    <t xml:space="preserve">نفقات التجهيز و ديون صافية </t>
  </si>
  <si>
    <t>استثمار ممول من الخارج</t>
  </si>
  <si>
    <t>استثمار ممول من الداخل</t>
  </si>
  <si>
    <t>Restructuration et prêts nets</t>
  </si>
  <si>
    <t xml:space="preserve">إعادة هيكلة و قروض صافية </t>
  </si>
  <si>
    <t>Dépenses de restructuration</t>
  </si>
  <si>
    <t>نفقات إعادة  هيكلة</t>
  </si>
  <si>
    <t>ديون صافية</t>
  </si>
  <si>
    <t>Prêts nets</t>
  </si>
  <si>
    <t>Total général des dépenses</t>
  </si>
  <si>
    <t>Investissement financés par extérieur***</t>
  </si>
  <si>
    <t>Investissement financés par intérieur</t>
  </si>
  <si>
    <r>
      <t xml:space="preserve">الوحدة : </t>
    </r>
    <r>
      <rPr>
        <b/>
        <i/>
        <sz val="18"/>
        <color theme="0"/>
        <rFont val="Arabic Typesetting"/>
        <family val="4"/>
      </rPr>
      <t>مليون أوقية</t>
    </r>
  </si>
  <si>
    <t xml:space="preserve">الجدول 5.14 :  جدول العمليات المالية للدولة </t>
  </si>
  <si>
    <t>TABLEAU 14.5 : TABLEAU DES OPERATIONS FINANCIERES DE L'ETAT (TOFE)</t>
  </si>
  <si>
    <t>Recettes totales et dons</t>
  </si>
  <si>
    <t xml:space="preserve">مجموع الإيرادات بمافيها الهبات </t>
  </si>
  <si>
    <t>Recettes totales hors dons</t>
  </si>
  <si>
    <t xml:space="preserve">مجموع الإيرادات بدون الهبات </t>
  </si>
  <si>
    <t>Recettes fiscales</t>
  </si>
  <si>
    <t>43,9,9</t>
  </si>
  <si>
    <t>إيرادات ضريبية</t>
  </si>
  <si>
    <t>Taxes sur les revenus et les profits</t>
  </si>
  <si>
    <t>الضرائب على المداخيل والأرباح</t>
  </si>
  <si>
    <t>Taxes sur les biens et services</t>
  </si>
  <si>
    <t>رسوم على االسلع والخدمات</t>
  </si>
  <si>
    <t>Taxes sur le commerce international</t>
  </si>
  <si>
    <t>رسوم على التجارة الدولية</t>
  </si>
  <si>
    <t>Autres recettes fiscales</t>
  </si>
  <si>
    <t>Recettes non fiscales</t>
  </si>
  <si>
    <t>إيرادات غير ضريبية</t>
  </si>
  <si>
    <t>Dont:Recettes du secteur pêche</t>
  </si>
  <si>
    <t>إيرادات قطاع الصيد</t>
  </si>
  <si>
    <t>Dont:Dividendes des entreprises publiques</t>
  </si>
  <si>
    <t>يشمل أرباح المؤسسات العمومية</t>
  </si>
  <si>
    <t xml:space="preserve">هبات </t>
  </si>
  <si>
    <t>Dont:projets</t>
  </si>
  <si>
    <t>هبات في إطار المشاريع والبرامج</t>
  </si>
  <si>
    <t>Dépenses et prêts nets</t>
  </si>
  <si>
    <t xml:space="preserve">مجموع النفقات </t>
  </si>
  <si>
    <t>Salaires et traitements</t>
  </si>
  <si>
    <t>103,,82</t>
  </si>
  <si>
    <t>الأجور المدفوعة</t>
  </si>
  <si>
    <t xml:space="preserve">  السلع والخدمات</t>
  </si>
  <si>
    <t>Transferts courants</t>
  </si>
  <si>
    <t>تحويلات جارية</t>
  </si>
  <si>
    <t>Intérêts sur la dette publique</t>
  </si>
  <si>
    <t>الفوائد على الدين</t>
  </si>
  <si>
    <t>الخارجية</t>
  </si>
  <si>
    <t>الداخلية</t>
  </si>
  <si>
    <t>Investissement financés par l'extérieur</t>
  </si>
  <si>
    <t>Investissement financés sur ressources intérieures</t>
  </si>
  <si>
    <t>استثمار ممول بمصادر داخلية</t>
  </si>
  <si>
    <t>Restructurations et prêts nets</t>
  </si>
  <si>
    <t xml:space="preserve">إعادة هيكلة وديون  صافية </t>
  </si>
  <si>
    <t>Réserves communes</t>
  </si>
  <si>
    <t>احتياطي مشترك</t>
  </si>
  <si>
    <t>Avances (dépenses payées avant ordonnancement)</t>
  </si>
  <si>
    <t>سلف (نفقات مدفوعة قبل الأمر بالصرف)</t>
  </si>
  <si>
    <t>Solde hors pétrole;dons non compris (déficit -)</t>
  </si>
  <si>
    <t xml:space="preserve">رصيد لايشمل الهبات والنفط </t>
  </si>
  <si>
    <t>Solde hors pétrole;dons compris (déficit -)</t>
  </si>
  <si>
    <t>رصيد يشمل الهبات ولايشمل النفط</t>
  </si>
  <si>
    <t>Solde de base hors pétrole; définition du programme</t>
  </si>
  <si>
    <t xml:space="preserve">رصيد أساسي لايشمل النفط </t>
  </si>
  <si>
    <t>Recettes pétrolières (net)</t>
  </si>
  <si>
    <t>إيرادات نفطية</t>
  </si>
  <si>
    <t>Solde global; dons non compris (déficit-)</t>
  </si>
  <si>
    <t xml:space="preserve">رصيد لايشمل الهبات </t>
  </si>
  <si>
    <t>Solde global; dons compris (déficit-)</t>
  </si>
  <si>
    <t xml:space="preserve">رصيد يشمل الهبات </t>
  </si>
  <si>
    <t>Financement</t>
  </si>
  <si>
    <t xml:space="preserve">تمويل </t>
  </si>
  <si>
    <t>Financement intérieur</t>
  </si>
  <si>
    <t>122,35</t>
  </si>
  <si>
    <t xml:space="preserve">داخلي </t>
  </si>
  <si>
    <t>Système bancaire</t>
  </si>
  <si>
    <t>10,00</t>
  </si>
  <si>
    <t xml:space="preserve">النظام المصرفي </t>
  </si>
  <si>
    <t>BCM</t>
  </si>
  <si>
    <t>0,73</t>
  </si>
  <si>
    <t>البنك المركزي</t>
  </si>
  <si>
    <t>Hors IRDM</t>
  </si>
  <si>
    <t xml:space="preserve">خارج الحسابات المتفرقة ، حساب التحويل الخاص </t>
  </si>
  <si>
    <t>Dont:IADM</t>
  </si>
  <si>
    <t>Banques commerciales</t>
  </si>
  <si>
    <t>البنوك التجارية</t>
  </si>
  <si>
    <t>Financement non bancaire</t>
  </si>
  <si>
    <t>تمويل غير مصرفي</t>
  </si>
  <si>
    <t>Privatisations et autres</t>
  </si>
  <si>
    <t>Variation des arriérés intérieurs</t>
  </si>
  <si>
    <t>Instances au Trésor</t>
  </si>
  <si>
    <t>نفقات قيد التسديد للخزينة العامة</t>
  </si>
  <si>
    <t>Financement extérieur</t>
  </si>
  <si>
    <t>تمويل خارجي</t>
  </si>
  <si>
    <t>Compte pétrolier (net)</t>
  </si>
  <si>
    <t>حساب النفط (صافي)</t>
  </si>
  <si>
    <t>إيرادات نفطية (صافية)</t>
  </si>
  <si>
    <t>Contribution du compte pétrolier</t>
  </si>
  <si>
    <t>مساهمة حساب النفط</t>
  </si>
  <si>
    <t>Autres (net)</t>
  </si>
  <si>
    <t>26,92</t>
  </si>
  <si>
    <t>أخرى (صافية)</t>
  </si>
  <si>
    <t>Emprunts extérieurs (net)</t>
  </si>
  <si>
    <t>16,30</t>
  </si>
  <si>
    <t>قروض (صافية)</t>
  </si>
  <si>
    <t>Financement extérieur exceptionnel</t>
  </si>
  <si>
    <t>10,62</t>
  </si>
  <si>
    <t xml:space="preserve">خارجي غير عادي </t>
  </si>
  <si>
    <t>Erreurs et omissions (besoin de financement)</t>
  </si>
  <si>
    <t>الخطأ والنسيان (الحاجة للتمويل)</t>
  </si>
  <si>
    <t>Unité : milliards d'Ouguiya</t>
  </si>
  <si>
    <t>الوحدة : مليار أوقية</t>
  </si>
  <si>
    <t>2011</t>
  </si>
  <si>
    <t>2012</t>
  </si>
  <si>
    <t>2013</t>
  </si>
  <si>
    <t>2014</t>
  </si>
  <si>
    <t>2015</t>
  </si>
  <si>
    <t>2016</t>
  </si>
  <si>
    <t>Energie</t>
  </si>
  <si>
    <t xml:space="preserve">Non Energie </t>
  </si>
  <si>
    <t xml:space="preserve">Agriculture   </t>
  </si>
  <si>
    <t>Bois</t>
  </si>
  <si>
    <t>Engrais</t>
  </si>
  <si>
    <t>طاقة</t>
  </si>
  <si>
    <t>لا يحوي الطاقة</t>
  </si>
  <si>
    <t xml:space="preserve">مواد زراعية </t>
  </si>
  <si>
    <t>مشروبات</t>
  </si>
  <si>
    <t>مواد غذائية</t>
  </si>
  <si>
    <t>زيوت ودهون</t>
  </si>
  <si>
    <t>حبوب</t>
  </si>
  <si>
    <t xml:space="preserve">مواد أخرى غذائية </t>
  </si>
  <si>
    <t xml:space="preserve">مواد أولية </t>
  </si>
  <si>
    <t>خشب</t>
  </si>
  <si>
    <t xml:space="preserve">مواد أولية أخرى </t>
  </si>
  <si>
    <t>أسمدة</t>
  </si>
  <si>
    <t>الفلزات والمعادن</t>
  </si>
  <si>
    <t>Total des recettes y/c dons</t>
  </si>
  <si>
    <t>Total des recettes hors dons</t>
  </si>
  <si>
    <t>Recettes Fiscales</t>
  </si>
  <si>
    <t>Recettes Non Fiscales</t>
  </si>
  <si>
    <t>Recettes en capital</t>
  </si>
  <si>
    <t>Recettes non ventilées</t>
  </si>
  <si>
    <t>Recettes non budgétisées</t>
  </si>
  <si>
    <t>PPTE</t>
  </si>
  <si>
    <t>dont Dette Etat</t>
  </si>
  <si>
    <t>Dons projets et programmes</t>
  </si>
  <si>
    <t>Total des dépenses</t>
  </si>
  <si>
    <t>Dépenses de fonctionnement</t>
  </si>
  <si>
    <t>Dép.de fonctionnement hors intérêt</t>
  </si>
  <si>
    <t xml:space="preserve">Matériel entretien et fournit. </t>
  </si>
  <si>
    <t>Dépenses d'invest. Et prêts nets</t>
  </si>
  <si>
    <t>Dépenses d'Investissement</t>
  </si>
  <si>
    <t>Budgétaires</t>
  </si>
  <si>
    <t>Hors budget</t>
  </si>
  <si>
    <t>Solde hors dons</t>
  </si>
  <si>
    <t>Solde y compris dons</t>
  </si>
  <si>
    <t xml:space="preserve">   Extérieur (net)</t>
  </si>
  <si>
    <t xml:space="preserve">     Dons</t>
  </si>
  <si>
    <t xml:space="preserve">         Dons Projets</t>
  </si>
  <si>
    <t xml:space="preserve">         Dons Programme</t>
  </si>
  <si>
    <t xml:space="preserve">         Dons PPTE</t>
  </si>
  <si>
    <t xml:space="preserve">     Emprunts (nets)</t>
  </si>
  <si>
    <t xml:space="preserve">         Tirages Projets</t>
  </si>
  <si>
    <t xml:space="preserve">         Tirages programme</t>
  </si>
  <si>
    <t xml:space="preserve">         Amortissement</t>
  </si>
  <si>
    <t xml:space="preserve">   Intérieur</t>
  </si>
  <si>
    <t xml:space="preserve">      Système bancaire</t>
  </si>
  <si>
    <t xml:space="preserve">      Autres</t>
  </si>
  <si>
    <t xml:space="preserve">   Dépenses ordonnancées et non règlées</t>
  </si>
  <si>
    <t xml:space="preserve">   Instances de paiement (DBC)</t>
  </si>
  <si>
    <t xml:space="preserve">   Erreurs et omissions</t>
  </si>
  <si>
    <t xml:space="preserve">   Extérieurs exceptionnels</t>
  </si>
  <si>
    <t>ربح صناعي تجاري،ربح غير تجاري،ضريبة جزافية دنيا</t>
  </si>
  <si>
    <t>الضريبة على المرتبات والأجور</t>
  </si>
  <si>
    <t>الضريبة العامة على الدخل</t>
  </si>
  <si>
    <t>ضريبة أخرى عامة على الدخل</t>
  </si>
  <si>
    <t>رسوم على رقم الأعمال واسداء الخدمات</t>
  </si>
  <si>
    <t>رسوم على المواد البترولية</t>
  </si>
  <si>
    <t>رسوم أخرى على إستهلاكية</t>
  </si>
  <si>
    <t>رسوم أخرى ( السينما, التأمين, السيارات)</t>
  </si>
  <si>
    <t>رسوم على القيمة المضافة</t>
  </si>
  <si>
    <t>القيمة المضافة الداخلية</t>
  </si>
  <si>
    <t>القيمة المضافة على الإستيراد</t>
  </si>
  <si>
    <t>الحقوق الجمركية على الواردات</t>
  </si>
  <si>
    <t>حقوق على صيد السمك</t>
  </si>
  <si>
    <t xml:space="preserve">حقوق أخرى </t>
  </si>
  <si>
    <t>إيرادات غير ضريبية غير مدونة في الميزانية</t>
  </si>
  <si>
    <t>إيتاوات وغرامات على الصيد</t>
  </si>
  <si>
    <t>تحويلات المؤسسات العمومية</t>
  </si>
  <si>
    <t>ديون محولة</t>
  </si>
  <si>
    <t>تحصيل الديون المصرفية</t>
  </si>
  <si>
    <t>إيرادات غير ضريبية أخرى</t>
  </si>
  <si>
    <t>إتاوات على الشركة الوطنية للصناعة والمعادن</t>
  </si>
  <si>
    <t>علاوات المزايدة أو المناقصة</t>
  </si>
  <si>
    <t>إيرادات أخرى غير ضريبية  على أسنيم وسونمكس</t>
  </si>
  <si>
    <t>إيرادات رأس المال</t>
  </si>
  <si>
    <t>إيرادات بيع الأراضي</t>
  </si>
  <si>
    <t>إيرادات أخرى على رأس المال</t>
  </si>
  <si>
    <t>الحسابات الخاصة</t>
  </si>
  <si>
    <t xml:space="preserve">إيرادات غير مبوبة </t>
  </si>
  <si>
    <t>إيرادات غيرمبرمجة</t>
  </si>
  <si>
    <t>إيرادات نفطية ضريبية</t>
  </si>
  <si>
    <t>إيرادات نفطية غير ضريبية</t>
  </si>
  <si>
    <t>إيرادات الميزانية لا تحوي الهبات</t>
  </si>
  <si>
    <t>هبات</t>
  </si>
  <si>
    <r>
      <t xml:space="preserve">الوحدة: </t>
    </r>
    <r>
      <rPr>
        <b/>
        <i/>
        <sz val="18"/>
        <rFont val="Arabic Typesetting"/>
        <family val="4"/>
      </rPr>
      <t>مليون أوقية</t>
    </r>
  </si>
  <si>
    <t>Unité :  $ E.U./baril</t>
  </si>
  <si>
    <r>
      <t xml:space="preserve">الوحدة: </t>
    </r>
    <r>
      <rPr>
        <b/>
        <i/>
        <sz val="18"/>
        <rFont val="Arabic Typesetting"/>
        <family val="4"/>
      </rPr>
      <t>دولار امريكي/للبرميل</t>
    </r>
  </si>
  <si>
    <r>
      <t>Source</t>
    </r>
    <r>
      <rPr>
        <b/>
        <i/>
        <sz val="10"/>
        <rFont val="Sakkal Majalla"/>
      </rPr>
      <t xml:space="preserve"> : FMI et AFRISTAT</t>
    </r>
  </si>
  <si>
    <r>
      <t xml:space="preserve">المصدر: </t>
    </r>
    <r>
      <rPr>
        <b/>
        <i/>
        <sz val="10"/>
        <rFont val="Arabic Typesetting"/>
        <family val="4"/>
      </rPr>
      <t>صندوق النقد الدولي/المرصد الاقتصادي والإحصائي لإفريقيا جنوب الصحراء</t>
    </r>
  </si>
  <si>
    <t>Unité :  $ E.U./tonne</t>
  </si>
  <si>
    <r>
      <t xml:space="preserve">الوحدة: </t>
    </r>
    <r>
      <rPr>
        <b/>
        <i/>
        <sz val="18"/>
        <rFont val="Arabic Typesetting"/>
        <family val="4"/>
      </rPr>
      <t>دولار امريكي/ للطن</t>
    </r>
  </si>
  <si>
    <r>
      <t>Source</t>
    </r>
    <r>
      <rPr>
        <b/>
        <i/>
        <sz val="10"/>
        <rFont val="Sakkal Majalla"/>
      </rPr>
      <t xml:space="preserve"> : Banque Mondiale Commodity Price / Afristat</t>
    </r>
  </si>
  <si>
    <r>
      <t xml:space="preserve">المصدر: </t>
    </r>
    <r>
      <rPr>
        <b/>
        <i/>
        <sz val="10"/>
        <rFont val="Arabic Typesetting"/>
        <family val="4"/>
      </rPr>
      <t>البنك الدولي / مرصد افريقيا جنوب الصحراء</t>
    </r>
  </si>
  <si>
    <t>الوحدة: دولار امريكي/ للطن</t>
  </si>
  <si>
    <r>
      <t>Source</t>
    </r>
    <r>
      <rPr>
        <b/>
        <i/>
        <sz val="10"/>
        <rFont val="Sakkal Majalla"/>
      </rPr>
      <t xml:space="preserve"> : Banque Mondiale Commodity Price /Afristat</t>
    </r>
  </si>
  <si>
    <t>المصدر: البنك الدولي/المرصد الاقتصادي والاحصائي لافريقيا جنوب الصحراء</t>
  </si>
  <si>
    <r>
      <t xml:space="preserve">المصدر: </t>
    </r>
    <r>
      <rPr>
        <b/>
        <i/>
        <sz val="10"/>
        <rFont val="Arabic Typesetting"/>
        <family val="4"/>
      </rPr>
      <t>البنك الدولي / المرصد الإقتصادي والإحصائي لإفريقيا جنوب الصحراء</t>
    </r>
  </si>
  <si>
    <t>TABLEAU 5.10 : IMPORTATIONS DE LA MAURITANIE EN VALEUR (CAF)</t>
  </si>
  <si>
    <t>الجدول 10.5 : الواردات الموريتانية بالقيم</t>
  </si>
  <si>
    <t>Millions MRU</t>
  </si>
  <si>
    <t>مليون أوقية</t>
  </si>
  <si>
    <t>total importions</t>
  </si>
  <si>
    <t>مجموع الواردات</t>
  </si>
  <si>
    <t>Produits pétroliers et leurs dérivés</t>
  </si>
  <si>
    <t>مواد بترولية</t>
  </si>
  <si>
    <t>B.équip</t>
  </si>
  <si>
    <t>مدات تجهيز</t>
  </si>
  <si>
    <t>MCO</t>
  </si>
  <si>
    <t>مواد بناء</t>
  </si>
  <si>
    <t>Matériels de transports</t>
  </si>
  <si>
    <t>معدات نقل</t>
  </si>
  <si>
    <t>Produits chimiques divers</t>
  </si>
  <si>
    <t>مواد كيماوية</t>
  </si>
  <si>
    <t>Produits divers</t>
  </si>
  <si>
    <t>سلع أخرى</t>
  </si>
  <si>
    <r>
      <t>Source : Direction Générale des Douanes/</t>
    </r>
    <r>
      <rPr>
        <b/>
        <i/>
        <sz val="10"/>
        <rFont val="Sakkal Majalla"/>
      </rPr>
      <t>SYDONIA</t>
    </r>
  </si>
  <si>
    <r>
      <t xml:space="preserve">المصدر : الإدارة العامة للجمارك/ </t>
    </r>
    <r>
      <rPr>
        <b/>
        <i/>
        <sz val="10"/>
        <rFont val="Arabic Typesetting"/>
        <family val="4"/>
      </rPr>
      <t xml:space="preserve">سيدونيا </t>
    </r>
  </si>
  <si>
    <t>Riz</t>
  </si>
  <si>
    <t>Thaïlande</t>
  </si>
  <si>
    <t>تايلاند</t>
  </si>
  <si>
    <t>Inde</t>
  </si>
  <si>
    <t>الهند</t>
  </si>
  <si>
    <t>Farines de blé</t>
  </si>
  <si>
    <t>Maroc</t>
  </si>
  <si>
    <t>المغرب</t>
  </si>
  <si>
    <t>السعودية</t>
  </si>
  <si>
    <t>Algérie</t>
  </si>
  <si>
    <t>الجزائر</t>
  </si>
  <si>
    <t>Allemagne</t>
  </si>
  <si>
    <t>ألمانيا</t>
  </si>
  <si>
    <t>Espagne</t>
  </si>
  <si>
    <t>إسبانيا</t>
  </si>
  <si>
    <t>Turquie</t>
  </si>
  <si>
    <t>تركيا</t>
  </si>
  <si>
    <t>Chine</t>
  </si>
  <si>
    <t>الصين</t>
  </si>
  <si>
    <t>France</t>
  </si>
  <si>
    <t>فرنسا</t>
  </si>
  <si>
    <t>Belgique</t>
  </si>
  <si>
    <t>بلجيكا</t>
  </si>
  <si>
    <t>Pays-Bas</t>
  </si>
  <si>
    <t>هولندا</t>
  </si>
  <si>
    <r>
      <t xml:space="preserve">المصدر : الإدارة العامة للجمارك/ </t>
    </r>
    <r>
      <rPr>
        <b/>
        <i/>
        <sz val="10"/>
        <rFont val="Sakkal Majalla"/>
      </rPr>
      <t xml:space="preserve">سيدونيا </t>
    </r>
  </si>
  <si>
    <t>Total importations</t>
  </si>
  <si>
    <t>Afrique</t>
  </si>
  <si>
    <t>إفريقيا</t>
  </si>
  <si>
    <t>UMA</t>
  </si>
  <si>
    <t>دول المغرب العربي</t>
  </si>
  <si>
    <t>Algerie</t>
  </si>
  <si>
    <t>Autres UMA</t>
  </si>
  <si>
    <t>بقية دول المغرب العربي</t>
  </si>
  <si>
    <t>CEDEAO</t>
  </si>
  <si>
    <t>المنطقة الاقتصادية لدول غرب إفريقيا</t>
  </si>
  <si>
    <t>Sénégal</t>
  </si>
  <si>
    <t>السنغال</t>
  </si>
  <si>
    <t>Mali</t>
  </si>
  <si>
    <t>مالي</t>
  </si>
  <si>
    <t>Autres CEDEAO</t>
  </si>
  <si>
    <t>بقية دول المنطقة</t>
  </si>
  <si>
    <t>Autres Afrique</t>
  </si>
  <si>
    <t>دول إفريقية أخرى</t>
  </si>
  <si>
    <t>Asie</t>
  </si>
  <si>
    <t>آسيا</t>
  </si>
  <si>
    <t>Japon</t>
  </si>
  <si>
    <t>اليابان</t>
  </si>
  <si>
    <t>Australie</t>
  </si>
  <si>
    <t>أستراليا</t>
  </si>
  <si>
    <t>République de Corée</t>
  </si>
  <si>
    <t>كوريا الجنوبية</t>
  </si>
  <si>
    <t>Vietnam</t>
  </si>
  <si>
    <t>فيتنام</t>
  </si>
  <si>
    <t>Indonésie</t>
  </si>
  <si>
    <t>إندونيسيا</t>
  </si>
  <si>
    <t>Malaisie</t>
  </si>
  <si>
    <t>ماليزيا</t>
  </si>
  <si>
    <t>Bangladesh</t>
  </si>
  <si>
    <t>بانغلادش</t>
  </si>
  <si>
    <t>Taïwan</t>
  </si>
  <si>
    <t>تايوان</t>
  </si>
  <si>
    <t>Autres Asie</t>
  </si>
  <si>
    <t>دول آسيوية أخرى</t>
  </si>
  <si>
    <t>Moyen Orient</t>
  </si>
  <si>
    <t>الشرق الأوسط</t>
  </si>
  <si>
    <t>Emirats Arabes Unis</t>
  </si>
  <si>
    <t>الإمارات العربية المتحدة</t>
  </si>
  <si>
    <t>Oman</t>
  </si>
  <si>
    <t>سلطنة عمان</t>
  </si>
  <si>
    <t>Liban</t>
  </si>
  <si>
    <t>لبنان</t>
  </si>
  <si>
    <t>Autres Moyen Orient</t>
  </si>
  <si>
    <t>دول شرق أوسطية أخرى</t>
  </si>
  <si>
    <t>Europe</t>
  </si>
  <si>
    <t>أوروبا</t>
  </si>
  <si>
    <t>Suisse</t>
  </si>
  <si>
    <t>سويسرا</t>
  </si>
  <si>
    <t>Italie</t>
  </si>
  <si>
    <t>إيطاليا</t>
  </si>
  <si>
    <t>Russie</t>
  </si>
  <si>
    <t>روسيا</t>
  </si>
  <si>
    <t>Portugal</t>
  </si>
  <si>
    <t>البرتغال</t>
  </si>
  <si>
    <t>Pologne</t>
  </si>
  <si>
    <t>بولونيا</t>
  </si>
  <si>
    <t>Autres Europe</t>
  </si>
  <si>
    <t>دول أوروبية أخرى</t>
  </si>
  <si>
    <t>Amérique</t>
  </si>
  <si>
    <t xml:space="preserve">أمريكا </t>
  </si>
  <si>
    <t>Canada</t>
  </si>
  <si>
    <t>كندا</t>
  </si>
  <si>
    <t>Etats-Unis</t>
  </si>
  <si>
    <t>الولايات المتحدة الأمريكية</t>
  </si>
  <si>
    <t>Mexique</t>
  </si>
  <si>
    <t>المكسيك</t>
  </si>
  <si>
    <t>Panama</t>
  </si>
  <si>
    <t>بنما</t>
  </si>
  <si>
    <t>Autres Amérique</t>
  </si>
  <si>
    <t>دول أمريكية أخرى</t>
  </si>
  <si>
    <t>Autres Pays</t>
  </si>
  <si>
    <t>دول أخرى</t>
  </si>
  <si>
    <t xml:space="preserve"> مليون أوقية</t>
  </si>
  <si>
    <t>total exportations</t>
  </si>
  <si>
    <t>مجموع الصادرات</t>
  </si>
  <si>
    <t>Minerais de fer</t>
  </si>
  <si>
    <t>معدن الحديد</t>
  </si>
  <si>
    <t>Minerais de cuivre</t>
  </si>
  <si>
    <t>النحاس</t>
  </si>
  <si>
    <t>Or</t>
  </si>
  <si>
    <t>الذهب</t>
  </si>
  <si>
    <t>Produits de pêche</t>
  </si>
  <si>
    <t>صادرات الصيد</t>
  </si>
  <si>
    <t>Poissons frais ou congélés</t>
  </si>
  <si>
    <t xml:space="preserve">أسماك طازجة ، مبردة ، </t>
  </si>
  <si>
    <t>Farine de poissons</t>
  </si>
  <si>
    <t>دقيق السمك</t>
  </si>
  <si>
    <t>Huiles de poissons</t>
  </si>
  <si>
    <t>زيت السمك</t>
  </si>
  <si>
    <t>Conserves de poissons</t>
  </si>
  <si>
    <t>أسماك محضرة أو محفوظة</t>
  </si>
  <si>
    <t>Poissons salés, séchés ou fumés</t>
  </si>
  <si>
    <t xml:space="preserve">  أسماك مجمدة أو مملحة أومجففة </t>
  </si>
  <si>
    <t>Autres Produits exportés</t>
  </si>
  <si>
    <t>صادرات أخرى</t>
  </si>
  <si>
    <t>Destination \ Année</t>
  </si>
  <si>
    <t>الوجهة / السنة</t>
  </si>
  <si>
    <t xml:space="preserve"> دول اتحاد المغرب العربي</t>
  </si>
  <si>
    <t xml:space="preserve">  المغرب</t>
  </si>
  <si>
    <t xml:space="preserve">  الجزائر</t>
  </si>
  <si>
    <t>Autre UMA</t>
  </si>
  <si>
    <t xml:space="preserve">  بقية دول المغرب العربي</t>
  </si>
  <si>
    <t xml:space="preserve"> المنطقة الاقتصادية لدول غرب إفريقيا</t>
  </si>
  <si>
    <t xml:space="preserve">  السنغال</t>
  </si>
  <si>
    <t xml:space="preserve">  مالي</t>
  </si>
  <si>
    <t xml:space="preserve">  بقية دول المنطقة الاقتصادية لدول غرب إفريقيا</t>
  </si>
  <si>
    <t>إندونسيا</t>
  </si>
  <si>
    <t>بنكلاديش</t>
  </si>
  <si>
    <t>Taïwan, Province de Chine</t>
  </si>
  <si>
    <t>Arabie Saoudite</t>
  </si>
  <si>
    <t xml:space="preserve">روسيا </t>
  </si>
  <si>
    <t>أمريكا اللاتينية</t>
  </si>
  <si>
    <t>باناما</t>
  </si>
  <si>
    <t>Autres pays</t>
  </si>
  <si>
    <t>الجدول 16.13  : التطور الشهري لصادرات الحديد</t>
  </si>
  <si>
    <t>Sept.</t>
  </si>
  <si>
    <t>Nov.</t>
  </si>
  <si>
    <t>Déc.</t>
  </si>
  <si>
    <t>En milliers de tonnes</t>
  </si>
  <si>
    <t>آلاف الأطنان</t>
  </si>
  <si>
    <t>En millions ouguiya</t>
  </si>
  <si>
    <t>En millions $</t>
  </si>
  <si>
    <t>مليون دولار</t>
  </si>
  <si>
    <r>
      <t xml:space="preserve">Source : </t>
    </r>
    <r>
      <rPr>
        <b/>
        <i/>
        <sz val="10"/>
        <rFont val="Sakkal Majalla"/>
      </rPr>
      <t>Société Nationale Industrielle et Minière (SNIM)</t>
    </r>
  </si>
  <si>
    <r>
      <t>المصدر: الشركة الوطنية للصناعة والمناجم (</t>
    </r>
    <r>
      <rPr>
        <b/>
        <i/>
        <sz val="10"/>
        <rFont val="Sakkal Majalla"/>
      </rPr>
      <t>سنيم)</t>
    </r>
  </si>
  <si>
    <t xml:space="preserve">   Congélation à bord</t>
  </si>
  <si>
    <t>التبريد على متن السفينة</t>
  </si>
  <si>
    <t xml:space="preserve">Tonnes </t>
  </si>
  <si>
    <t>الكمية بالأطنان</t>
  </si>
  <si>
    <t>Milliers de $US</t>
  </si>
  <si>
    <t>القيمة بألاف دولار</t>
  </si>
  <si>
    <t xml:space="preserve">   Congélation à terre</t>
  </si>
  <si>
    <t>التبريد على الأرض</t>
  </si>
  <si>
    <t>Ensemble</t>
  </si>
  <si>
    <r>
      <t xml:space="preserve">Source : </t>
    </r>
    <r>
      <rPr>
        <b/>
        <i/>
        <sz val="10"/>
        <rFont val="Sakkal Majalla"/>
      </rPr>
      <t>Société Mauritanienne de Commercialisation de Poissons (SMCP)</t>
    </r>
  </si>
  <si>
    <r>
      <t xml:space="preserve">المصدر : </t>
    </r>
    <r>
      <rPr>
        <b/>
        <i/>
        <sz val="10"/>
        <rFont val="Arabic Typesetting"/>
        <family val="4"/>
      </rPr>
      <t>الشركة الموريتانية لتسويق الأسماك</t>
    </r>
  </si>
  <si>
    <r>
      <t xml:space="preserve">Unité : </t>
    </r>
    <r>
      <rPr>
        <b/>
        <i/>
        <sz val="18"/>
        <rFont val="Sakkal Majalla"/>
      </rPr>
      <t>tonnes</t>
    </r>
  </si>
  <si>
    <r>
      <t xml:space="preserve">الوحدة : </t>
    </r>
    <r>
      <rPr>
        <b/>
        <i/>
        <sz val="18"/>
        <rFont val="Arabic Typesetting"/>
        <family val="4"/>
      </rPr>
      <t>بالأطنان</t>
    </r>
  </si>
  <si>
    <t>قاعية (دمرسو)</t>
  </si>
  <si>
    <t>السطحي</t>
  </si>
  <si>
    <t>القشريات</t>
  </si>
  <si>
    <t>Molusques</t>
  </si>
  <si>
    <t>الرخويات</t>
  </si>
  <si>
    <t>Poutargue</t>
  </si>
  <si>
    <t>Cépholopodes</t>
  </si>
  <si>
    <t>الأخطبوط</t>
  </si>
  <si>
    <t>سيش</t>
  </si>
  <si>
    <t>Calamar</t>
  </si>
  <si>
    <t>كلمار</t>
  </si>
  <si>
    <r>
      <t xml:space="preserve">المصدر : </t>
    </r>
    <r>
      <rPr>
        <b/>
        <i/>
        <sz val="18"/>
        <rFont val="Arabic Typesetting"/>
        <family val="4"/>
      </rPr>
      <t>الشركة الموريتانية لتسويق الأسماك</t>
    </r>
  </si>
  <si>
    <r>
      <t xml:space="preserve">Source : </t>
    </r>
    <r>
      <rPr>
        <b/>
        <i/>
        <sz val="18"/>
        <rFont val="Sakkal Majalla"/>
      </rPr>
      <t>Société Mauritanienne de Commercialisation de Poissons (SMCP)</t>
    </r>
  </si>
  <si>
    <r>
      <t xml:space="preserve">Unité : </t>
    </r>
    <r>
      <rPr>
        <b/>
        <i/>
        <sz val="18"/>
        <rFont val="Sakkal Majalla"/>
      </rPr>
      <t>Tonnes</t>
    </r>
  </si>
  <si>
    <t>Proportion</t>
  </si>
  <si>
    <t>النسبة</t>
  </si>
  <si>
    <t>8,7%</t>
  </si>
  <si>
    <t>54,14%</t>
  </si>
  <si>
    <t>23,7%</t>
  </si>
  <si>
    <t>8,25%</t>
  </si>
  <si>
    <t>Septemb</t>
  </si>
  <si>
    <t>Novemb</t>
  </si>
  <si>
    <t>Décemb</t>
  </si>
  <si>
    <t>JAPON</t>
  </si>
  <si>
    <t>EUROPE</t>
  </si>
  <si>
    <t>أوربا</t>
  </si>
  <si>
    <t>AFRIQUE</t>
  </si>
  <si>
    <t>الوحدة : لاف الدولار</t>
  </si>
  <si>
    <t>قاعية(دمرسو)</t>
  </si>
  <si>
    <t xml:space="preserve"> السطحي</t>
  </si>
  <si>
    <r>
      <t xml:space="preserve">Unités : </t>
    </r>
    <r>
      <rPr>
        <b/>
        <i/>
        <sz val="12"/>
        <color indexed="57"/>
        <rFont val="Times New Roman"/>
        <family val="1"/>
      </rPr>
      <t>Milliers $ E.U.</t>
    </r>
  </si>
  <si>
    <r>
      <t xml:space="preserve">الوحدة : </t>
    </r>
    <r>
      <rPr>
        <b/>
        <i/>
        <sz val="12"/>
        <color indexed="57"/>
        <rFont val="Times New Roman"/>
        <family val="1"/>
      </rPr>
      <t>لاف الدولار</t>
    </r>
  </si>
  <si>
    <r>
      <t xml:space="preserve">Source : </t>
    </r>
    <r>
      <rPr>
        <b/>
        <i/>
        <sz val="14"/>
        <rFont val="Sakkal Majalla"/>
      </rPr>
      <t>Société Mauritanienne de Commercialisation de Poissons (SMCP)</t>
    </r>
  </si>
  <si>
    <r>
      <t xml:space="preserve">المصدر : </t>
    </r>
    <r>
      <rPr>
        <b/>
        <i/>
        <sz val="14"/>
        <rFont val="Arabic Typesetting"/>
        <family val="4"/>
      </rPr>
      <t>الشركة الموريتانية لتسويق الأسماك</t>
    </r>
  </si>
  <si>
    <t>NOUAKCHOTT</t>
  </si>
  <si>
    <t>min.</t>
  </si>
  <si>
    <t xml:space="preserve">              max.</t>
  </si>
  <si>
    <t>NEMA</t>
  </si>
  <si>
    <t>AIOUN</t>
  </si>
  <si>
    <t>KIFFA</t>
  </si>
  <si>
    <t>KAEDI</t>
  </si>
  <si>
    <t>ROSSO</t>
  </si>
  <si>
    <t>BOUTILIMITT</t>
  </si>
  <si>
    <t>ATAR</t>
  </si>
  <si>
    <t xml:space="preserve">               max.</t>
  </si>
  <si>
    <t>NOUADHIBOU</t>
  </si>
  <si>
    <t>TIDJIKJA</t>
  </si>
  <si>
    <t>ZOUERATE</t>
  </si>
  <si>
    <t>AKJOUJT</t>
  </si>
  <si>
    <t>Mauritanie</t>
  </si>
  <si>
    <t>الدنيا</t>
  </si>
  <si>
    <t>القصوى</t>
  </si>
  <si>
    <t>النعمة</t>
  </si>
  <si>
    <t>لعيون</t>
  </si>
  <si>
    <t>كيفة</t>
  </si>
  <si>
    <t>كيهيدي</t>
  </si>
  <si>
    <t>روصو</t>
  </si>
  <si>
    <t>بوتلميت</t>
  </si>
  <si>
    <t>أطار</t>
  </si>
  <si>
    <t xml:space="preserve">       </t>
  </si>
  <si>
    <t>تجكجة</t>
  </si>
  <si>
    <t>أكجوجت</t>
  </si>
  <si>
    <t>المستوى الوطني</t>
  </si>
  <si>
    <t xml:space="preserve"> </t>
  </si>
  <si>
    <t xml:space="preserve">STATIONS </t>
  </si>
  <si>
    <t xml:space="preserve"> NOUAKCHOTT</t>
  </si>
  <si>
    <t xml:space="preserve"> NEMA</t>
  </si>
  <si>
    <t xml:space="preserve"> AIOUN</t>
  </si>
  <si>
    <t xml:space="preserve"> KIFFA</t>
  </si>
  <si>
    <t xml:space="preserve"> KAEDI</t>
  </si>
  <si>
    <t xml:space="preserve"> ROSSO</t>
  </si>
  <si>
    <t xml:space="preserve"> BOUTILIMIT</t>
  </si>
  <si>
    <t xml:space="preserve"> ATAR</t>
  </si>
  <si>
    <t xml:space="preserve"> NOUADHIBOU</t>
  </si>
  <si>
    <t xml:space="preserve"> TIDJIKJA</t>
  </si>
  <si>
    <t xml:space="preserve"> SELIBABY</t>
  </si>
  <si>
    <t xml:space="preserve"> ZOUERATE</t>
  </si>
  <si>
    <t xml:space="preserve"> BIR MOGHREIN</t>
  </si>
  <si>
    <t xml:space="preserve"> AKJOUJT</t>
  </si>
  <si>
    <t>المحطة</t>
  </si>
  <si>
    <t>سيلبابي</t>
  </si>
  <si>
    <t>ازويرات</t>
  </si>
  <si>
    <t>بيرأم اكرين</t>
  </si>
  <si>
    <t>STATIONS</t>
  </si>
  <si>
    <t>BOUTILIMIT</t>
  </si>
  <si>
    <t>SELIBABY</t>
  </si>
  <si>
    <t>BIR MOGHREIN</t>
  </si>
  <si>
    <t xml:space="preserve">النعمة </t>
  </si>
  <si>
    <t>المناخ</t>
  </si>
  <si>
    <t>CLIMATOLOGIE</t>
  </si>
  <si>
    <t xml:space="preserve">الـتجـارة الخـارجـيـة </t>
  </si>
  <si>
    <t>ECHANGES EXTERIEUR</t>
  </si>
  <si>
    <t>الصناعة والمعادن</t>
  </si>
  <si>
    <t>MINES ET INDUSTRIE</t>
  </si>
  <si>
    <t>الزراعة والتنمية الحيوانية</t>
  </si>
  <si>
    <t>AGRICULTURE ET ELEVAGE</t>
  </si>
  <si>
    <t>الصيد</t>
  </si>
  <si>
    <t>PECHE</t>
  </si>
  <si>
    <t xml:space="preserve">المالية العمومية </t>
  </si>
  <si>
    <t>FINANCES PUBLIQUES</t>
  </si>
  <si>
    <t>النقــل والمواصلات</t>
  </si>
  <si>
    <t>TRANSPORT ET COMMUNICATION</t>
  </si>
  <si>
    <t>16 722</t>
  </si>
  <si>
    <t>TABLEAU 19.5 : NOMBRE DE JOURS DE PLUIE</t>
  </si>
  <si>
    <t>الجدول 5.19 : عدد الأيام الممطرة</t>
  </si>
  <si>
    <t>STATION</t>
  </si>
  <si>
    <t xml:space="preserve"> انواكشوط</t>
  </si>
  <si>
    <t>National</t>
  </si>
  <si>
    <t xml:space="preserve">مجموع الايرادات بمافيها الهبات </t>
  </si>
  <si>
    <t>ايرادات ضريبية</t>
  </si>
  <si>
    <t xml:space="preserve">ايرادات غير ضريبية </t>
  </si>
  <si>
    <t xml:space="preserve">ايرادات غير متوقعة </t>
  </si>
  <si>
    <t xml:space="preserve">ايرادات غير مبوبة </t>
  </si>
  <si>
    <t>الدول الفقيرة المثقلة بالديون</t>
  </si>
  <si>
    <t>منها ديون على الدولة</t>
  </si>
  <si>
    <t>هبات في اطار المشاريع والبرامج</t>
  </si>
  <si>
    <t>نفقات التسيير</t>
  </si>
  <si>
    <t>نفقات تسيير بدون فائدة</t>
  </si>
  <si>
    <t>معدات وصيانة ولوازم</t>
  </si>
  <si>
    <t>نفقات عامة</t>
  </si>
  <si>
    <t>الخاارجية</t>
  </si>
  <si>
    <t xml:space="preserve">نفقات اخرى </t>
  </si>
  <si>
    <t xml:space="preserve">نفقات استثمار وديون صافية </t>
  </si>
  <si>
    <t>نفقات الإستثمار</t>
  </si>
  <si>
    <t>نفقات مبرمجة</t>
  </si>
  <si>
    <t>نفقات غير مبرمجة</t>
  </si>
  <si>
    <t xml:space="preserve">اعادة هيكلة وديون  صافية </t>
  </si>
  <si>
    <t>نفقات إعادة هيكلة</t>
  </si>
  <si>
    <t>خارجي(صافي)</t>
  </si>
  <si>
    <t>سحب المشاريع</t>
  </si>
  <si>
    <t xml:space="preserve">سحب البرامج </t>
  </si>
  <si>
    <t xml:space="preserve">إهتلاك </t>
  </si>
  <si>
    <t xml:space="preserve">اخرى </t>
  </si>
  <si>
    <t>نفقات قيد التسديد</t>
  </si>
  <si>
    <t xml:space="preserve">نفقات قيد التسديد على ادارة الميزانية والحسابات </t>
  </si>
  <si>
    <t>الخطأ والنسيان</t>
  </si>
  <si>
    <t xml:space="preserve">خارجي استثنائي </t>
  </si>
  <si>
    <t xml:space="preserve">المصدر : إدارة الميزانية والحسبات </t>
  </si>
  <si>
    <r>
      <t xml:space="preserve">Unité : </t>
    </r>
    <r>
      <rPr>
        <b/>
        <i/>
        <sz val="11"/>
        <color indexed="57"/>
        <rFont val="Times New Roman"/>
        <family val="1"/>
      </rPr>
      <t>millions UM</t>
    </r>
  </si>
  <si>
    <r>
      <t xml:space="preserve">الوحدة : </t>
    </r>
    <r>
      <rPr>
        <b/>
        <i/>
        <sz val="11"/>
        <color indexed="57"/>
        <rFont val="Times New Roman"/>
        <family val="1"/>
      </rPr>
      <t>مليون أوقية</t>
    </r>
  </si>
  <si>
    <r>
      <t xml:space="preserve">Source : </t>
    </r>
    <r>
      <rPr>
        <b/>
        <i/>
        <sz val="10"/>
        <rFont val="Times New Roman"/>
        <family val="1"/>
      </rPr>
      <t>Direction du Budget et des Comptes.</t>
    </r>
  </si>
  <si>
    <t>1 007 462</t>
  </si>
  <si>
    <t>375 685</t>
  </si>
  <si>
    <t>649 777</t>
  </si>
  <si>
    <t>599 888</t>
  </si>
  <si>
    <t>30 412</t>
  </si>
  <si>
    <t>15 823</t>
  </si>
  <si>
    <t>3 655</t>
  </si>
  <si>
    <r>
      <t>الجدول 4.11 : تطور مؤشر الإنتاج الصناعي</t>
    </r>
    <r>
      <rPr>
        <b/>
        <sz val="18"/>
        <color rgb="FFFF0000"/>
        <rFont val="Arabic Typesetting"/>
        <family val="4"/>
      </rPr>
      <t xml:space="preserve"> </t>
    </r>
    <r>
      <rPr>
        <b/>
        <sz val="18"/>
        <color theme="1"/>
        <rFont val="Arabic Typesetting"/>
        <family val="4"/>
      </rPr>
      <t>( أساس 100 = متوسط الفصول من الفصل 3 سنة 2016 إلى الفصل 2 سنة 2017)</t>
    </r>
  </si>
  <si>
    <t>البيان Libellée</t>
  </si>
  <si>
    <t>المؤشر العام</t>
  </si>
  <si>
    <t>مؤشر الصناعات الاستخراجية</t>
  </si>
  <si>
    <t>مؤشر الصناعات التحويلية</t>
  </si>
  <si>
    <t>مؤشر الطاقة</t>
  </si>
  <si>
    <t>Indice Général</t>
  </si>
  <si>
    <t>Indice Industries Extractives</t>
  </si>
  <si>
    <t>Indice Industries Manufacturières</t>
  </si>
  <si>
    <t>Indice Energie</t>
  </si>
  <si>
    <t>الفصل الأول T1</t>
  </si>
  <si>
    <t>الفصل الثاني T2</t>
  </si>
  <si>
    <t>الفصل الثالث T3</t>
  </si>
  <si>
    <t>الفصل الرابع T4</t>
  </si>
  <si>
    <t>Source : ANSADE</t>
  </si>
  <si>
    <t>المصدر الوكالة الوطنية للإحصاء والتحليل الديموغرافي والاقتصادي</t>
  </si>
  <si>
    <t>1995-1996</t>
  </si>
  <si>
    <t>1996-1997</t>
  </si>
  <si>
    <t>1997-1998</t>
  </si>
  <si>
    <t>2013-2014</t>
  </si>
  <si>
    <t>2014-2015</t>
  </si>
  <si>
    <t>2015-2016</t>
  </si>
  <si>
    <t>2017-2018</t>
  </si>
  <si>
    <t>2018-2019</t>
  </si>
  <si>
    <t>2019-2020</t>
  </si>
  <si>
    <t>2020-2021</t>
  </si>
  <si>
    <t>2021-2022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</si>
  <si>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</si>
  <si>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</si>
  <si>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</si>
  <si>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</si>
  <si>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</si>
  <si>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</si>
  <si>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</si>
  <si>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</si>
  <si>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</si>
  <si>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</si>
  <si>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</si>
  <si>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</si>
  <si>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</si>
  <si>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</si>
  <si>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</si>
  <si>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2016-2017</t>
  </si>
  <si>
    <t>CHAPITRE I</t>
  </si>
  <si>
    <t>الفصل الأول</t>
  </si>
  <si>
    <t>TABLEAU 1.1 : SUPERFICIES CULTIVEES POUR LES PRINCIPALES CULTURES</t>
  </si>
  <si>
    <t>TABLEAU 1.2 : EVOLUTION DE LA PRODUCTION AGRICOLE BRUTE</t>
  </si>
  <si>
    <t>TABLEAU 1.3 : EVOLUTION DE LA PRODUCTION AGRICOLE NETTE</t>
  </si>
  <si>
    <t>2022-2023</t>
  </si>
  <si>
    <t>TABLEAU 1.4 : Effectifs du Cheptel</t>
  </si>
  <si>
    <t xml:space="preserve">الجدول 4.1 : التنمية الحيوانية </t>
  </si>
  <si>
    <t>الفصل الثاني</t>
  </si>
  <si>
    <t>CHAPITRE II</t>
  </si>
  <si>
    <t>CHAPITRE III</t>
  </si>
  <si>
    <t>الفصل الثالث</t>
  </si>
  <si>
    <r>
      <t>Source</t>
    </r>
    <r>
      <rPr>
        <sz val="16"/>
        <rFont val="Sakkal Majalla"/>
      </rPr>
      <t xml:space="preserve"> :</t>
    </r>
    <r>
      <rPr>
        <b/>
        <i/>
        <sz val="16"/>
        <rFont val="Sakkal Majalla"/>
      </rPr>
      <t xml:space="preserve"> Service de la Météorologie (SAM)</t>
    </r>
  </si>
  <si>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للارصاد الجوية</t>
    </r>
  </si>
  <si>
    <r>
      <t xml:space="preserve">Source : </t>
    </r>
    <r>
      <rPr>
        <b/>
        <i/>
        <sz val="16"/>
        <rFont val="Sakkal Majalla"/>
      </rPr>
      <t>Service de la Météorologie (SAM)</t>
    </r>
  </si>
  <si>
    <r>
      <t xml:space="preserve">Unité : </t>
    </r>
    <r>
      <rPr>
        <b/>
        <i/>
        <sz val="16"/>
        <rFont val="Sakkal Majalla"/>
      </rPr>
      <t>nombre</t>
    </r>
  </si>
  <si>
    <r>
      <t>الوحدة</t>
    </r>
    <r>
      <rPr>
        <sz val="16"/>
        <rFont val="Sakkal Majalla"/>
      </rPr>
      <t xml:space="preserve"> : </t>
    </r>
    <r>
      <rPr>
        <b/>
        <i/>
        <sz val="16"/>
        <rFont val="Sakkal Majalla"/>
      </rPr>
      <t>العدد</t>
    </r>
  </si>
  <si>
    <r>
      <t xml:space="preserve">Source : </t>
    </r>
    <r>
      <rPr>
        <b/>
        <i/>
        <sz val="16"/>
        <rFont val="Sakkal Majalla"/>
      </rPr>
      <t>Service de la Météorologie (SAM)/ ONM</t>
    </r>
  </si>
  <si>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للأرصاد الجوية</t>
    </r>
  </si>
  <si>
    <t>2 302</t>
  </si>
  <si>
    <t>1 565</t>
  </si>
  <si>
    <t>28 980</t>
  </si>
  <si>
    <t>7 396,9</t>
  </si>
  <si>
    <t>476 382,0</t>
  </si>
  <si>
    <t>الفصل الرابع</t>
  </si>
  <si>
    <t>تطور الأسعار والتموين</t>
  </si>
  <si>
    <t>CHAPITRE IV</t>
  </si>
  <si>
    <t>EVOLUTION DES PRIX ET APPROVISIONNEMENT</t>
  </si>
  <si>
    <t>الفصـل الخامس</t>
  </si>
  <si>
    <t>CHAPITRE V</t>
  </si>
  <si>
    <t>85.5</t>
  </si>
  <si>
    <t>95.8</t>
  </si>
  <si>
    <t>115.6</t>
  </si>
  <si>
    <t>105.8</t>
  </si>
  <si>
    <t>112.4</t>
  </si>
  <si>
    <t>120.1</t>
  </si>
  <si>
    <t>108.9</t>
  </si>
  <si>
    <t>98.6</t>
  </si>
  <si>
    <t>90.2</t>
  </si>
  <si>
    <t>93.1</t>
  </si>
  <si>
    <t>91.1</t>
  </si>
  <si>
    <t>80.9</t>
  </si>
  <si>
    <t>99.8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</si>
  <si>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861,9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</si>
  <si>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788,4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</si>
  <si>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613,6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</si>
  <si>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240,7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</si>
  <si>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985,2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</si>
  <si>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953,0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</si>
  <si>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308,6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</si>
  <si>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369,4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</si>
  <si>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334,4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</si>
  <si>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146,9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</si>
  <si>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046,7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</si>
  <si>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949,4</t>
    </r>
  </si>
  <si>
    <r>
      <t>3</t>
    </r>
    <r>
      <rPr>
        <b/>
        <sz val="18"/>
        <color theme="1"/>
        <rFont val="Times New Roman"/>
        <family val="1"/>
      </rPr>
      <t> </t>
    </r>
    <r>
      <rPr>
        <b/>
        <sz val="18"/>
        <color theme="1"/>
        <rFont val="Sakkal Majalla"/>
      </rPr>
      <t>049,8</t>
    </r>
  </si>
  <si>
    <t>..</t>
  </si>
  <si>
    <t>4902.9</t>
  </si>
  <si>
    <t>112.0</t>
  </si>
  <si>
    <t>120.6</t>
  </si>
  <si>
    <t>112.9</t>
  </si>
  <si>
    <t>114.3</t>
  </si>
  <si>
    <t xml:space="preserve"> Taux de change Euro. "€" en ouguiya</t>
  </si>
  <si>
    <t>الجدول 11.5 : استيراد المواد الغذائية الأساسية</t>
  </si>
  <si>
    <t>TABLEAU 5.11 : IMPORTATIONS DE PRINCIPAUX PRODUITS ALIMENTAIRES</t>
  </si>
  <si>
    <t>Produits /Année</t>
  </si>
  <si>
    <t>Café, thé et cacao</t>
  </si>
  <si>
    <t>بن وشاي وكاكاو وتوابل</t>
  </si>
  <si>
    <t>Céréales non transformées</t>
  </si>
  <si>
    <t>Blé</t>
  </si>
  <si>
    <t>قمح</t>
  </si>
  <si>
    <t>Maïs</t>
  </si>
  <si>
    <t>ذرة</t>
  </si>
  <si>
    <t>أرز</t>
  </si>
  <si>
    <t>Céréales transofmées</t>
  </si>
  <si>
    <t>طحين ودقيق</t>
  </si>
  <si>
    <t>طحين ودقيق حبوب أخرى</t>
  </si>
  <si>
    <t>دقيق الشوفان والسميد</t>
  </si>
  <si>
    <t>Fruits</t>
  </si>
  <si>
    <t>فواكه</t>
  </si>
  <si>
    <t>Huiles et graisses animale</t>
  </si>
  <si>
    <t>زيوت ودهون حيوانية</t>
  </si>
  <si>
    <t>Laits et produits laitiers</t>
  </si>
  <si>
    <t>منتجات ألبان</t>
  </si>
  <si>
    <t>Légumes</t>
  </si>
  <si>
    <t>خضروات</t>
  </si>
  <si>
    <t>Oeufs d'oiseaux</t>
  </si>
  <si>
    <t>بيض</t>
  </si>
  <si>
    <t>Préparations alimentaires diverses</t>
  </si>
  <si>
    <t>محضرات غذائية متنوعة</t>
  </si>
  <si>
    <t>Produits à base de céréales</t>
  </si>
  <si>
    <t>محضرات حبوب</t>
  </si>
  <si>
    <t>مواد الصيد</t>
  </si>
  <si>
    <t>Sel, y.c. le sel préparé pour la table</t>
  </si>
  <si>
    <t>ملح الطعام</t>
  </si>
  <si>
    <t>Sucre et sucrerie</t>
  </si>
  <si>
    <t>سكر، ومحضرات سكرية، وعسل نحل</t>
  </si>
  <si>
    <t>Autres dérivés du sucre</t>
  </si>
  <si>
    <t>مشتقات سكر أخرى</t>
  </si>
  <si>
    <t>Miel naturel</t>
  </si>
  <si>
    <t>عسل طبيعي</t>
  </si>
  <si>
    <t>Sucre blanc</t>
  </si>
  <si>
    <t>سكر أبيض</t>
  </si>
  <si>
    <t>Viandes et ses préparations</t>
  </si>
  <si>
    <t>لحوم ومحضرات لحوم</t>
  </si>
  <si>
    <t>Farine de maïs</t>
  </si>
  <si>
    <t xml:space="preserve">                                     -   </t>
  </si>
  <si>
    <r>
      <t xml:space="preserve">Unité : </t>
    </r>
    <r>
      <rPr>
        <i/>
        <sz val="18"/>
        <rFont val="Sakkal Majalla"/>
      </rPr>
      <t>milliers $ E.U.</t>
    </r>
  </si>
  <si>
    <r>
      <t xml:space="preserve">الوحدة : </t>
    </r>
    <r>
      <rPr>
        <i/>
        <sz val="18"/>
        <rFont val="Sakkal Majalla"/>
      </rPr>
      <t>بألاف الدولارات</t>
    </r>
  </si>
  <si>
    <r>
      <t xml:space="preserve">Unité : </t>
    </r>
    <r>
      <rPr>
        <i/>
        <sz val="18"/>
        <rFont val="Sakkal Majalla"/>
      </rPr>
      <t>Milliers $ E.U.</t>
    </r>
  </si>
  <si>
    <r>
      <t xml:space="preserve">Unité : </t>
    </r>
    <r>
      <rPr>
        <b/>
        <i/>
        <sz val="18"/>
        <color theme="2"/>
        <rFont val="Times New Roman"/>
        <family val="1"/>
      </rPr>
      <t>1000$ E.U.</t>
    </r>
  </si>
  <si>
    <r>
      <t xml:space="preserve">الوحدة : </t>
    </r>
    <r>
      <rPr>
        <b/>
        <i/>
        <sz val="20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</si>
  <si>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20"/>
        <color theme="2"/>
        <rFont val="Times New Roman"/>
        <family val="1"/>
      </rPr>
      <t>Tonnes</t>
    </r>
  </si>
  <si>
    <r>
      <t xml:space="preserve">الوحدة : </t>
    </r>
    <r>
      <rPr>
        <b/>
        <i/>
        <sz val="12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</si>
  <si>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12"/>
        <color theme="2"/>
        <rFont val="Times New Roman"/>
        <family val="1"/>
      </rPr>
      <t>Tonnes</t>
    </r>
  </si>
  <si>
    <t>Fédération de Russie</t>
  </si>
  <si>
    <t>Argentine</t>
  </si>
  <si>
    <t>الارجنتين</t>
  </si>
  <si>
    <t>TABLEAU 5.23 : EVOLUTION DE LA BALANCE DES PAIEMENTS</t>
  </si>
  <si>
    <t xml:space="preserve">الجدول 23.5  : تطور ميزان المدفوعات </t>
  </si>
  <si>
    <r>
      <t xml:space="preserve">Unité : </t>
    </r>
    <r>
      <rPr>
        <b/>
        <i/>
        <sz val="18"/>
        <color theme="0"/>
        <rFont val="Sakkal Majalla"/>
      </rPr>
      <t>millions d'ouguiya</t>
    </r>
  </si>
  <si>
    <t>Taux de change du dollar E.U. "$" en ouguiya</t>
  </si>
  <si>
    <t>معدل صرف الدولار "$" مقابل الأوقية</t>
  </si>
  <si>
    <t>Taux de change de l'Euro "€" en ouguiya</t>
  </si>
  <si>
    <t xml:space="preserve">معدل صرف اليورو  "€" مقابل الأوقية </t>
  </si>
  <si>
    <t>Balance commerciale</t>
  </si>
  <si>
    <t>الميزان التجاري</t>
  </si>
  <si>
    <t>Exportations</t>
  </si>
  <si>
    <t xml:space="preserve">الصادرات </t>
  </si>
  <si>
    <t xml:space="preserve">الواردات </t>
  </si>
  <si>
    <t>Services et revenus (nets)</t>
  </si>
  <si>
    <t xml:space="preserve"> خدمات وعائدات (صافية)</t>
  </si>
  <si>
    <t xml:space="preserve">  Services nets</t>
  </si>
  <si>
    <t>خدمات صافية</t>
  </si>
  <si>
    <t xml:space="preserve">  Revenus nets</t>
  </si>
  <si>
    <t>عائدات (صافية)</t>
  </si>
  <si>
    <t xml:space="preserve">      dont: Intérêts sur la dette officielle</t>
  </si>
  <si>
    <t xml:space="preserve">منها : فوائد مستحقة على الدين الرسمي </t>
  </si>
  <si>
    <t xml:space="preserve"> تحويلات جارية</t>
  </si>
  <si>
    <t xml:space="preserve">    Transfert prives (net)</t>
  </si>
  <si>
    <t xml:space="preserve">   تحويلات خاصة (صافية)</t>
  </si>
  <si>
    <t xml:space="preserve">    Transfert officiels</t>
  </si>
  <si>
    <t xml:space="preserve">   تحويلات رسمية </t>
  </si>
  <si>
    <t>Solde des transactions courantes</t>
  </si>
  <si>
    <t xml:space="preserve"> رصيد المعاملات الجارية</t>
  </si>
  <si>
    <t>Compte de capital</t>
  </si>
  <si>
    <t xml:space="preserve">  الحساب الرأس مالي </t>
  </si>
  <si>
    <t>Compte financier</t>
  </si>
  <si>
    <t xml:space="preserve">  الحساب المالي </t>
  </si>
  <si>
    <t xml:space="preserve">Investissements directs nets </t>
  </si>
  <si>
    <t xml:space="preserve">   استثمارات  مباشرة صافية</t>
  </si>
  <si>
    <t>Dont : prospection pétrolières (net)</t>
  </si>
  <si>
    <t xml:space="preserve">    منها : التنقيب عن النفط</t>
  </si>
  <si>
    <t>Prêts officiels à moyen et long termes</t>
  </si>
  <si>
    <t>قروض رسمية متوسطة وطويلة الأجل</t>
  </si>
  <si>
    <t>Autres transactions privées en capital</t>
  </si>
  <si>
    <t>تحويلات خاصة أخرى</t>
  </si>
  <si>
    <t>Compte de capital et d'opération financières</t>
  </si>
  <si>
    <t>الحساب الرأسمالي و المالي</t>
  </si>
  <si>
    <t>Erreurs et omissions</t>
  </si>
  <si>
    <t>أخطاء</t>
  </si>
  <si>
    <t>Balance globale</t>
  </si>
  <si>
    <t xml:space="preserve"> الميزان الكلي </t>
  </si>
  <si>
    <t xml:space="preserve"> تمويل </t>
  </si>
  <si>
    <t xml:space="preserve">   Actifs extérieurs net</t>
  </si>
  <si>
    <t xml:space="preserve">  موجودات خارجية صافية</t>
  </si>
  <si>
    <t xml:space="preserve">      BCM</t>
  </si>
  <si>
    <t xml:space="preserve">   البنك المركزي الموريتاني </t>
  </si>
  <si>
    <t xml:space="preserve">         Avoirs</t>
  </si>
  <si>
    <t xml:space="preserve">    موجودات </t>
  </si>
  <si>
    <t xml:space="preserve">         Engagements </t>
  </si>
  <si>
    <t xml:space="preserve">    التزامات </t>
  </si>
  <si>
    <t xml:space="preserve">      Banques commerciales (net)</t>
  </si>
  <si>
    <t xml:space="preserve">   البنوك التجارية(صافي)</t>
  </si>
  <si>
    <t xml:space="preserve">      Compte pétrolier</t>
  </si>
  <si>
    <t xml:space="preserve">   حساب نفطي</t>
  </si>
  <si>
    <t xml:space="preserve">   Financements exceptionnel</t>
  </si>
  <si>
    <t xml:space="preserve">  تمويل استثنائي </t>
  </si>
  <si>
    <r>
      <t xml:space="preserve">Source : </t>
    </r>
    <r>
      <rPr>
        <b/>
        <i/>
        <sz val="10"/>
        <rFont val="Sakkal Majalla"/>
      </rPr>
      <t xml:space="preserve">BCM </t>
    </r>
  </si>
  <si>
    <r>
      <t xml:space="preserve">المصدر : </t>
    </r>
    <r>
      <rPr>
        <b/>
        <i/>
        <sz val="10"/>
        <rFont val="Arabic Typesetting"/>
        <family val="4"/>
      </rPr>
      <t>البنك المركزي الموريتاني</t>
    </r>
  </si>
  <si>
    <t xml:space="preserve">                        -   </t>
  </si>
  <si>
    <t xml:space="preserve">                        -</t>
  </si>
  <si>
    <t>الفصل السادس</t>
  </si>
  <si>
    <t xml:space="preserve">CHAPITRE VI </t>
  </si>
  <si>
    <t>الفصل السابع</t>
  </si>
  <si>
    <t>مجاميع المحاسبة الوطنية</t>
  </si>
  <si>
    <t xml:space="preserve">CHAPITRE VII </t>
  </si>
  <si>
    <t>AGREGATS DE LA COMPTABILITE NATIONALE</t>
  </si>
  <si>
    <t>الجدول 1.7 : تطور استخدامات الناتج الداخلي الخام  بالأسعار الجارية (مليون أوقية)</t>
  </si>
  <si>
    <t xml:space="preserve">Libellé </t>
  </si>
  <si>
    <t>2018*</t>
  </si>
  <si>
    <t>2019*</t>
  </si>
  <si>
    <t>البيان</t>
  </si>
  <si>
    <t>Importation</t>
  </si>
  <si>
    <t>161 145</t>
  </si>
  <si>
    <t>198 229</t>
  </si>
  <si>
    <t>الواردات</t>
  </si>
  <si>
    <t>PIB</t>
  </si>
  <si>
    <t>331 932</t>
  </si>
  <si>
    <t>360 892</t>
  </si>
  <si>
    <t>الناتج الداخلي الخام بأسعار السوق</t>
  </si>
  <si>
    <t>Consommation Finale</t>
  </si>
  <si>
    <t>226 095</t>
  </si>
  <si>
    <t>257 304</t>
  </si>
  <si>
    <t>الإستهلاك النهائي</t>
  </si>
  <si>
    <t>Consommation Finale Ménage</t>
  </si>
  <si>
    <t>175 635</t>
  </si>
  <si>
    <t>191 656</t>
  </si>
  <si>
    <t>استهلاك الأسر</t>
  </si>
  <si>
    <t>Consommation Finale Ménage non marchande</t>
  </si>
  <si>
    <t>23 078</t>
  </si>
  <si>
    <t>25 183</t>
  </si>
  <si>
    <t>الاستهلاك النهائي للأسر المعيشية غير السوقية</t>
  </si>
  <si>
    <t>Consommation Finale Ménage marchande</t>
  </si>
  <si>
    <t>152 557</t>
  </si>
  <si>
    <t>166 474</t>
  </si>
  <si>
    <t>الاستهلاك النهائي للأسر المعيشية كصاحب عمل</t>
  </si>
  <si>
    <t>Consommation Finale des Administations Publiques</t>
  </si>
  <si>
    <t>49 788</t>
  </si>
  <si>
    <t>64 722</t>
  </si>
  <si>
    <t>الإستهلاك العمومي</t>
  </si>
  <si>
    <t>Consommation Finale des ISBLM</t>
  </si>
  <si>
    <t>الأستهلاك النهائي للمؤسسات غير الربحية التي تخدم الأسر</t>
  </si>
  <si>
    <t>Formation brut de capital fixe</t>
  </si>
  <si>
    <t>93 774</t>
  </si>
  <si>
    <t>93 045</t>
  </si>
  <si>
    <t xml:space="preserve">التكوين الخام لرأس المال الثابت </t>
  </si>
  <si>
    <t>Variations de stock</t>
  </si>
  <si>
    <t>31 007</t>
  </si>
  <si>
    <t>التغير في المخزون</t>
  </si>
  <si>
    <t>Acquisitions nettes en objets de valeur</t>
  </si>
  <si>
    <t>Exportation</t>
  </si>
  <si>
    <t>132 559</t>
  </si>
  <si>
    <t>177 765</t>
  </si>
  <si>
    <t>المصدر: الوكالة الوطنية للإحصاء والتحليل الديمغرافي والاقتصادي</t>
  </si>
  <si>
    <t>* : données provisoires</t>
  </si>
  <si>
    <t>* : معطيات مؤقتة</t>
  </si>
  <si>
    <t>TABLEAU 7.1 : Evolution des emplois du PIB à prix courants en millions de MRU</t>
  </si>
  <si>
    <t>Table 7.2: PIB Courant par branche d'activité</t>
  </si>
  <si>
    <t>الجدول 2.7 : تطور الناتج الداخلي الخام بالأسعار الجارية</t>
  </si>
  <si>
    <t>Unité: Millions de MRU</t>
  </si>
  <si>
    <t>Secteur primaire</t>
  </si>
  <si>
    <t>63 687</t>
  </si>
  <si>
    <t>80 409</t>
  </si>
  <si>
    <t>القطاع الأولي</t>
  </si>
  <si>
    <t>1. Agriculture, pêche, exploitation forestière</t>
  </si>
  <si>
    <t>الزراعة، الصيد و استغلال الغابات</t>
  </si>
  <si>
    <t xml:space="preserve">      1. 1 Agriculture, Sylviculture et Exploit. Forestière</t>
  </si>
  <si>
    <t>13 104</t>
  </si>
  <si>
    <t>17 696</t>
  </si>
  <si>
    <t>الزراعة</t>
  </si>
  <si>
    <t xml:space="preserve">      1. 2 Elevage et chasse</t>
  </si>
  <si>
    <t>33 712</t>
  </si>
  <si>
    <t>41 950</t>
  </si>
  <si>
    <t>التنمية الحيوانية</t>
  </si>
  <si>
    <t xml:space="preserve">      1. 3 Pêche</t>
  </si>
  <si>
    <t>16 871</t>
  </si>
  <si>
    <t>20 763</t>
  </si>
  <si>
    <t>Secteur secondaire</t>
  </si>
  <si>
    <t>106 040</t>
  </si>
  <si>
    <t>108 382</t>
  </si>
  <si>
    <t>القطاع الثانوي</t>
  </si>
  <si>
    <t>2. Activités extractives</t>
  </si>
  <si>
    <t>68 479</t>
  </si>
  <si>
    <t>68 834</t>
  </si>
  <si>
    <t xml:space="preserve">الصناعات الاستخراجية </t>
  </si>
  <si>
    <t xml:space="preserve">      2. 1 Extraction de produits pétroliers et gaziers</t>
  </si>
  <si>
    <t xml:space="preserve">استخراج المواد النفطية </t>
  </si>
  <si>
    <t xml:space="preserve">      2.2. Industries extractives autre que produits petroliers et gaziers</t>
  </si>
  <si>
    <t xml:space="preserve">استخراج المواد  غير النفطية والغازية </t>
  </si>
  <si>
    <t xml:space="preserve">      2. 2.1 Extraction des minerais métaliques</t>
  </si>
  <si>
    <t>63 493</t>
  </si>
  <si>
    <t>63 000</t>
  </si>
  <si>
    <t xml:space="preserve">استخراج المواد المعدنية </t>
  </si>
  <si>
    <t xml:space="preserve">               Fer_SNIM</t>
  </si>
  <si>
    <t>48 025</t>
  </si>
  <si>
    <t>36 329</t>
  </si>
  <si>
    <t xml:space="preserve">    الحديد</t>
  </si>
  <si>
    <t xml:space="preserve">              Or et Cuivre</t>
  </si>
  <si>
    <t>15 468</t>
  </si>
  <si>
    <t>26 671</t>
  </si>
  <si>
    <t xml:space="preserve">          الذهب و النحاس</t>
  </si>
  <si>
    <t xml:space="preserve">      2. 2.2 Autres activités extractives</t>
  </si>
  <si>
    <t>4 987</t>
  </si>
  <si>
    <t>5 834</t>
  </si>
  <si>
    <t xml:space="preserve">     نشاطات  استخراجية أخرى</t>
  </si>
  <si>
    <t>3. Activités manufacturières</t>
  </si>
  <si>
    <t>25 129</t>
  </si>
  <si>
    <t>26 941</t>
  </si>
  <si>
    <t>نشاطات   تحويلية</t>
  </si>
  <si>
    <t xml:space="preserve">      3. 1 Activités manufacturières hors eau et éléctricité</t>
  </si>
  <si>
    <t>19 587</t>
  </si>
  <si>
    <t>21 436</t>
  </si>
  <si>
    <t xml:space="preserve">أنشطة  لاتشمل الماء والكهرباء </t>
  </si>
  <si>
    <t xml:space="preserve">      3. 2 Production et distribution d'eau et d'électricité</t>
  </si>
  <si>
    <t>5 542</t>
  </si>
  <si>
    <t>5 504</t>
  </si>
  <si>
    <t xml:space="preserve">انتاج  وتوزيع الماء والكهرباء </t>
  </si>
  <si>
    <t>4. Bâtiment et travaux-publics</t>
  </si>
  <si>
    <t>12 432</t>
  </si>
  <si>
    <t>12 608</t>
  </si>
  <si>
    <t>البناء والأشغال العمومية</t>
  </si>
  <si>
    <t>Secteur tertiaire</t>
  </si>
  <si>
    <t>137 299</t>
  </si>
  <si>
    <t>154 439</t>
  </si>
  <si>
    <t>القطاع الثالوثي</t>
  </si>
  <si>
    <t>5. Transport, Information et communication</t>
  </si>
  <si>
    <t>21 868</t>
  </si>
  <si>
    <t>22 660</t>
  </si>
  <si>
    <t>النقل والاتصالات</t>
  </si>
  <si>
    <t xml:space="preserve">      5. 1 Transport</t>
  </si>
  <si>
    <t>13 911</t>
  </si>
  <si>
    <t>14 318</t>
  </si>
  <si>
    <t>النقل</t>
  </si>
  <si>
    <t xml:space="preserve">      5. 2 Information et communication</t>
  </si>
  <si>
    <t>7 958</t>
  </si>
  <si>
    <t>8 342</t>
  </si>
  <si>
    <t>الاتصالات</t>
  </si>
  <si>
    <t>8. Commerce</t>
  </si>
  <si>
    <t>34 429</t>
  </si>
  <si>
    <t>36 404</t>
  </si>
  <si>
    <t xml:space="preserve">التجارة </t>
  </si>
  <si>
    <t>9. Autres services</t>
  </si>
  <si>
    <t>58 122</t>
  </si>
  <si>
    <t>67 266</t>
  </si>
  <si>
    <t>خدمات أخرى</t>
  </si>
  <si>
    <t>10. Administrations publiques</t>
  </si>
  <si>
    <t>22 879</t>
  </si>
  <si>
    <t>28 109</t>
  </si>
  <si>
    <t>الإدارة العامة</t>
  </si>
  <si>
    <t>P.I.B. AU COUT DES FACTEURS</t>
  </si>
  <si>
    <t>الناتج الداخلي الخام بكلفة عوامل الانتاج</t>
  </si>
  <si>
    <t>Taxes nettes sur les produits</t>
  </si>
  <si>
    <t>24 907</t>
  </si>
  <si>
    <t>17 662</t>
  </si>
  <si>
    <t>الرسوم الصافية على البضائع</t>
  </si>
  <si>
    <t>P.I.B. AUX PRIX DU MARCHE</t>
  </si>
  <si>
    <t>307 026</t>
  </si>
  <si>
    <t>343 230</t>
  </si>
  <si>
    <t xml:space="preserve">  الناتج الداخلي الخام بأسعار السوق</t>
  </si>
  <si>
    <t>المصدر : الوكالة الوطنية للإحصاء والتحليل الديموغرافي والاقتصادي</t>
  </si>
  <si>
    <t xml:space="preserve">  (*) : données provisoires </t>
  </si>
  <si>
    <t xml:space="preserve">(*) : معطيات مؤقتة              </t>
  </si>
  <si>
    <t xml:space="preserve"> -     </t>
  </si>
  <si>
    <t xml:space="preserve"> -   </t>
  </si>
  <si>
    <t>2023*</t>
  </si>
  <si>
    <t>الفصـل الثامن</t>
  </si>
  <si>
    <t xml:space="preserve">النـقـد والقــروض </t>
  </si>
  <si>
    <t xml:space="preserve">CHAPITRE VIII </t>
  </si>
  <si>
    <t>MONNAIE ET CREDITS</t>
  </si>
  <si>
    <t xml:space="preserve"> الجدول 1.8 :  موارد النظام النقدي و مقابلاتها </t>
  </si>
  <si>
    <t>TABLEAU 8.1 : Les ressources du système Monétaire et leurs contreparties</t>
  </si>
  <si>
    <r>
      <t>Unité : M</t>
    </r>
    <r>
      <rPr>
        <b/>
        <i/>
        <sz val="18"/>
        <color theme="0"/>
        <rFont val="Sakkal Majalla"/>
      </rPr>
      <t>illions d'Ouguiya</t>
    </r>
  </si>
  <si>
    <t>10 دجمبر</t>
  </si>
  <si>
    <t>11 دجمبر</t>
  </si>
  <si>
    <t>12 دجمبر</t>
  </si>
  <si>
    <t>13 دجمبر</t>
  </si>
  <si>
    <t>14 دجمبر</t>
  </si>
  <si>
    <t>15 دجمبر</t>
  </si>
  <si>
    <t>16 دجمبر</t>
  </si>
  <si>
    <t>17 دجمبر</t>
  </si>
  <si>
    <t>18 دجمبر</t>
  </si>
  <si>
    <t>19 دجمبر</t>
  </si>
  <si>
    <t>20 دجمبر</t>
  </si>
  <si>
    <t>21 دجمبر</t>
  </si>
  <si>
    <t>22 دجمبر</t>
  </si>
  <si>
    <t>23 دجمبر</t>
  </si>
  <si>
    <t xml:space="preserve"> Déc10</t>
  </si>
  <si>
    <t xml:space="preserve"> Déc11</t>
  </si>
  <si>
    <t xml:space="preserve"> Déc12</t>
  </si>
  <si>
    <t xml:space="preserve"> Déc13</t>
  </si>
  <si>
    <t xml:space="preserve"> Déc14</t>
  </si>
  <si>
    <t xml:space="preserve"> Déc15</t>
  </si>
  <si>
    <t xml:space="preserve"> Déc16</t>
  </si>
  <si>
    <t xml:space="preserve"> Déc17</t>
  </si>
  <si>
    <t xml:space="preserve"> Déc18</t>
  </si>
  <si>
    <t xml:space="preserve"> Déc19</t>
  </si>
  <si>
    <t xml:space="preserve"> Déc20</t>
  </si>
  <si>
    <t xml:space="preserve"> Déc22</t>
  </si>
  <si>
    <t>Masse monétaire</t>
  </si>
  <si>
    <t>128 201</t>
  </si>
  <si>
    <t xml:space="preserve">الكتلة النقدية </t>
  </si>
  <si>
    <t>Monnaie</t>
  </si>
  <si>
    <t>103 824</t>
  </si>
  <si>
    <t>النقد</t>
  </si>
  <si>
    <t>Circulation fiduciaire</t>
  </si>
  <si>
    <t>22 187</t>
  </si>
  <si>
    <t xml:space="preserve">النقد المتداول </t>
  </si>
  <si>
    <t>Monnaie scripturale</t>
  </si>
  <si>
    <t>106 014</t>
  </si>
  <si>
    <t>نقد كتابي</t>
  </si>
  <si>
    <t>Depôts à vue</t>
  </si>
  <si>
    <t>81 637</t>
  </si>
  <si>
    <t xml:space="preserve">   منها ودائع تحت الطلب </t>
  </si>
  <si>
    <t>Quasi-monnaie</t>
  </si>
  <si>
    <t>24 377</t>
  </si>
  <si>
    <t>شبه النقود</t>
  </si>
  <si>
    <t>Autres postes (net)</t>
  </si>
  <si>
    <t>27 188</t>
  </si>
  <si>
    <t>حسابات أخرى صافية</t>
  </si>
  <si>
    <t>TOTAL RESSOURCES</t>
  </si>
  <si>
    <t>155 389</t>
  </si>
  <si>
    <t>مجموع الموارد</t>
  </si>
  <si>
    <t>Créances nettes sur l'extérieurs</t>
  </si>
  <si>
    <t>52 165</t>
  </si>
  <si>
    <t xml:space="preserve"> صافي الديون على الخارج</t>
  </si>
  <si>
    <t>Avoirs extérieurs</t>
  </si>
  <si>
    <t>80 473</t>
  </si>
  <si>
    <t xml:space="preserve">   موجودات خارجية</t>
  </si>
  <si>
    <t>Engagements</t>
  </si>
  <si>
    <t>28 308</t>
  </si>
  <si>
    <t xml:space="preserve">   إلتزامات  خارجية</t>
  </si>
  <si>
    <t>Crédits intérieurs</t>
  </si>
  <si>
    <t>103 224</t>
  </si>
  <si>
    <t xml:space="preserve"> القروض الداخلية</t>
  </si>
  <si>
    <t>Créances sur l'économie</t>
  </si>
  <si>
    <t>102 648</t>
  </si>
  <si>
    <t xml:space="preserve">    ديون على الاقتصاد</t>
  </si>
  <si>
    <t>Créances sur l'Etat</t>
  </si>
  <si>
    <t xml:space="preserve">   صافي الديون على الدولة</t>
  </si>
  <si>
    <t>TOTAL CONTREPARTIES</t>
  </si>
  <si>
    <t>مجموع المقابلات</t>
  </si>
  <si>
    <r>
      <t xml:space="preserve">Source : </t>
    </r>
    <r>
      <rPr>
        <b/>
        <i/>
        <sz val="10"/>
        <rFont val="Sakkal Majalla"/>
      </rPr>
      <t>Banque Centrale de Mauritanie (BCM)</t>
    </r>
  </si>
  <si>
    <r>
      <t xml:space="preserve"> المصدر : </t>
    </r>
    <r>
      <rPr>
        <b/>
        <i/>
        <sz val="10"/>
        <rFont val="Arabic Typesetting"/>
        <family val="4"/>
      </rPr>
      <t>البنك المركزي الموريتاني</t>
    </r>
  </si>
  <si>
    <t>TABLEAU 8.2 : Concours bancaires annuels par secteur</t>
  </si>
  <si>
    <t>الجدول 2.8 :الحالة السنوية للقروض المصرفية حسب التوزيع القطاعي</t>
  </si>
  <si>
    <r>
      <t>Unité : M</t>
    </r>
    <r>
      <rPr>
        <b/>
        <i/>
        <sz val="18"/>
        <color theme="0"/>
        <rFont val="Sakkal Majalla"/>
      </rPr>
      <t>illions d'Ouguiya MRU</t>
    </r>
  </si>
  <si>
    <t>Court et Moyen terme</t>
  </si>
  <si>
    <t>98 385</t>
  </si>
  <si>
    <t>أجل قصير ومتوسط</t>
  </si>
  <si>
    <t>Agriculture, élevage et pêche</t>
  </si>
  <si>
    <t>11 525</t>
  </si>
  <si>
    <t xml:space="preserve">   قطاع الزراعة ، التنمية الحيوانية و الصيد</t>
  </si>
  <si>
    <t>Agriculture et élevage</t>
  </si>
  <si>
    <t>1 660</t>
  </si>
  <si>
    <t>الزراعة و التنمية الحيوانية</t>
  </si>
  <si>
    <t>Pêche</t>
  </si>
  <si>
    <t>9 865</t>
  </si>
  <si>
    <t>Industries</t>
  </si>
  <si>
    <t>17 373</t>
  </si>
  <si>
    <t xml:space="preserve">  الصناعات</t>
  </si>
  <si>
    <t>Mines</t>
  </si>
  <si>
    <t>2 022</t>
  </si>
  <si>
    <t>المناجم</t>
  </si>
  <si>
    <t>Industries manufacturières</t>
  </si>
  <si>
    <t>6 518</t>
  </si>
  <si>
    <t>الصناعة التحويلية</t>
  </si>
  <si>
    <t>BTP</t>
  </si>
  <si>
    <t>8 832</t>
  </si>
  <si>
    <t>البناء والأشغال العامة</t>
  </si>
  <si>
    <t>Services</t>
  </si>
  <si>
    <t>32 387</t>
  </si>
  <si>
    <t xml:space="preserve">  الخدمات</t>
  </si>
  <si>
    <t>Commerce</t>
  </si>
  <si>
    <t>14 563</t>
  </si>
  <si>
    <t>التجارة</t>
  </si>
  <si>
    <t>Transport</t>
  </si>
  <si>
    <t>2 007</t>
  </si>
  <si>
    <t>Autres Services</t>
  </si>
  <si>
    <t>15 817</t>
  </si>
  <si>
    <t>37 100</t>
  </si>
  <si>
    <t xml:space="preserve">  قطاعات أخرى</t>
  </si>
  <si>
    <r>
      <t xml:space="preserve">Source : </t>
    </r>
    <r>
      <rPr>
        <i/>
        <sz val="10"/>
        <rFont val="Sakkal Majalla"/>
      </rPr>
      <t>Banque Centrale de Mauritanie (BCM)</t>
    </r>
  </si>
  <si>
    <r>
      <t xml:space="preserve">المصدر : </t>
    </r>
    <r>
      <rPr>
        <i/>
        <sz val="10"/>
        <rFont val="Arabic Typesetting"/>
        <family val="4"/>
      </rPr>
      <t>البنك المركزي الموريتاني</t>
    </r>
  </si>
  <si>
    <t>TABLEAU 8.3 : Taux d'interêt</t>
  </si>
  <si>
    <t>الجدول 3.8 :  معدل الفائدة</t>
  </si>
  <si>
    <t>Périodes</t>
  </si>
  <si>
    <t>الفترات</t>
  </si>
  <si>
    <t>Taux moyenn des bons du trésor</t>
  </si>
  <si>
    <t>متوسط سعر الفائدة لسندات الخزينة</t>
  </si>
  <si>
    <t>Taux créditeur plancher</t>
  </si>
  <si>
    <t>الحد الأدنى لسعر الفائدة الدائن</t>
  </si>
  <si>
    <t>Taux débiteur plafond</t>
  </si>
  <si>
    <t>سقف سعر الفائدة المدين</t>
  </si>
  <si>
    <t>Taux directeur de la BCM</t>
  </si>
  <si>
    <t>سعر الفائدة الرئيسي للبنك المركزي</t>
  </si>
  <si>
    <t>1618 ,2</t>
  </si>
  <si>
    <t>الفصل التاسع</t>
  </si>
  <si>
    <t>الطاقة</t>
  </si>
  <si>
    <t>CHAPITRE IX</t>
  </si>
  <si>
    <t>ENERGIE</t>
  </si>
  <si>
    <t>ضغط منخفض</t>
  </si>
  <si>
    <t>1 773 837</t>
  </si>
  <si>
    <r>
      <t>112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479</t>
    </r>
  </si>
  <si>
    <r>
      <t>106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986</t>
    </r>
  </si>
  <si>
    <r>
      <t>142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929</t>
    </r>
  </si>
  <si>
    <r>
      <t>144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864</t>
    </r>
  </si>
  <si>
    <r>
      <t>147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420</t>
    </r>
  </si>
  <si>
    <r>
      <t>157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179</t>
    </r>
  </si>
  <si>
    <r>
      <t>170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599</t>
    </r>
  </si>
  <si>
    <r>
      <t>166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795</t>
    </r>
  </si>
  <si>
    <r>
      <t>167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485</t>
    </r>
  </si>
  <si>
    <t>81 313 </t>
  </si>
  <si>
    <t xml:space="preserve">92 497 </t>
  </si>
  <si>
    <t>TABLEAU 9.5 : EVOLUTION DE LA CONSOMMATION MENSUELLE D'ELECTRICITE</t>
  </si>
  <si>
    <t xml:space="preserve">الجدول 5.9 : تطور الاستهلاك الشهري  للكهرباء </t>
  </si>
  <si>
    <r>
      <t xml:space="preserve">SOMELEC : </t>
    </r>
    <r>
      <rPr>
        <b/>
        <i/>
        <sz val="18"/>
        <color theme="0"/>
        <rFont val="Sakkal Majalla"/>
      </rPr>
      <t>Millions Kwh</t>
    </r>
  </si>
  <si>
    <r>
      <t xml:space="preserve">صوملك: </t>
    </r>
    <r>
      <rPr>
        <b/>
        <i/>
        <sz val="18"/>
        <color theme="0"/>
        <rFont val="Arabic Typesetting"/>
        <family val="4"/>
      </rPr>
      <t>مليون ك.ط</t>
    </r>
  </si>
  <si>
    <r>
      <t xml:space="preserve">SNIM : </t>
    </r>
    <r>
      <rPr>
        <b/>
        <i/>
        <sz val="18"/>
        <color theme="0"/>
        <rFont val="Sakkal Majalla"/>
      </rPr>
      <t>Gwh</t>
    </r>
  </si>
  <si>
    <t>نوفمبر</t>
  </si>
  <si>
    <r>
      <t xml:space="preserve">سنيم : </t>
    </r>
    <r>
      <rPr>
        <b/>
        <i/>
        <sz val="18"/>
        <color theme="0"/>
        <rFont val="Arabic Typesetting"/>
        <family val="4"/>
      </rPr>
      <t>جيكاواط</t>
    </r>
  </si>
  <si>
    <t>SOMELEC</t>
  </si>
  <si>
    <t>صوملك</t>
  </si>
  <si>
    <t>Moyenne Tension</t>
  </si>
  <si>
    <t>ضغط  متوسط</t>
  </si>
  <si>
    <t>Basse Tension</t>
  </si>
  <si>
    <t xml:space="preserve">سنيم </t>
  </si>
  <si>
    <t>ضغط متوسط</t>
  </si>
  <si>
    <r>
      <t xml:space="preserve">Source : </t>
    </r>
    <r>
      <rPr>
        <b/>
        <i/>
        <sz val="10"/>
        <rFont val="Sakkal Majalla"/>
      </rPr>
      <t xml:space="preserve"> SOMELEC et SNIM</t>
    </r>
  </si>
  <si>
    <r>
      <t xml:space="preserve">المصدر : </t>
    </r>
    <r>
      <rPr>
        <b/>
        <i/>
        <sz val="10"/>
        <rFont val="Arabic Typesetting"/>
        <family val="4"/>
      </rPr>
      <t xml:space="preserve">الشركة الموريتانية للكهرباء و الشركة الوطنية للصناعة والمناجم </t>
    </r>
  </si>
  <si>
    <t>الفصـل العاشر</t>
  </si>
  <si>
    <t xml:space="preserve">CHAPITRE X </t>
  </si>
  <si>
    <t>TABLEAU 10.7  : EVOLUTION MENSUELLE DU TRAFIC AERIEN</t>
  </si>
  <si>
    <t>TABLEAU 10.8 : Evolution du Parc telephonique</t>
  </si>
  <si>
    <t>الجدول 8.10 :  تطور اشتراكات الهاتف</t>
  </si>
  <si>
    <t>Total abonnés</t>
  </si>
  <si>
    <t>مجموع المشتركين</t>
  </si>
  <si>
    <t>Telephone fixe</t>
  </si>
  <si>
    <t>الهاتف الثابت</t>
  </si>
  <si>
    <t>Telephone mobile</t>
  </si>
  <si>
    <t>الهاتف الجوال</t>
  </si>
  <si>
    <t>Moritel</t>
  </si>
  <si>
    <t>موريتل</t>
  </si>
  <si>
    <t>Mattel</t>
  </si>
  <si>
    <t>ماتل</t>
  </si>
  <si>
    <t>Chinguitel</t>
  </si>
  <si>
    <t>شنقيتل</t>
  </si>
  <si>
    <t>Abonnés Internet</t>
  </si>
  <si>
    <t>مشتركي الأنترنت</t>
  </si>
  <si>
    <r>
      <t xml:space="preserve">Source : </t>
    </r>
    <r>
      <rPr>
        <i/>
        <sz val="10"/>
        <rFont val="Sakkal Majalla"/>
      </rPr>
      <t>Autorité de Régulation</t>
    </r>
  </si>
  <si>
    <t>المصدر : سلطة التنظيم</t>
  </si>
  <si>
    <t>الجدول9.10 : حجم الاتصالات (الوطنية و الدولية)</t>
  </si>
  <si>
    <t>TABLEAU 10.9 : Volume des communications sortantes (Nationales et Internationales)</t>
  </si>
  <si>
    <t>En millions de minutes</t>
  </si>
  <si>
    <t>Trafic sortant total</t>
  </si>
  <si>
    <t>اجمالي حجم الاتصالات</t>
  </si>
  <si>
    <t>Fixe</t>
  </si>
  <si>
    <t>Mobile</t>
  </si>
  <si>
    <t>الجدول 10.10 : تطور رقم أعمال الاتصالات</t>
  </si>
  <si>
    <t>TABLEAU 10.10 : Evolution du Chiffre d'affaires des télécommunications</t>
  </si>
  <si>
    <t>En millions de MRO</t>
  </si>
  <si>
    <t>Chiffres d'affaires</t>
  </si>
  <si>
    <t>رقم الأعمال الإجمالي</t>
  </si>
  <si>
    <t>Evolution</t>
  </si>
  <si>
    <t xml:space="preserve">التطور </t>
  </si>
  <si>
    <t>6 570 455 </t>
  </si>
  <si>
    <t>5 405 043</t>
  </si>
  <si>
    <t>58094 </t>
  </si>
  <si>
    <t>6 512 361 </t>
  </si>
  <si>
    <t>5 357 540</t>
  </si>
  <si>
    <t> 3 285 578</t>
  </si>
  <si>
    <t>3 497 589</t>
  </si>
  <si>
    <t>2 523 370</t>
  </si>
  <si>
    <t> 2 894 628</t>
  </si>
  <si>
    <t> 5 867</t>
  </si>
  <si>
    <t> 6 242</t>
  </si>
  <si>
    <t> 9789</t>
  </si>
  <si>
    <t>10509 </t>
  </si>
  <si>
    <t> 3%</t>
  </si>
  <si>
    <t>7% </t>
  </si>
  <si>
    <r>
      <t>Unité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degré centigrade</t>
    </r>
  </si>
  <si>
    <r>
      <t>الوحدة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درجة مئوية</t>
    </r>
  </si>
  <si>
    <t>الفصل الحادي عشر</t>
  </si>
  <si>
    <t xml:space="preserve">CHAPITRE XI </t>
  </si>
  <si>
    <t>TABLEAU 11.1 : EVOLUTION DES TEMPERATURES MINIMALES ET MAXIMALES</t>
  </si>
  <si>
    <t>TABLEAU 11.2 : HUMIDITE RELATIVE MINIMALE (en %)</t>
  </si>
  <si>
    <t>الجدول 1.11 : تطور درجات الحرارة الدنيا و القصوى</t>
  </si>
  <si>
    <t>الجدول  2.11 : الرطوبة النسبية الدنيا (ب %)</t>
  </si>
  <si>
    <t>TABLEAU 11.3  : HUMIDITE RELATIVE MAXIMALE (en %)</t>
  </si>
  <si>
    <t>الجدول 3.11 : الرطوبة النسبية القصوى (ب %)</t>
  </si>
  <si>
    <t>TABLEAU 5.22 : EXPORTATIONS MENSUELLES DE LA SMCP PAR ESPECES</t>
  </si>
  <si>
    <t xml:space="preserve">           الجدول 22.5 : الصادرات الشهرية للشركة الموريتانية لتسويق الأسماك حسب النوعيات</t>
  </si>
  <si>
    <t xml:space="preserve">الجدول 21.5 : الصادرات الشهرية للشركة الموريتانية لتسويق الأسماك حسب النوعيات </t>
  </si>
  <si>
    <t xml:space="preserve">TABLEAU 5.21 : EXPORTATIONS MENSUELLES DE LA SMCP PAR ESPECES </t>
  </si>
  <si>
    <t>TABLEAU 5.20 : EXPORTATIONS MENSUELLES DE LA SMCP SELON LE MARCHE DE DESTINATION</t>
  </si>
  <si>
    <t xml:space="preserve">       الجدول 20.5 : الصادرات الشهرية للشركة الموريتانية لتسويق الأسماك حسب الجهة</t>
  </si>
  <si>
    <t>TABLEAU 5.18 : EXPORTATIONS ANNUELLES DE LA SMCP PAR ESPECES EN QUANTITE ET EN VALEUR</t>
  </si>
  <si>
    <t>الجدول 18.5 : الصادرات السنوية للشركة الموريتانية لتسويق الأسماك حسب النوع بالكمية والقيمة</t>
  </si>
  <si>
    <t>TABLEAU 5.19 : EXPORTATIONS ANNUELLES DE LA SMCP SELON LE MARCHE DE DESTINATION</t>
  </si>
  <si>
    <t>الجدول 19.5 : الصادرات السنوية للشركة الموريتانية لتسويق الأسماك حسب الجهة</t>
  </si>
  <si>
    <t>TABLEAU 5.17 : EXPORTATIONS DES PRODUITS DE LA PECHE PAR TYPE DE CONGELATION</t>
  </si>
  <si>
    <t xml:space="preserve">الجدول 17.5 :صادرات منتجات الصيد حسب نمط التبريد </t>
  </si>
  <si>
    <t>TABLEAU 5.16 : EVOLUTION DES EXPORTATIONS MENSUELLES DE MINERAI DE FER</t>
  </si>
  <si>
    <t>TABLEAU 5.15 : EXPORTATIONS DE LA MAURITANIE SELON LA DESTINATION</t>
  </si>
  <si>
    <t>الجدول 15.5 : الصادرات الموريتانية حسب وجهتها</t>
  </si>
  <si>
    <t>TABLEAU 5.14 : EXPORTATIONS MAURITANIENNES PAR TYPE DE PRODUIT</t>
  </si>
  <si>
    <t>الجدول 14.5 : الصادرات الموريتانية حسب نوع المنتوج</t>
  </si>
  <si>
    <t>TABLEAU 5.13 : IMPORTATIONS DE LA MAURITANIE SELON L'ORIGINE</t>
  </si>
  <si>
    <t>الجدول 13.5 : الواردات  الموريتانية حسب المصدر</t>
  </si>
  <si>
    <t>TABLEAU 5.9 (suite) : EVOLUTION DU TAUX DE CHANGE DE QUELQUES DEVISES</t>
  </si>
  <si>
    <t xml:space="preserve">الجدول 9.5 (تابع) : تطور أسعار صرف بعض العملات  </t>
  </si>
  <si>
    <t>TABLEAU 5.1.9 : EVOLUTION DE QUELQUES COURS MONDIAUX DE PRODUITS DE BASE</t>
  </si>
  <si>
    <t>TABLEAU 5.1.10 : EVOLUTION DES INDICES DE PRIX DE CERTAINS BIENS SUE LE MARHCE MONDIAL</t>
  </si>
  <si>
    <t xml:space="preserve">الجدول 9.1.5 : تطور اسعار  بعض المنتجات الاساسية في السوق الدولية </t>
  </si>
  <si>
    <t xml:space="preserve"> TABLEAU 5.5 : EVOLUTION DU COURS MENSUEL DU RIZ SUR LE MARCHE MONDIAL</t>
  </si>
  <si>
    <t>الجدول 5.5 : التطور الشهري لسعر الأرز(التيلاندي الممتاز) في السوق الدولية</t>
  </si>
  <si>
    <t xml:space="preserve">الجدول 6.5 : التطور الشهري لسعر الذرة الصفراء في السوق الدولية </t>
  </si>
  <si>
    <t xml:space="preserve"> TABLEAU 5.6 : EVOLUTION DU COURS MENSUEL DU MAIS SUR LE MARCHE MONDIAL</t>
  </si>
  <si>
    <t xml:space="preserve"> TABLEAU 5.3 : EVOLUTION DU COURS MENSUEL DU SUCRE SUR LE MARCHE MONDIAL</t>
  </si>
  <si>
    <t xml:space="preserve">الجدول 3.5 : التطور الشهري لسعر السكر في السوق الدولية </t>
  </si>
  <si>
    <t xml:space="preserve">الجدول 4.5 : التطور الشهري لسعر القمح في السوق الدولية </t>
  </si>
  <si>
    <t xml:space="preserve"> TABLEAU 5.4 : EVOLUTION DU COURS MENSUEL DU BLE SUR LE MARCHE MONDIAL</t>
  </si>
  <si>
    <t xml:space="preserve"> TABLEAU 5.2 : EVOLUTION DU COURS MENSUEL DU THE SUR LE MARCHE MONDIAL</t>
  </si>
  <si>
    <t xml:space="preserve">الجدول 2.5 : التطور الشهري لسعر الشاي في السوق الدولية </t>
  </si>
  <si>
    <t xml:space="preserve"> الجدول 1.5 : التطور الشهري لسعربترول برنت الخام</t>
  </si>
  <si>
    <t xml:space="preserve"> TABLEAU 5.1 : EVOLUTION DU COURS MENSUEL DU PRETROLE BRUT BRENT</t>
  </si>
  <si>
    <t>TABLEAU 3.4 : EVOLUTION DE L'INDICE DE PRODUCTION INDUSTRIELLE (IPI) (Base 100=trimestre moyen 3T2016-2T 2017)</t>
  </si>
  <si>
    <t>Source :ministère de l’élevage</t>
  </si>
  <si>
    <t>Source :ministère de l’agriculture/DPCSE</t>
  </si>
  <si>
    <t>Source : ministère de l’agriculture/DPCSE</t>
  </si>
  <si>
    <t>781,1 </t>
  </si>
  <si>
    <t>Tableau 4.2 (suite) : Evolutions de l'Indice National des Prix à la Consommation (INPC) par fonctions(Base 100=2019)</t>
  </si>
  <si>
    <t>Fonctions</t>
  </si>
  <si>
    <t>pond.</t>
  </si>
  <si>
    <t>Produits alimentaires et boissons non alcoolisées</t>
  </si>
  <si>
    <t>Tabac et stupéfiants</t>
  </si>
  <si>
    <t>Articles d'habillement et chaussures</t>
  </si>
  <si>
    <t>Logement, eau, gaz, électricité et autres combustibles</t>
  </si>
  <si>
    <t>Meubles, articles de ménage et entretien courant du foyer</t>
  </si>
  <si>
    <t>Santé</t>
  </si>
  <si>
    <t>Transports</t>
  </si>
  <si>
    <t>Communication</t>
  </si>
  <si>
    <t>Loisirs et culture</t>
  </si>
  <si>
    <t>Enseignement</t>
  </si>
  <si>
    <t>Restaurants et Hôtels</t>
  </si>
  <si>
    <t>Biens et services divers</t>
  </si>
  <si>
    <t>INPC</t>
  </si>
  <si>
    <t>TABLEAU 4.3 : Prix moyens des produits de première nécessite observes à nouakchott</t>
  </si>
  <si>
    <t>PRODUITS</t>
  </si>
  <si>
    <t>المنتوجات</t>
  </si>
  <si>
    <t>Nouakchott</t>
  </si>
  <si>
    <t>Riz importé (yebregh)  (kg)</t>
  </si>
  <si>
    <t>الأرز المستورد يبرق (كلغ)</t>
  </si>
  <si>
    <t>Couscous local de blé (kg)</t>
  </si>
  <si>
    <t>كسكس القمح المحلي (كلغ)</t>
  </si>
  <si>
    <t>Farine de blé (kg)</t>
  </si>
  <si>
    <t>طحين القمح (كلغ)</t>
  </si>
  <si>
    <t>Viande de bœuf fraîche avec os (kg)</t>
  </si>
  <si>
    <t>لحم البقر مع العظام (كلغ)</t>
  </si>
  <si>
    <t>Viande de chameau, fraîche avec os (kg)</t>
  </si>
  <si>
    <t>لحم الإبل (كلغ)</t>
  </si>
  <si>
    <t>Dorade frais (Kibarou) (kg)</t>
  </si>
  <si>
    <t>سمك طازج كبارو (كلغ)</t>
  </si>
  <si>
    <t>Banane douce (kg)</t>
  </si>
  <si>
    <t>الموز (كلغ)</t>
  </si>
  <si>
    <t>Pomme (kg)</t>
  </si>
  <si>
    <t>التفاح (كلغ)</t>
  </si>
  <si>
    <t>Datte importée (kg)</t>
  </si>
  <si>
    <t xml:space="preserve"> التمر المستورد (كلغ)</t>
  </si>
  <si>
    <t>Oignon frais (kg)</t>
  </si>
  <si>
    <t>البصل (كلغ)</t>
  </si>
  <si>
    <t>Chargement d'une bouteille de 12,5 Kg de gaz</t>
  </si>
  <si>
    <t>الغاز ( قنينة من 12 كلغ)</t>
  </si>
  <si>
    <t>Chargement d'une bouteille de 3 Kg de gaz</t>
  </si>
  <si>
    <t>الغاز ( قنينة من 3 كلغ)</t>
  </si>
  <si>
    <t>Gas-oil (litre)</t>
  </si>
  <si>
    <t>المازوت ( لتر)</t>
  </si>
  <si>
    <t>TABLEAU 4.5 : Evolution de l'indice de coût de construction (ICC base 100 = 2012)</t>
  </si>
  <si>
    <t>Pondérations</t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</si>
  <si>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2012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</si>
  <si>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2012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</si>
  <si>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2013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</si>
  <si>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</si>
  <si>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</si>
  <si>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</si>
  <si>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2014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</si>
  <si>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</si>
  <si>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</si>
  <si>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</si>
  <si>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2015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</si>
  <si>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</si>
  <si>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</si>
  <si>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</si>
  <si>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t xml:space="preserve"> 1iér trimestre 2016</t>
  </si>
  <si>
    <t xml:space="preserve"> 2ième trimestre 2016</t>
  </si>
  <si>
    <t xml:space="preserve"> 3ième trimestre 2016</t>
  </si>
  <si>
    <t xml:space="preserve"> 4ième trimestre 2016</t>
  </si>
  <si>
    <t xml:space="preserve"> 1iér trimestre 2017</t>
  </si>
  <si>
    <t xml:space="preserve"> 2ième trimestre 2017</t>
  </si>
  <si>
    <t xml:space="preserve"> 3ième trimestre 2017</t>
  </si>
  <si>
    <t xml:space="preserve"> 4ième trimestre 2017</t>
  </si>
  <si>
    <t xml:space="preserve"> 1iér trimestre 2018</t>
  </si>
  <si>
    <t xml:space="preserve"> 2ième trimestre 2018</t>
  </si>
  <si>
    <t>3ième trimestre 2018</t>
  </si>
  <si>
    <t>4ième trimestre 2018</t>
  </si>
  <si>
    <t>1er trimestre 2019</t>
  </si>
  <si>
    <t>2e trimestre 2019</t>
  </si>
  <si>
    <t>3e trimestre 2019</t>
  </si>
  <si>
    <t>4e trimestre 2019</t>
  </si>
  <si>
    <t>1er trimestre 2020</t>
  </si>
  <si>
    <t>2e trimestre 2020</t>
  </si>
  <si>
    <t>3e trimestre 2020</t>
  </si>
  <si>
    <t>4e trimestre 2020</t>
  </si>
  <si>
    <t>1er trimestre 2021</t>
  </si>
  <si>
    <t>2e trimestre 2021</t>
  </si>
  <si>
    <t>3e trimestre 2021</t>
  </si>
  <si>
    <t>4e trimestre 2021</t>
  </si>
  <si>
    <t>1er trimestre 2022</t>
  </si>
  <si>
    <t>2e trimestre 2022</t>
  </si>
  <si>
    <t>3e trimestre 2022</t>
  </si>
  <si>
    <t>4e trimestre 2022</t>
  </si>
  <si>
    <t>1er trimestre 2023</t>
  </si>
  <si>
    <t>2e trimestre 2023</t>
  </si>
  <si>
    <t>3e trimestre 2023</t>
  </si>
  <si>
    <t>4e trimestre 2023</t>
  </si>
  <si>
    <t>1er trimestre 2024</t>
  </si>
  <si>
    <t>2e trimestre 2024</t>
  </si>
  <si>
    <t>I. MATERIAUX DE CONSTRUCTION</t>
  </si>
  <si>
    <t xml:space="preserve">II. BIENS ET SERVICES DE GESTION DU CHANTIER </t>
  </si>
  <si>
    <t>III. LOCATION DE MATERIELS</t>
  </si>
  <si>
    <t xml:space="preserve">IV. MAIN D'ŒUVRE </t>
  </si>
  <si>
    <t>ICC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</si>
</sst>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-* #,##0.00\ _€_-;\-* #,##0.00\ _€_-;_-* &quot;-&quot;??\ _€_-;_-@_-"/>
    <numFmt numFmtId="165" formatCode="General_)"/>
    <numFmt numFmtId="166" formatCode="0.0"/>
    <numFmt numFmtId="167" formatCode="_-* #,##0\ _F_-;\-* #,##0\ _F_-;_-* &quot;-&quot;\ _F_-;_-@_-"/>
    <numFmt numFmtId="168" formatCode="#,##0.0"/>
    <numFmt numFmtId="169" formatCode="_-* #,##0.0_-;\-* #,##0.0_-;_-* &quot;-&quot;??_-;_-@_-"/>
    <numFmt numFmtId="170" formatCode="_-* #,##0\ _€_-;\-* #,##0\ _€_-;_-* &quot;-&quot;??\ _€_-;_-@_-"/>
    <numFmt numFmtId="171" formatCode="#,##0_);\(#,##0\)"/>
    <numFmt numFmtId="172" formatCode="_-* #,##0.0\ _€_-;\-* #,##0.0\ _€_-;_-* &quot;-&quot;??\ _€_-;_-@_-"/>
    <numFmt numFmtId="173" formatCode="#,##0\ &quot;F&quot;;\-#,##0\ &quot;F&quot;"/>
    <numFmt numFmtId="174" formatCode="_-* #,##0\ _F_-;\-* #,##0\ _F_-;_-* &quot;-&quot;??\ _F_-;_-@_-"/>
    <numFmt numFmtId="175" formatCode="0.0%"/>
    <numFmt numFmtId="176" formatCode="#,##0.0;[Red]\-#,##0.0"/>
    <numFmt numFmtId="177" formatCode="0.00_)"/>
    <numFmt numFmtId="178" formatCode="0_)"/>
    <numFmt numFmtId="179" formatCode="_-* #,##0.00\ _U_M_-;\-* #,##0.00\ _U_M_-;_-* &quot;-&quot;??\ _U_M_-;_-@_-"/>
    <numFmt numFmtId="180" formatCode="#,##0.00\ &quot;F&quot;;\-#,##0.00\ &quot;F&quot;"/>
    <numFmt numFmtId="181" formatCode="_(* #,##0.00_);_(* \(#,##0.00\);_(* &quot;-&quot;??_);_(@_)"/>
  </numFmts>
  <fonts count="128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b/>
      <i/>
      <sz val="10"/>
      <color indexed="57"/>
      <name val="Times New Roman"/>
      <family val="1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8"/>
      <name val="Arabic Typesetting"/>
      <family val="4"/>
    </font>
    <font>
      <b/>
      <sz val="12"/>
      <color rgb="FFFFFFFF"/>
      <name val="Sakkal Majalla"/>
    </font>
    <font>
      <b/>
      <i/>
      <sz val="12"/>
      <color rgb="FFFFFFFF"/>
      <name val="Sakkal Majalla"/>
    </font>
    <font>
      <sz val="12"/>
      <color theme="1"/>
      <name val="Sakkal Majalla"/>
    </font>
    <font>
      <b/>
      <sz val="12"/>
      <color theme="1"/>
      <name val="Sakkal Majalla"/>
    </font>
    <font>
      <b/>
      <sz val="18"/>
      <name val="Sakkal Majalla"/>
    </font>
    <font>
      <sz val="18"/>
      <name val="Sakkal Majalla"/>
    </font>
    <font>
      <b/>
      <i/>
      <sz val="18"/>
      <color theme="0"/>
      <name val="Arabic Typesetting"/>
      <family val="4"/>
    </font>
    <font>
      <b/>
      <sz val="11"/>
      <color indexed="53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indexed="48"/>
      <name val="Times New Roman"/>
      <family val="1"/>
    </font>
    <font>
      <b/>
      <sz val="11"/>
      <color indexed="4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8"/>
      <name val="Arabic Typesetting"/>
      <family val="4"/>
    </font>
    <font>
      <b/>
      <sz val="10"/>
      <name val="Arabic Typesetting"/>
      <family val="4"/>
    </font>
    <font>
      <b/>
      <i/>
      <sz val="10"/>
      <name val="Arabic Typesetting"/>
      <family val="4"/>
    </font>
    <font>
      <b/>
      <i/>
      <sz val="18"/>
      <name val="Arabic Typesetting"/>
      <family val="4"/>
    </font>
    <font>
      <sz val="8"/>
      <name val="Arial Narrow"/>
      <family val="2"/>
    </font>
    <font>
      <b/>
      <i/>
      <sz val="18"/>
      <name val="Sakkal Majalla"/>
    </font>
    <font>
      <sz val="10"/>
      <name val="Courier"/>
      <family val="3"/>
    </font>
    <font>
      <b/>
      <sz val="10"/>
      <name val="Sakkal Majalla"/>
    </font>
    <font>
      <b/>
      <i/>
      <sz val="10"/>
      <name val="Sakkal Majalla"/>
    </font>
    <font>
      <b/>
      <sz val="16"/>
      <name val="Sakkal Majalla"/>
    </font>
    <font>
      <sz val="18"/>
      <color theme="1"/>
      <name val="Sakkal Majalla"/>
    </font>
    <font>
      <sz val="18"/>
      <color theme="1"/>
      <name val="Arabic Typesetting"/>
      <family val="4"/>
    </font>
    <font>
      <sz val="18"/>
      <color theme="0"/>
      <name val="Sakkal Majalla"/>
    </font>
    <font>
      <b/>
      <sz val="18"/>
      <color theme="0"/>
      <name val="Sakkal Majalla"/>
    </font>
    <font>
      <sz val="18"/>
      <color theme="0"/>
      <name val="Arabic Typesetting"/>
      <family val="4"/>
    </font>
    <font>
      <b/>
      <sz val="18"/>
      <color theme="1"/>
      <name val="Sakkal Majalla"/>
    </font>
    <font>
      <b/>
      <sz val="18"/>
      <color theme="1"/>
      <name val="Arabic Typesetting"/>
      <family val="4"/>
    </font>
    <font>
      <b/>
      <sz val="12"/>
      <name val="Times New Roman"/>
      <family val="1"/>
    </font>
    <font>
      <b/>
      <sz val="11"/>
      <color indexed="57"/>
      <name val="Times New Roman"/>
      <family val="1"/>
    </font>
    <font>
      <b/>
      <i/>
      <sz val="11"/>
      <color indexed="57"/>
      <name val="Times New Roman"/>
      <family val="1"/>
    </font>
    <font>
      <b/>
      <i/>
      <sz val="12"/>
      <color indexed="57"/>
      <name val="Times New Roman"/>
      <family val="1"/>
    </font>
    <font>
      <b/>
      <sz val="14"/>
      <name val="Sakkal Majalla"/>
    </font>
    <font>
      <b/>
      <sz val="14"/>
      <name val="Arabic Typesetting"/>
      <family val="4"/>
    </font>
    <font>
      <sz val="14"/>
      <name val="Sakkal Majalla"/>
    </font>
    <font>
      <sz val="14"/>
      <name val="Arabic Typesetting"/>
      <family val="4"/>
    </font>
    <font>
      <b/>
      <i/>
      <sz val="14"/>
      <name val="Sakkal Majalla"/>
    </font>
    <font>
      <b/>
      <i/>
      <sz val="14"/>
      <name val="Arabic Typesetting"/>
      <family val="4"/>
    </font>
    <font>
      <sz val="10"/>
      <name val="Arabic Typesetting"/>
      <family val="4"/>
    </font>
    <font>
      <sz val="10"/>
      <name val="Courier"/>
      <charset val="178"/>
    </font>
    <font>
      <b/>
      <sz val="30"/>
      <name val="Times New Roman"/>
      <family val="1"/>
    </font>
    <font>
      <sz val="30"/>
      <name val="Sakkal Majalla"/>
    </font>
    <font>
      <sz val="10"/>
      <color rgb="FF000000"/>
      <name val="Arial"/>
      <family val="2"/>
    </font>
    <font>
      <sz val="30"/>
      <color rgb="FF000000"/>
      <name val="Sakkal Majalla"/>
    </font>
    <font>
      <sz val="10"/>
      <name val="Sakkal Majalla"/>
    </font>
    <font>
      <b/>
      <sz val="20"/>
      <name val="Sakkal Majalla"/>
    </font>
    <font>
      <sz val="30"/>
      <name val="Arabic Typesetting"/>
      <family val="4"/>
    </font>
    <font>
      <sz val="12"/>
      <color theme="1"/>
      <name val="Times New Roman"/>
      <family val="1"/>
    </font>
    <font>
      <b/>
      <sz val="9"/>
      <name val="Times New Roman"/>
      <family val="1"/>
    </font>
    <font>
      <sz val="10"/>
      <color theme="1"/>
      <name val="Open Sans"/>
    </font>
    <font>
      <b/>
      <sz val="18"/>
      <color rgb="FFFF0000"/>
      <name val="Arabic Typesetting"/>
      <family val="4"/>
    </font>
    <font>
      <b/>
      <sz val="16"/>
      <color theme="1"/>
      <name val="Sakkal Majalla"/>
    </font>
    <font>
      <b/>
      <sz val="10"/>
      <color theme="1"/>
      <name val="Sakkal Majalla"/>
    </font>
    <font>
      <b/>
      <sz val="10"/>
      <color theme="1"/>
      <name val="Arabic Typesetting"/>
      <family val="4"/>
    </font>
    <font>
      <sz val="8"/>
      <name val="Calibri"/>
      <family val="2"/>
      <scheme val="minor"/>
    </font>
    <font>
      <b/>
      <sz val="20"/>
      <color rgb="FFFFFFFF"/>
      <name val="Sakkal Majalla"/>
    </font>
    <font>
      <b/>
      <sz val="30"/>
      <color rgb="FF067610"/>
      <name val="Sakkal Majalla"/>
    </font>
    <font>
      <sz val="16"/>
      <color theme="1"/>
      <name val="Sakkal Majalla"/>
    </font>
    <font>
      <sz val="11"/>
      <color theme="1"/>
      <name val="Sakkal Majalla"/>
    </font>
    <font>
      <sz val="14"/>
      <color theme="1"/>
      <name val="Sakkal Majalla"/>
    </font>
    <font>
      <sz val="16"/>
      <name val="Sakkal Majalla"/>
    </font>
    <font>
      <b/>
      <sz val="16"/>
      <color indexed="57"/>
      <name val="Sakkal Majalla"/>
    </font>
    <font>
      <b/>
      <i/>
      <sz val="16"/>
      <name val="Sakkal Majalla"/>
    </font>
    <font>
      <b/>
      <sz val="16"/>
      <color indexed="52"/>
      <name val="Sakkal Majalla"/>
    </font>
    <font>
      <sz val="11"/>
      <color rgb="FF000000"/>
      <name val="Sakkal Majalla"/>
    </font>
    <font>
      <b/>
      <sz val="18"/>
      <color theme="1"/>
      <name val="Times New Roman"/>
      <family val="1"/>
    </font>
    <font>
      <b/>
      <sz val="12"/>
      <color rgb="FF385623"/>
      <name val="Sakkal Majalla"/>
    </font>
    <font>
      <b/>
      <sz val="18"/>
      <color theme="0"/>
      <name val="Arabic Typesetting"/>
      <family val="4"/>
    </font>
    <font>
      <i/>
      <sz val="18"/>
      <name val="Sakkal Majalla"/>
    </font>
    <font>
      <sz val="18"/>
      <color rgb="FF000000"/>
      <name val="Sakkal Majalla"/>
    </font>
    <font>
      <b/>
      <sz val="20"/>
      <color theme="2"/>
      <name val="Sakkal Majalla"/>
    </font>
    <font>
      <b/>
      <i/>
      <sz val="20"/>
      <color theme="2"/>
      <name val="Times New Roman"/>
      <family val="1"/>
    </font>
    <font>
      <b/>
      <sz val="18"/>
      <color theme="2"/>
      <name val="Sakkal Majalla"/>
    </font>
    <font>
      <b/>
      <i/>
      <sz val="18"/>
      <color theme="2"/>
      <name val="Times New Roman"/>
      <family val="1"/>
    </font>
    <font>
      <b/>
      <i/>
      <sz val="12"/>
      <color theme="2"/>
      <name val="Times New Roman"/>
      <family val="1"/>
    </font>
    <font>
      <b/>
      <i/>
      <sz val="18"/>
      <color theme="0"/>
      <name val="Sakkal Majalla"/>
    </font>
    <font>
      <b/>
      <sz val="14"/>
      <color theme="1"/>
      <name val="Sakkal Majalla"/>
    </font>
    <font>
      <sz val="12"/>
      <name val="Courier"/>
      <family val="3"/>
    </font>
    <font>
      <sz val="18"/>
      <color rgb="FFFF0000"/>
      <name val="Sakkal Majalla"/>
    </font>
    <font>
      <b/>
      <sz val="30"/>
      <color rgb="FF067610"/>
      <name val="Arabic Typesetting"/>
      <family val="4"/>
    </font>
    <font>
      <b/>
      <sz val="40"/>
      <color rgb="FF067610"/>
      <name val="Arabic Typesetting"/>
      <family val="4"/>
    </font>
    <font>
      <b/>
      <sz val="20"/>
      <color rgb="FF067610"/>
      <name val="Sakkal Majalla"/>
    </font>
    <font>
      <b/>
      <sz val="18"/>
      <color indexed="8"/>
      <name val="Sakkal Majalla"/>
    </font>
    <font>
      <sz val="12"/>
      <color theme="1"/>
      <name val="Cambria"/>
      <family val="2"/>
    </font>
    <font>
      <b/>
      <sz val="30"/>
      <color rgb="FF067610"/>
      <name val="Times New Roman"/>
      <family val="1"/>
    </font>
    <font>
      <b/>
      <sz val="40"/>
      <color rgb="FF067610"/>
      <name val="Times New Roman"/>
      <family val="1"/>
    </font>
    <font>
      <b/>
      <sz val="20"/>
      <color rgb="FF067610"/>
      <name val="Times New Roman"/>
      <family val="1"/>
    </font>
    <font>
      <sz val="10"/>
      <name val="MS Sans Serif"/>
      <family val="2"/>
      <charset val="178"/>
    </font>
    <font>
      <i/>
      <sz val="10"/>
      <name val="Sakkal Majalla"/>
    </font>
    <font>
      <i/>
      <sz val="10"/>
      <name val="Arabic Typesetting"/>
      <family val="4"/>
    </font>
    <font>
      <b/>
      <sz val="18"/>
      <color rgb="FFFFFFFF"/>
      <name val="Sakkal Majalla"/>
    </font>
    <font>
      <sz val="10"/>
      <name val="MS Sans Serif"/>
    </font>
    <font>
      <b/>
      <sz val="12"/>
      <name val="Sakkal Majalla"/>
    </font>
    <font>
      <sz val="18"/>
      <color indexed="8"/>
      <name val="Sakkal Majalla"/>
    </font>
    <font>
      <sz val="16"/>
      <color indexed="8"/>
      <name val="Sakkal Majalla"/>
    </font>
    <font>
      <sz val="16"/>
      <color theme="0"/>
      <name val="Sakkal Majalla"/>
    </font>
    <font>
      <b/>
      <i/>
      <sz val="16"/>
      <color theme="0"/>
      <name val="Sakkal Majalla"/>
    </font>
    <font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name val="Sakkal Majalla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Garamond"/>
      <family val="1"/>
    </font>
    <font>
      <b/>
      <sz val="10"/>
      <color indexed="8"/>
      <name val="Garamond"/>
      <family val="1"/>
    </font>
    <font>
      <b/>
      <sz val="10"/>
      <color indexed="18"/>
      <name val="Garamond"/>
      <family val="1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Garamond"/>
      <family val="1"/>
    </font>
    <font>
      <sz val="10"/>
      <color indexed="8"/>
      <name val="Garamond"/>
      <family val="1"/>
    </font>
    <font>
      <b/>
      <sz val="10"/>
      <color indexed="18"/>
      <name val="Times New Roman"/>
      <family val="1"/>
    </font>
    <font>
      <b/>
      <i/>
      <sz val="10"/>
      <color indexed="18"/>
      <name val="Garamond"/>
      <family val="1"/>
    </font>
    <font>
      <b/>
      <i/>
      <sz val="10"/>
      <color indexed="18"/>
      <name val="Times New Roman"/>
      <family val="1"/>
    </font>
    <font>
      <sz val="10"/>
      <color theme="1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761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7">
    <xf numFmtId="0" fontId="0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28" fillId="0" borderId="0"/>
    <xf numFmtId="0" fontId="7" fillId="0" borderId="0"/>
    <xf numFmtId="0" fontId="4" fillId="0" borderId="0"/>
    <xf numFmtId="167" fontId="30" fillId="0" borderId="0"/>
    <xf numFmtId="167" fontId="30" fillId="0" borderId="0"/>
    <xf numFmtId="0" fontId="6" fillId="0" borderId="0"/>
    <xf numFmtId="0" fontId="4" fillId="0" borderId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173" fontId="4" fillId="0" borderId="0" applyFont="0" applyFill="0" applyBorder="0" applyAlignment="0" applyProtection="0"/>
    <xf numFmtId="0" fontId="4" fillId="0" borderId="0"/>
    <xf numFmtId="0" fontId="7" fillId="0" borderId="0"/>
    <xf numFmtId="167" fontId="30" fillId="0" borderId="0"/>
    <xf numFmtId="0" fontId="4" fillId="0" borderId="0"/>
    <xf numFmtId="177" fontId="52" fillId="0" borderId="0"/>
    <xf numFmtId="178" fontId="52" fillId="0" borderId="0"/>
    <xf numFmtId="0" fontId="55" fillId="0" borderId="0"/>
    <xf numFmtId="165" fontId="52" fillId="0" borderId="0"/>
    <xf numFmtId="177" fontId="52" fillId="0" borderId="0"/>
    <xf numFmtId="0" fontId="55" fillId="0" borderId="0"/>
    <xf numFmtId="179" fontId="90" fillId="0" borderId="0"/>
    <xf numFmtId="0" fontId="4" fillId="0" borderId="0"/>
    <xf numFmtId="40" fontId="7" fillId="0" borderId="0" applyFont="0" applyFill="0" applyBorder="0" applyAlignment="0" applyProtection="0"/>
    <xf numFmtId="0" fontId="6" fillId="0" borderId="0"/>
    <xf numFmtId="0" fontId="4" fillId="0" borderId="0"/>
    <xf numFmtId="0" fontId="18" fillId="0" borderId="0"/>
    <xf numFmtId="164" fontId="6" fillId="0" borderId="0" applyFont="0" applyFill="0" applyBorder="0" applyAlignment="0" applyProtection="0"/>
    <xf numFmtId="0" fontId="18" fillId="0" borderId="0"/>
    <xf numFmtId="0" fontId="96" fillId="0" borderId="0"/>
    <xf numFmtId="0" fontId="4" fillId="0" borderId="0"/>
    <xf numFmtId="165" fontId="52" fillId="0" borderId="0" applyFill="0"/>
    <xf numFmtId="0" fontId="100" fillId="0" borderId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40" fontId="7" fillId="0" borderId="0" applyFont="0" applyFill="0" applyBorder="0" applyAlignment="0" applyProtection="0"/>
    <xf numFmtId="181" fontId="10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110" fillId="0" borderId="0"/>
    <xf numFmtId="0" fontId="4" fillId="0" borderId="0"/>
    <xf numFmtId="164" fontId="6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</cellStyleXfs>
  <cellXfs count="882">
    <xf numFmtId="0" fontId="0" fillId="0" borderId="0" xfId="0"/>
    <xf numFmtId="0" fontId="2" fillId="0" borderId="3" xfId="0" applyFont="1" applyBorder="1"/>
    <xf numFmtId="0" fontId="8" fillId="0" borderId="0" xfId="3" applyFont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right" vertical="center"/>
    </xf>
    <xf numFmtId="165" fontId="13" fillId="0" borderId="4" xfId="3" applyNumberFormat="1" applyFont="1" applyBorder="1" applyAlignment="1">
      <alignment horizontal="left" vertical="center" indent="1"/>
    </xf>
    <xf numFmtId="165" fontId="13" fillId="0" borderId="4" xfId="3" applyNumberFormat="1" applyFont="1" applyBorder="1" applyAlignment="1">
      <alignment horizontal="left" vertical="center" indent="2"/>
    </xf>
    <xf numFmtId="165" fontId="14" fillId="0" borderId="4" xfId="3" applyNumberFormat="1" applyFont="1" applyBorder="1" applyAlignment="1">
      <alignment horizontal="left" vertical="center" indent="3"/>
    </xf>
    <xf numFmtId="165" fontId="14" fillId="0" borderId="4" xfId="3" applyNumberFormat="1" applyFont="1" applyBorder="1" applyAlignment="1">
      <alignment horizontal="left" vertical="center" indent="1"/>
    </xf>
    <xf numFmtId="0" fontId="0" fillId="3" borderId="3" xfId="0" applyFill="1" applyBorder="1"/>
    <xf numFmtId="0" fontId="25" fillId="0" borderId="0" xfId="3" applyFont="1" applyAlignment="1">
      <alignment horizontal="right"/>
    </xf>
    <xf numFmtId="0" fontId="14" fillId="0" borderId="0" xfId="6" applyFont="1"/>
    <xf numFmtId="0" fontId="8" fillId="0" borderId="0" xfId="7" applyFont="1" applyAlignment="1">
      <alignment horizontal="right"/>
    </xf>
    <xf numFmtId="0" fontId="13" fillId="0" borderId="0" xfId="8" applyFont="1" applyAlignment="1">
      <alignment horizontal="left"/>
    </xf>
    <xf numFmtId="0" fontId="24" fillId="0" borderId="0" xfId="6" applyFont="1"/>
    <xf numFmtId="0" fontId="31" fillId="0" borderId="0" xfId="6" applyFont="1" applyAlignment="1">
      <alignment vertical="center"/>
    </xf>
    <xf numFmtId="0" fontId="25" fillId="0" borderId="0" xfId="6" applyFont="1" applyAlignment="1">
      <alignment horizontal="right" vertical="center"/>
    </xf>
    <xf numFmtId="0" fontId="8" fillId="0" borderId="0" xfId="7" applyFont="1" applyAlignment="1">
      <alignment horizontal="right" vertical="top"/>
    </xf>
    <xf numFmtId="0" fontId="33" fillId="0" borderId="0" xfId="8" applyFont="1" applyAlignment="1">
      <alignment horizontal="left" vertical="top"/>
    </xf>
    <xf numFmtId="0" fontId="14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8" fillId="0" borderId="0" xfId="7" applyFont="1"/>
    <xf numFmtId="0" fontId="13" fillId="0" borderId="0" xfId="6" applyFont="1" applyAlignment="1">
      <alignment vertical="center"/>
    </xf>
    <xf numFmtId="0" fontId="13" fillId="0" borderId="0" xfId="7" applyFont="1"/>
    <xf numFmtId="0" fontId="25" fillId="0" borderId="0" xfId="6" applyFont="1" applyAlignment="1">
      <alignment vertical="center"/>
    </xf>
    <xf numFmtId="0" fontId="14" fillId="0" borderId="0" xfId="11" applyFont="1"/>
    <xf numFmtId="0" fontId="34" fillId="0" borderId="0" xfId="11" applyFont="1"/>
    <xf numFmtId="0" fontId="35" fillId="0" borderId="0" xfId="11" applyFont="1"/>
    <xf numFmtId="0" fontId="13" fillId="0" borderId="0" xfId="12" applyFont="1" applyAlignment="1">
      <alignment vertical="center"/>
    </xf>
    <xf numFmtId="0" fontId="8" fillId="0" borderId="0" xfId="13" applyFont="1" applyAlignment="1">
      <alignment vertical="center"/>
    </xf>
    <xf numFmtId="0" fontId="36" fillId="4" borderId="0" xfId="11" applyFont="1" applyFill="1"/>
    <xf numFmtId="0" fontId="37" fillId="4" borderId="1" xfId="11" applyFont="1" applyFill="1" applyBorder="1" applyAlignment="1">
      <alignment horizontal="center" vertical="top"/>
    </xf>
    <xf numFmtId="0" fontId="37" fillId="4" borderId="24" xfId="11" applyFont="1" applyFill="1" applyBorder="1" applyAlignment="1">
      <alignment horizontal="center" vertical="center"/>
    </xf>
    <xf numFmtId="0" fontId="37" fillId="4" borderId="3" xfId="11" applyFont="1" applyFill="1" applyBorder="1" applyAlignment="1">
      <alignment horizontal="center" vertical="center"/>
    </xf>
    <xf numFmtId="0" fontId="37" fillId="4" borderId="1" xfId="11" applyFont="1" applyFill="1" applyBorder="1" applyAlignment="1">
      <alignment horizontal="center" vertical="center"/>
    </xf>
    <xf numFmtId="0" fontId="37" fillId="4" borderId="0" xfId="11" applyFont="1" applyFill="1" applyAlignment="1">
      <alignment horizontal="center" vertical="center"/>
    </xf>
    <xf numFmtId="0" fontId="38" fillId="4" borderId="0" xfId="11" applyFont="1" applyFill="1"/>
    <xf numFmtId="0" fontId="13" fillId="0" borderId="3" xfId="11" applyFont="1" applyBorder="1"/>
    <xf numFmtId="0" fontId="8" fillId="0" borderId="14" xfId="11" applyFont="1" applyBorder="1" applyAlignment="1">
      <alignment vertical="top"/>
    </xf>
    <xf numFmtId="0" fontId="13" fillId="0" borderId="3" xfId="11" applyFont="1" applyBorder="1" applyAlignment="1">
      <alignment vertical="top"/>
    </xf>
    <xf numFmtId="0" fontId="35" fillId="0" borderId="14" xfId="11" applyFont="1" applyBorder="1"/>
    <xf numFmtId="0" fontId="31" fillId="0" borderId="0" xfId="12" applyFont="1" applyAlignment="1">
      <alignment vertical="center"/>
    </xf>
    <xf numFmtId="0" fontId="13" fillId="0" borderId="25" xfId="3" applyFont="1" applyBorder="1" applyAlignment="1">
      <alignment horizontal="right" vertical="center"/>
    </xf>
    <xf numFmtId="0" fontId="34" fillId="0" borderId="25" xfId="11" applyFont="1" applyBorder="1"/>
    <xf numFmtId="0" fontId="25" fillId="0" borderId="25" xfId="3" applyFont="1" applyBorder="1" applyAlignment="1">
      <alignment horizontal="right" vertical="center"/>
    </xf>
    <xf numFmtId="0" fontId="34" fillId="0" borderId="3" xfId="11" applyFont="1" applyBorder="1" applyAlignment="1">
      <alignment horizontal="left" indent="2"/>
    </xf>
    <xf numFmtId="0" fontId="13" fillId="0" borderId="0" xfId="18" applyFont="1" applyAlignment="1">
      <alignment vertical="center"/>
    </xf>
    <xf numFmtId="0" fontId="8" fillId="0" borderId="0" xfId="3" applyFont="1" applyAlignment="1">
      <alignment horizontal="right" vertical="center"/>
    </xf>
    <xf numFmtId="0" fontId="39" fillId="0" borderId="3" xfId="11" applyFont="1" applyBorder="1"/>
    <xf numFmtId="0" fontId="24" fillId="0" borderId="3" xfId="11" applyFont="1" applyBorder="1" applyAlignment="1">
      <alignment horizontal="right" vertical="top" indent="1"/>
    </xf>
    <xf numFmtId="0" fontId="39" fillId="0" borderId="3" xfId="11" applyFont="1" applyBorder="1" applyAlignment="1">
      <alignment horizontal="left" indent="1"/>
    </xf>
    <xf numFmtId="0" fontId="34" fillId="0" borderId="3" xfId="11" applyFont="1" applyBorder="1" applyAlignment="1">
      <alignment horizontal="left" indent="1"/>
    </xf>
    <xf numFmtId="0" fontId="35" fillId="0" borderId="3" xfId="11" applyFont="1" applyBorder="1" applyAlignment="1">
      <alignment horizontal="right" indent="1"/>
    </xf>
    <xf numFmtId="0" fontId="35" fillId="0" borderId="3" xfId="11" applyFont="1" applyBorder="1"/>
    <xf numFmtId="169" fontId="39" fillId="0" borderId="25" xfId="14" applyNumberFormat="1" applyFont="1" applyBorder="1"/>
    <xf numFmtId="169" fontId="39" fillId="0" borderId="0" xfId="14" applyNumberFormat="1" applyFont="1" applyBorder="1"/>
    <xf numFmtId="0" fontId="25" fillId="0" borderId="0" xfId="3" applyFont="1" applyAlignment="1">
      <alignment horizontal="right" vertical="center"/>
    </xf>
    <xf numFmtId="0" fontId="13" fillId="0" borderId="0" xfId="12" applyFont="1"/>
    <xf numFmtId="170" fontId="34" fillId="0" borderId="0" xfId="11" applyNumberFormat="1" applyFont="1"/>
    <xf numFmtId="0" fontId="8" fillId="0" borderId="0" xfId="12" applyFont="1" applyAlignment="1">
      <alignment horizontal="right" readingOrder="2"/>
    </xf>
    <xf numFmtId="0" fontId="8" fillId="0" borderId="0" xfId="3" applyFont="1" applyAlignment="1">
      <alignment horizontal="right"/>
    </xf>
    <xf numFmtId="0" fontId="39" fillId="0" borderId="3" xfId="11" applyFont="1" applyBorder="1" applyAlignment="1">
      <alignment horizontal="left"/>
    </xf>
    <xf numFmtId="169" fontId="34" fillId="0" borderId="3" xfId="14" applyNumberFormat="1" applyFont="1" applyBorder="1"/>
    <xf numFmtId="0" fontId="35" fillId="0" borderId="3" xfId="11" applyFont="1" applyBorder="1" applyAlignment="1">
      <alignment horizontal="right" vertical="top" indent="1"/>
    </xf>
    <xf numFmtId="169" fontId="34" fillId="0" borderId="3" xfId="11" applyNumberFormat="1" applyFont="1" applyBorder="1"/>
    <xf numFmtId="0" fontId="14" fillId="0" borderId="3" xfId="11" applyFont="1" applyBorder="1" applyAlignment="1">
      <alignment horizontal="left" indent="1"/>
    </xf>
    <xf numFmtId="0" fontId="34" fillId="0" borderId="0" xfId="11" applyFont="1" applyAlignment="1">
      <alignment horizontal="left" indent="1"/>
    </xf>
    <xf numFmtId="164" fontId="34" fillId="0" borderId="0" xfId="11" applyNumberFormat="1" applyFont="1"/>
    <xf numFmtId="169" fontId="34" fillId="0" borderId="0" xfId="14" applyNumberFormat="1" applyFont="1" applyBorder="1"/>
    <xf numFmtId="0" fontId="35" fillId="0" borderId="0" xfId="11" applyFont="1" applyAlignment="1">
      <alignment horizontal="right" vertical="top" indent="1"/>
    </xf>
    <xf numFmtId="0" fontId="41" fillId="0" borderId="0" xfId="18" applyFont="1"/>
    <xf numFmtId="0" fontId="39" fillId="0" borderId="3" xfId="11" applyFont="1" applyBorder="1" applyAlignment="1">
      <alignment horizontal="right" vertical="center"/>
    </xf>
    <xf numFmtId="172" fontId="39" fillId="0" borderId="3" xfId="11" applyNumberFormat="1" applyFont="1" applyBorder="1" applyAlignment="1">
      <alignment horizontal="right"/>
    </xf>
    <xf numFmtId="0" fontId="39" fillId="0" borderId="3" xfId="11" applyFont="1" applyBorder="1" applyAlignment="1">
      <alignment horizontal="right"/>
    </xf>
    <xf numFmtId="169" fontId="39" fillId="0" borderId="3" xfId="11" applyNumberFormat="1" applyFont="1" applyBorder="1" applyAlignment="1">
      <alignment horizontal="center" vertical="center"/>
    </xf>
    <xf numFmtId="172" fontId="34" fillId="0" borderId="3" xfId="11" applyNumberFormat="1" applyFont="1" applyBorder="1" applyAlignment="1">
      <alignment horizontal="right"/>
    </xf>
    <xf numFmtId="0" fontId="34" fillId="0" borderId="3" xfId="11" applyFont="1" applyBorder="1" applyAlignment="1">
      <alignment horizontal="right"/>
    </xf>
    <xf numFmtId="0" fontId="34" fillId="0" borderId="13" xfId="11" applyFont="1" applyBorder="1" applyAlignment="1">
      <alignment horizontal="right"/>
    </xf>
    <xf numFmtId="0" fontId="31" fillId="0" borderId="3" xfId="3" applyFont="1" applyBorder="1" applyAlignment="1">
      <alignment horizontal="right" vertical="center"/>
    </xf>
    <xf numFmtId="0" fontId="14" fillId="0" borderId="0" xfId="20" applyFont="1"/>
    <xf numFmtId="0" fontId="24" fillId="0" borderId="0" xfId="20" applyFont="1"/>
    <xf numFmtId="0" fontId="13" fillId="0" borderId="0" xfId="20" applyFont="1" applyAlignment="1">
      <alignment horizontal="center"/>
    </xf>
    <xf numFmtId="0" fontId="13" fillId="0" borderId="0" xfId="20" applyFont="1" applyAlignment="1">
      <alignment vertical="center"/>
    </xf>
    <xf numFmtId="0" fontId="13" fillId="0" borderId="0" xfId="3" applyFont="1" applyAlignment="1">
      <alignment horizontal="right" vertical="center"/>
    </xf>
    <xf numFmtId="0" fontId="13" fillId="0" borderId="28" xfId="20" applyFont="1" applyBorder="1" applyAlignment="1">
      <alignment horizontal="center" vertical="center"/>
    </xf>
    <xf numFmtId="0" fontId="13" fillId="0" borderId="29" xfId="20" applyFont="1" applyBorder="1" applyAlignment="1">
      <alignment horizontal="center" vertical="center"/>
    </xf>
    <xf numFmtId="174" fontId="13" fillId="0" borderId="29" xfId="21" applyNumberFormat="1" applyFont="1" applyBorder="1" applyAlignment="1">
      <alignment horizontal="center" vertical="center"/>
    </xf>
    <xf numFmtId="0" fontId="8" fillId="0" borderId="29" xfId="20" applyFont="1" applyBorder="1" applyAlignment="1">
      <alignment horizontal="center" vertical="center"/>
    </xf>
    <xf numFmtId="0" fontId="13" fillId="0" borderId="30" xfId="20" applyFont="1" applyBorder="1" applyAlignment="1">
      <alignment horizontal="center" vertical="center"/>
    </xf>
    <xf numFmtId="0" fontId="13" fillId="0" borderId="4" xfId="20" applyFont="1" applyBorder="1" applyAlignment="1">
      <alignment horizontal="center" vertical="center"/>
    </xf>
    <xf numFmtId="0" fontId="13" fillId="0" borderId="5" xfId="20" applyFont="1" applyBorder="1" applyAlignment="1">
      <alignment horizontal="center" vertical="center"/>
    </xf>
    <xf numFmtId="174" fontId="13" fillId="0" borderId="5" xfId="21" applyNumberFormat="1" applyFont="1" applyBorder="1" applyAlignment="1">
      <alignment horizontal="center" vertical="center"/>
    </xf>
    <xf numFmtId="0" fontId="8" fillId="0" borderId="5" xfId="20" applyFont="1" applyBorder="1" applyAlignment="1">
      <alignment horizontal="center" vertical="center"/>
    </xf>
    <xf numFmtId="0" fontId="13" fillId="0" borderId="12" xfId="19" applyFont="1" applyBorder="1" applyAlignment="1">
      <alignment horizontal="center" vertical="center"/>
    </xf>
    <xf numFmtId="0" fontId="13" fillId="0" borderId="28" xfId="20" applyFont="1" applyBorder="1" applyAlignment="1">
      <alignment horizontal="left" vertical="center"/>
    </xf>
    <xf numFmtId="168" fontId="14" fillId="0" borderId="29" xfId="20" applyNumberFormat="1" applyFont="1" applyBorder="1" applyAlignment="1">
      <alignment horizontal="right" vertical="center"/>
    </xf>
    <xf numFmtId="168" fontId="24" fillId="0" borderId="29" xfId="20" applyNumberFormat="1" applyFont="1" applyBorder="1" applyAlignment="1">
      <alignment horizontal="right" vertical="center"/>
    </xf>
    <xf numFmtId="168" fontId="13" fillId="0" borderId="31" xfId="20" applyNumberFormat="1" applyFont="1" applyBorder="1" applyAlignment="1">
      <alignment horizontal="right" vertical="center"/>
    </xf>
    <xf numFmtId="0" fontId="13" fillId="0" borderId="30" xfId="20" applyFont="1" applyBorder="1" applyAlignment="1">
      <alignment horizontal="right" vertical="center"/>
    </xf>
    <xf numFmtId="0" fontId="14" fillId="0" borderId="4" xfId="20" applyFont="1" applyBorder="1" applyAlignment="1">
      <alignment horizontal="left" vertical="center" indent="1"/>
    </xf>
    <xf numFmtId="168" fontId="14" fillId="0" borderId="5" xfId="20" applyNumberFormat="1" applyFont="1" applyBorder="1" applyAlignment="1">
      <alignment horizontal="right" vertical="center"/>
    </xf>
    <xf numFmtId="168" fontId="24" fillId="0" borderId="5" xfId="20" applyNumberFormat="1" applyFont="1" applyBorder="1" applyAlignment="1">
      <alignment horizontal="right" vertical="center"/>
    </xf>
    <xf numFmtId="168" fontId="13" fillId="0" borderId="6" xfId="20" applyNumberFormat="1" applyFont="1" applyBorder="1" applyAlignment="1">
      <alignment horizontal="right" vertical="center"/>
    </xf>
    <xf numFmtId="1" fontId="14" fillId="0" borderId="12" xfId="19" applyNumberFormat="1" applyFont="1" applyBorder="1" applyAlignment="1">
      <alignment horizontal="right" vertical="center" indent="1"/>
    </xf>
    <xf numFmtId="0" fontId="14" fillId="0" borderId="12" xfId="19" applyFont="1" applyBorder="1" applyAlignment="1">
      <alignment horizontal="right" vertical="center" indent="1"/>
    </xf>
    <xf numFmtId="0" fontId="13" fillId="0" borderId="4" xfId="20" applyFont="1" applyBorder="1" applyAlignment="1">
      <alignment horizontal="left" vertical="center"/>
    </xf>
    <xf numFmtId="0" fontId="13" fillId="0" borderId="12" xfId="20" applyFont="1" applyBorder="1" applyAlignment="1">
      <alignment horizontal="right" vertical="center"/>
    </xf>
    <xf numFmtId="0" fontId="13" fillId="0" borderId="5" xfId="20" applyFont="1" applyBorder="1" applyAlignment="1">
      <alignment horizontal="left" vertical="center"/>
    </xf>
    <xf numFmtId="168" fontId="13" fillId="0" borderId="5" xfId="20" applyNumberFormat="1" applyFont="1" applyBorder="1" applyAlignment="1">
      <alignment horizontal="right" vertical="center"/>
    </xf>
    <xf numFmtId="0" fontId="13" fillId="0" borderId="5" xfId="20" applyFont="1" applyBorder="1" applyAlignment="1">
      <alignment horizontal="right" vertical="center"/>
    </xf>
    <xf numFmtId="0" fontId="14" fillId="0" borderId="5" xfId="20" applyFont="1" applyBorder="1" applyAlignment="1">
      <alignment horizontal="left" vertical="center" indent="1"/>
    </xf>
    <xf numFmtId="1" fontId="14" fillId="0" borderId="5" xfId="19" applyNumberFormat="1" applyFont="1" applyBorder="1" applyAlignment="1">
      <alignment horizontal="right" vertical="center" indent="1"/>
    </xf>
    <xf numFmtId="0" fontId="14" fillId="0" borderId="5" xfId="19" applyFont="1" applyBorder="1" applyAlignment="1">
      <alignment horizontal="right" vertical="center" indent="1"/>
    </xf>
    <xf numFmtId="0" fontId="14" fillId="0" borderId="3" xfId="20" applyFont="1" applyBorder="1" applyAlignment="1">
      <alignment horizontal="left" indent="2"/>
    </xf>
    <xf numFmtId="168" fontId="14" fillId="0" borderId="3" xfId="20" applyNumberFormat="1" applyFont="1" applyBorder="1" applyAlignment="1">
      <alignment horizontal="center"/>
    </xf>
    <xf numFmtId="166" fontId="14" fillId="0" borderId="3" xfId="20" applyNumberFormat="1" applyFont="1" applyBorder="1" applyAlignment="1">
      <alignment horizontal="center"/>
    </xf>
    <xf numFmtId="166" fontId="24" fillId="0" borderId="3" xfId="20" applyNumberFormat="1" applyFont="1" applyBorder="1" applyAlignment="1">
      <alignment horizontal="center"/>
    </xf>
    <xf numFmtId="1" fontId="13" fillId="0" borderId="3" xfId="20" applyNumberFormat="1" applyFont="1" applyBorder="1" applyAlignment="1">
      <alignment horizontal="center"/>
    </xf>
    <xf numFmtId="0" fontId="14" fillId="0" borderId="3" xfId="20" applyFont="1" applyBorder="1" applyAlignment="1">
      <alignment horizontal="left" vertical="center" indent="1"/>
    </xf>
    <xf numFmtId="0" fontId="14" fillId="0" borderId="0" xfId="20" applyFont="1" applyAlignment="1">
      <alignment horizontal="left" indent="2"/>
    </xf>
    <xf numFmtId="168" fontId="14" fillId="0" borderId="0" xfId="20" applyNumberFormat="1" applyFont="1" applyAlignment="1">
      <alignment horizontal="center"/>
    </xf>
    <xf numFmtId="166" fontId="14" fillId="0" borderId="0" xfId="20" applyNumberFormat="1" applyFont="1" applyAlignment="1">
      <alignment horizontal="center"/>
    </xf>
    <xf numFmtId="166" fontId="24" fillId="0" borderId="0" xfId="20" applyNumberFormat="1" applyFont="1" applyAlignment="1">
      <alignment horizontal="center"/>
    </xf>
    <xf numFmtId="1" fontId="13" fillId="0" borderId="0" xfId="20" applyNumberFormat="1" applyFont="1" applyAlignment="1">
      <alignment horizontal="center"/>
    </xf>
    <xf numFmtId="0" fontId="14" fillId="0" borderId="0" xfId="19" applyFont="1" applyAlignment="1">
      <alignment horizontal="left"/>
    </xf>
    <xf numFmtId="0" fontId="31" fillId="0" borderId="0" xfId="20" applyFont="1" applyAlignment="1">
      <alignment vertical="center"/>
    </xf>
    <xf numFmtId="0" fontId="14" fillId="0" borderId="0" xfId="20" applyFont="1" applyAlignment="1">
      <alignment vertical="center"/>
    </xf>
    <xf numFmtId="1" fontId="14" fillId="0" borderId="0" xfId="19" applyNumberFormat="1" applyFont="1" applyAlignment="1">
      <alignment vertical="center"/>
    </xf>
    <xf numFmtId="0" fontId="24" fillId="0" borderId="0" xfId="20" applyFont="1" applyAlignment="1">
      <alignment vertical="center"/>
    </xf>
    <xf numFmtId="0" fontId="13" fillId="0" borderId="0" xfId="20" applyFont="1" applyAlignment="1">
      <alignment horizontal="center" vertical="center"/>
    </xf>
    <xf numFmtId="1" fontId="31" fillId="0" borderId="0" xfId="19" applyNumberFormat="1" applyFont="1" applyAlignment="1">
      <alignment vertical="center"/>
    </xf>
    <xf numFmtId="0" fontId="14" fillId="0" borderId="0" xfId="22" applyFont="1"/>
    <xf numFmtId="0" fontId="8" fillId="0" borderId="0" xfId="23" applyFont="1" applyAlignment="1">
      <alignment horizontal="right" vertical="center"/>
    </xf>
    <xf numFmtId="165" fontId="13" fillId="0" borderId="0" xfId="23" applyNumberFormat="1" applyFont="1" applyAlignment="1">
      <alignment horizontal="left" vertical="center"/>
    </xf>
    <xf numFmtId="0" fontId="14" fillId="0" borderId="0" xfId="23" applyFont="1" applyAlignment="1">
      <alignment horizontal="right" vertical="center"/>
    </xf>
    <xf numFmtId="165" fontId="14" fillId="0" borderId="0" xfId="23" applyNumberFormat="1" applyFont="1" applyAlignment="1">
      <alignment horizontal="left"/>
    </xf>
    <xf numFmtId="0" fontId="14" fillId="0" borderId="0" xfId="23" applyFont="1" applyAlignment="1">
      <alignment horizontal="right"/>
    </xf>
    <xf numFmtId="0" fontId="31" fillId="0" borderId="0" xfId="25" applyFont="1" applyAlignment="1">
      <alignment horizontal="left" vertical="center"/>
    </xf>
    <xf numFmtId="1" fontId="25" fillId="0" borderId="0" xfId="23" applyNumberFormat="1" applyFont="1" applyAlignment="1">
      <alignment horizontal="right" vertical="center"/>
    </xf>
    <xf numFmtId="0" fontId="13" fillId="0" borderId="0" xfId="25" applyFont="1" applyAlignment="1">
      <alignment vertical="center"/>
    </xf>
    <xf numFmtId="0" fontId="14" fillId="0" borderId="0" xfId="25" applyFont="1" applyAlignment="1">
      <alignment vertical="center"/>
    </xf>
    <xf numFmtId="0" fontId="8" fillId="0" borderId="0" xfId="23" applyFont="1" applyAlignment="1">
      <alignment vertical="center"/>
    </xf>
    <xf numFmtId="0" fontId="21" fillId="0" borderId="0" xfId="25" applyFont="1" applyAlignment="1">
      <alignment vertical="center"/>
    </xf>
    <xf numFmtId="0" fontId="14" fillId="0" borderId="0" xfId="25" applyFont="1"/>
    <xf numFmtId="0" fontId="8" fillId="0" borderId="0" xfId="23" applyFont="1"/>
    <xf numFmtId="0" fontId="14" fillId="0" borderId="34" xfId="25" applyFont="1" applyBorder="1" applyAlignment="1">
      <alignment horizontal="center" vertical="center"/>
    </xf>
    <xf numFmtId="0" fontId="14" fillId="0" borderId="18" xfId="25" applyFont="1" applyBorder="1" applyAlignment="1">
      <alignment horizontal="left" indent="2"/>
    </xf>
    <xf numFmtId="3" fontId="14" fillId="0" borderId="19" xfId="25" applyNumberFormat="1" applyFont="1" applyBorder="1" applyAlignment="1">
      <alignment horizontal="center"/>
    </xf>
    <xf numFmtId="1" fontId="24" fillId="0" borderId="20" xfId="23" applyNumberFormat="1" applyFont="1" applyBorder="1" applyAlignment="1">
      <alignment horizontal="left" indent="1"/>
    </xf>
    <xf numFmtId="1" fontId="8" fillId="0" borderId="0" xfId="23" applyNumberFormat="1" applyFont="1" applyAlignment="1">
      <alignment horizontal="right" vertical="center"/>
    </xf>
    <xf numFmtId="0" fontId="13" fillId="0" borderId="0" xfId="25" applyFont="1" applyAlignment="1">
      <alignment horizontal="left" vertical="center"/>
    </xf>
    <xf numFmtId="3" fontId="14" fillId="0" borderId="0" xfId="25" applyNumberFormat="1" applyFont="1"/>
    <xf numFmtId="0" fontId="24" fillId="0" borderId="0" xfId="25" applyFont="1"/>
    <xf numFmtId="0" fontId="24" fillId="0" borderId="0" xfId="25" applyFont="1" applyAlignment="1">
      <alignment vertical="center"/>
    </xf>
    <xf numFmtId="0" fontId="14" fillId="0" borderId="0" xfId="25" applyFont="1" applyAlignment="1">
      <alignment horizontal="left" indent="2"/>
    </xf>
    <xf numFmtId="10" fontId="14" fillId="0" borderId="0" xfId="25" applyNumberFormat="1" applyFont="1" applyAlignment="1">
      <alignment horizontal="center"/>
    </xf>
    <xf numFmtId="0" fontId="14" fillId="0" borderId="21" xfId="25" applyFont="1" applyBorder="1" applyAlignment="1">
      <alignment horizontal="left" indent="2"/>
    </xf>
    <xf numFmtId="0" fontId="14" fillId="0" borderId="3" xfId="25" applyFont="1" applyBorder="1" applyAlignment="1">
      <alignment horizontal="left" vertical="center" indent="1"/>
    </xf>
    <xf numFmtId="0" fontId="14" fillId="0" borderId="3" xfId="25" applyFont="1" applyBorder="1" applyAlignment="1">
      <alignment horizontal="center"/>
    </xf>
    <xf numFmtId="0" fontId="14" fillId="0" borderId="3" xfId="25" applyFont="1" applyBorder="1"/>
    <xf numFmtId="166" fontId="14" fillId="0" borderId="3" xfId="25" applyNumberFormat="1" applyFont="1" applyBorder="1" applyAlignment="1">
      <alignment horizontal="left" vertical="center" indent="1"/>
    </xf>
    <xf numFmtId="0" fontId="14" fillId="0" borderId="0" xfId="25" applyFont="1" applyAlignment="1">
      <alignment horizontal="center"/>
    </xf>
    <xf numFmtId="0" fontId="13" fillId="0" borderId="0" xfId="25" applyFont="1"/>
    <xf numFmtId="0" fontId="24" fillId="0" borderId="0" xfId="0" applyFont="1"/>
    <xf numFmtId="166" fontId="14" fillId="0" borderId="0" xfId="25" applyNumberFormat="1" applyFont="1" applyAlignment="1">
      <alignment horizontal="center"/>
    </xf>
    <xf numFmtId="4" fontId="14" fillId="0" borderId="0" xfId="25" applyNumberFormat="1" applyFont="1" applyAlignment="1">
      <alignment horizontal="center"/>
    </xf>
    <xf numFmtId="166" fontId="14" fillId="0" borderId="0" xfId="25" applyNumberFormat="1" applyFont="1" applyAlignment="1">
      <alignment horizontal="center" vertical="center"/>
    </xf>
    <xf numFmtId="0" fontId="14" fillId="0" borderId="0" xfId="25" applyFont="1" applyAlignment="1">
      <alignment horizontal="center" vertical="center"/>
    </xf>
    <xf numFmtId="0" fontId="13" fillId="0" borderId="0" xfId="23" applyFont="1" applyAlignment="1">
      <alignment vertical="center"/>
    </xf>
    <xf numFmtId="0" fontId="41" fillId="0" borderId="0" xfId="25" applyFont="1" applyAlignment="1">
      <alignment vertical="center"/>
    </xf>
    <xf numFmtId="0" fontId="14" fillId="0" borderId="0" xfId="25" applyFont="1" applyAlignment="1">
      <alignment horizontal="center" vertical="justify"/>
    </xf>
    <xf numFmtId="0" fontId="14" fillId="0" borderId="0" xfId="25" applyFont="1" applyAlignment="1">
      <alignment vertical="justify"/>
    </xf>
    <xf numFmtId="0" fontId="24" fillId="0" borderId="0" xfId="25" applyFont="1" applyAlignment="1">
      <alignment vertical="justify"/>
    </xf>
    <xf numFmtId="0" fontId="13" fillId="0" borderId="0" xfId="25" applyFont="1" applyAlignment="1">
      <alignment vertical="justify"/>
    </xf>
    <xf numFmtId="0" fontId="45" fillId="0" borderId="0" xfId="25" applyFont="1" applyAlignment="1">
      <alignment horizontal="left" vertical="center"/>
    </xf>
    <xf numFmtId="0" fontId="47" fillId="0" borderId="0" xfId="25" applyFont="1" applyAlignment="1">
      <alignment horizontal="center" vertical="justify"/>
    </xf>
    <xf numFmtId="0" fontId="47" fillId="0" borderId="0" xfId="25" applyFont="1" applyAlignment="1">
      <alignment vertical="justify"/>
    </xf>
    <xf numFmtId="0" fontId="48" fillId="0" borderId="0" xfId="25" applyFont="1" applyAlignment="1">
      <alignment vertical="justify"/>
    </xf>
    <xf numFmtId="0" fontId="45" fillId="0" borderId="0" xfId="25" applyFont="1" applyAlignment="1">
      <alignment vertical="justify"/>
    </xf>
    <xf numFmtId="1" fontId="46" fillId="0" borderId="0" xfId="23" applyNumberFormat="1" applyFont="1" applyAlignment="1">
      <alignment horizontal="right" vertical="center"/>
    </xf>
    <xf numFmtId="0" fontId="14" fillId="0" borderId="0" xfId="5" applyFont="1"/>
    <xf numFmtId="177" fontId="18" fillId="3" borderId="0" xfId="26" applyFont="1" applyFill="1" applyAlignment="1">
      <alignment vertical="center"/>
    </xf>
    <xf numFmtId="0" fontId="0" fillId="5" borderId="0" xfId="0" applyFill="1"/>
    <xf numFmtId="177" fontId="18" fillId="5" borderId="0" xfId="26" applyFont="1" applyFill="1" applyAlignment="1">
      <alignment vertical="center"/>
    </xf>
    <xf numFmtId="178" fontId="54" fillId="6" borderId="0" xfId="27" applyFont="1" applyFill="1" applyAlignment="1">
      <alignment vertical="center"/>
    </xf>
    <xf numFmtId="0" fontId="0" fillId="3" borderId="0" xfId="0" applyFill="1"/>
    <xf numFmtId="168" fontId="14" fillId="0" borderId="38" xfId="20" applyNumberFormat="1" applyFont="1" applyBorder="1" applyAlignment="1">
      <alignment horizontal="right"/>
    </xf>
    <xf numFmtId="0" fontId="14" fillId="0" borderId="32" xfId="20" applyFont="1" applyBorder="1" applyAlignment="1">
      <alignment horizontal="left" indent="2"/>
    </xf>
    <xf numFmtId="168" fontId="14" fillId="0" borderId="39" xfId="20" applyNumberFormat="1" applyFont="1" applyBorder="1" applyAlignment="1">
      <alignment horizontal="right"/>
    </xf>
    <xf numFmtId="166" fontId="14" fillId="0" borderId="0" xfId="25" applyNumberFormat="1" applyFont="1" applyAlignment="1">
      <alignment horizontal="center" vertical="justify"/>
    </xf>
    <xf numFmtId="4" fontId="14" fillId="0" borderId="0" xfId="25" applyNumberFormat="1" applyFont="1" applyAlignment="1">
      <alignment horizontal="center" vertical="justify"/>
    </xf>
    <xf numFmtId="0" fontId="14" fillId="0" borderId="27" xfId="25" applyFont="1" applyBorder="1" applyAlignment="1">
      <alignment horizontal="center"/>
    </xf>
    <xf numFmtId="0" fontId="14" fillId="0" borderId="34" xfId="25" applyFont="1" applyBorder="1" applyAlignment="1">
      <alignment horizontal="center"/>
    </xf>
    <xf numFmtId="0" fontId="14" fillId="0" borderId="34" xfId="25" applyFont="1" applyBorder="1"/>
    <xf numFmtId="0" fontId="24" fillId="0" borderId="34" xfId="25" applyFont="1" applyBorder="1"/>
    <xf numFmtId="0" fontId="13" fillId="0" borderId="26" xfId="25" applyFont="1" applyBorder="1"/>
    <xf numFmtId="3" fontId="14" fillId="0" borderId="36" xfId="25" applyNumberFormat="1" applyFont="1" applyBorder="1" applyAlignment="1">
      <alignment horizontal="right"/>
    </xf>
    <xf numFmtId="0" fontId="0" fillId="0" borderId="3" xfId="0" applyBorder="1"/>
    <xf numFmtId="0" fontId="0" fillId="3" borderId="15" xfId="0" applyFill="1" applyBorder="1"/>
    <xf numFmtId="0" fontId="0" fillId="0" borderId="22" xfId="0" applyBorder="1"/>
    <xf numFmtId="0" fontId="0" fillId="0" borderId="17" xfId="0" applyBorder="1"/>
    <xf numFmtId="0" fontId="0" fillId="3" borderId="40" xfId="0" applyFill="1" applyBorder="1"/>
    <xf numFmtId="0" fontId="0" fillId="0" borderId="41" xfId="0" applyBorder="1"/>
    <xf numFmtId="0" fontId="0" fillId="3" borderId="42" xfId="0" applyFill="1" applyBorder="1"/>
    <xf numFmtId="0" fontId="0" fillId="0" borderId="36" xfId="0" applyBorder="1"/>
    <xf numFmtId="0" fontId="0" fillId="0" borderId="43" xfId="0" applyBorder="1"/>
    <xf numFmtId="0" fontId="0" fillId="3" borderId="23" xfId="0" applyFill="1" applyBorder="1"/>
    <xf numFmtId="0" fontId="0" fillId="3" borderId="14" xfId="0" applyFill="1" applyBorder="1"/>
    <xf numFmtId="0" fontId="0" fillId="3" borderId="44" xfId="0" applyFill="1" applyBorder="1"/>
    <xf numFmtId="0" fontId="0" fillId="0" borderId="16" xfId="0" applyBorder="1"/>
    <xf numFmtId="0" fontId="0" fillId="0" borderId="13" xfId="0" applyBorder="1"/>
    <xf numFmtId="0" fontId="0" fillId="0" borderId="45" xfId="0" applyBorder="1"/>
    <xf numFmtId="165" fontId="22" fillId="0" borderId="0" xfId="3" applyNumberFormat="1" applyFont="1" applyAlignment="1">
      <alignment horizontal="left"/>
    </xf>
    <xf numFmtId="168" fontId="22" fillId="0" borderId="0" xfId="3" applyNumberFormat="1" applyFont="1"/>
    <xf numFmtId="0" fontId="22" fillId="0" borderId="0" xfId="3" applyFont="1"/>
    <xf numFmtId="0" fontId="18" fillId="0" borderId="0" xfId="3" applyFont="1"/>
    <xf numFmtId="1" fontId="18" fillId="0" borderId="0" xfId="3" applyNumberFormat="1" applyFont="1" applyAlignment="1">
      <alignment horizontal="right"/>
    </xf>
    <xf numFmtId="3" fontId="20" fillId="0" borderId="3" xfId="3" applyNumberFormat="1" applyFont="1" applyBorder="1"/>
    <xf numFmtId="3" fontId="16" fillId="0" borderId="3" xfId="3" applyNumberFormat="1" applyFont="1" applyBorder="1"/>
    <xf numFmtId="3" fontId="17" fillId="0" borderId="3" xfId="3" applyNumberFormat="1" applyFont="1" applyBorder="1"/>
    <xf numFmtId="3" fontId="21" fillId="0" borderId="3" xfId="3" applyNumberFormat="1" applyFont="1" applyBorder="1"/>
    <xf numFmtId="3" fontId="17" fillId="0" borderId="3" xfId="3" applyNumberFormat="1" applyFont="1" applyBorder="1" applyAlignment="1">
      <alignment horizontal="right"/>
    </xf>
    <xf numFmtId="3" fontId="17" fillId="0" borderId="3" xfId="3" applyNumberFormat="1" applyFont="1" applyBorder="1" applyAlignment="1">
      <alignment horizontal="center"/>
    </xf>
    <xf numFmtId="3" fontId="20" fillId="0" borderId="3" xfId="3" applyNumberFormat="1" applyFont="1" applyBorder="1" applyAlignment="1">
      <alignment horizontal="right"/>
    </xf>
    <xf numFmtId="3" fontId="16" fillId="0" borderId="3" xfId="3" applyNumberFormat="1" applyFont="1" applyBorder="1" applyAlignment="1">
      <alignment horizontal="right"/>
    </xf>
    <xf numFmtId="3" fontId="21" fillId="0" borderId="3" xfId="3" applyNumberFormat="1" applyFont="1" applyBorder="1" applyAlignment="1">
      <alignment horizontal="right"/>
    </xf>
    <xf numFmtId="165" fontId="42" fillId="0" borderId="15" xfId="3" applyNumberFormat="1" applyFont="1" applyBorder="1" applyAlignment="1">
      <alignment horizontal="center" vertical="center"/>
    </xf>
    <xf numFmtId="0" fontId="20" fillId="0" borderId="22" xfId="3" applyFont="1" applyBorder="1" applyAlignment="1">
      <alignment horizontal="center" vertical="center"/>
    </xf>
    <xf numFmtId="0" fontId="42" fillId="0" borderId="17" xfId="3" applyFont="1" applyBorder="1" applyAlignment="1">
      <alignment horizontal="center" vertical="center"/>
    </xf>
    <xf numFmtId="165" fontId="20" fillId="0" borderId="40" xfId="3" applyNumberFormat="1" applyFont="1" applyBorder="1" applyAlignment="1">
      <alignment horizontal="left"/>
    </xf>
    <xf numFmtId="0" fontId="20" fillId="0" borderId="41" xfId="3" applyFont="1" applyBorder="1"/>
    <xf numFmtId="165" fontId="16" fillId="0" borderId="40" xfId="3" applyNumberFormat="1" applyFont="1" applyBorder="1" applyAlignment="1">
      <alignment horizontal="left"/>
    </xf>
    <xf numFmtId="0" fontId="16" fillId="0" borderId="41" xfId="3" applyFont="1" applyBorder="1"/>
    <xf numFmtId="165" fontId="17" fillId="0" borderId="40" xfId="3" applyNumberFormat="1" applyFont="1" applyBorder="1" applyAlignment="1">
      <alignment horizontal="left" indent="1"/>
    </xf>
    <xf numFmtId="0" fontId="17" fillId="0" borderId="41" xfId="3" applyFont="1" applyBorder="1" applyAlignment="1">
      <alignment horizontal="right" indent="1"/>
    </xf>
    <xf numFmtId="0" fontId="17" fillId="0" borderId="40" xfId="3" applyFont="1" applyBorder="1" applyAlignment="1">
      <alignment horizontal="left" indent="1"/>
    </xf>
    <xf numFmtId="165" fontId="17" fillId="0" borderId="40" xfId="3" applyNumberFormat="1" applyFont="1" applyBorder="1" applyAlignment="1">
      <alignment horizontal="left" indent="3"/>
    </xf>
    <xf numFmtId="0" fontId="17" fillId="0" borderId="41" xfId="3" applyFont="1" applyBorder="1" applyAlignment="1">
      <alignment horizontal="right" indent="3"/>
    </xf>
    <xf numFmtId="165" fontId="17" fillId="0" borderId="40" xfId="3" applyNumberFormat="1" applyFont="1" applyBorder="1" applyAlignment="1">
      <alignment horizontal="left" indent="2"/>
    </xf>
    <xf numFmtId="0" fontId="17" fillId="0" borderId="41" xfId="3" applyFont="1" applyBorder="1" applyAlignment="1">
      <alignment horizontal="right" indent="2"/>
    </xf>
    <xf numFmtId="0" fontId="19" fillId="0" borderId="41" xfId="3" applyFont="1" applyBorder="1"/>
    <xf numFmtId="165" fontId="16" fillId="0" borderId="40" xfId="3" applyNumberFormat="1" applyFont="1" applyBorder="1" applyAlignment="1">
      <alignment horizontal="left" indent="1"/>
    </xf>
    <xf numFmtId="0" fontId="16" fillId="0" borderId="41" xfId="3" applyFont="1" applyBorder="1" applyAlignment="1">
      <alignment horizontal="right" indent="1"/>
    </xf>
    <xf numFmtId="165" fontId="21" fillId="0" borderId="40" xfId="3" applyNumberFormat="1" applyFont="1" applyBorder="1" applyAlignment="1">
      <alignment horizontal="left" indent="2"/>
    </xf>
    <xf numFmtId="0" fontId="21" fillId="0" borderId="41" xfId="3" applyFont="1" applyBorder="1" applyAlignment="1">
      <alignment horizontal="right" indent="2"/>
    </xf>
    <xf numFmtId="0" fontId="20" fillId="0" borderId="41" xfId="3" applyFont="1" applyBorder="1" applyAlignment="1">
      <alignment horizontal="right"/>
    </xf>
    <xf numFmtId="0" fontId="16" fillId="0" borderId="41" xfId="3" applyFont="1" applyBorder="1" applyAlignment="1">
      <alignment horizontal="right"/>
    </xf>
    <xf numFmtId="165" fontId="17" fillId="0" borderId="40" xfId="3" applyNumberFormat="1" applyFont="1" applyBorder="1" applyAlignment="1">
      <alignment horizontal="left"/>
    </xf>
    <xf numFmtId="0" fontId="21" fillId="0" borderId="41" xfId="3" applyFont="1" applyBorder="1" applyAlignment="1">
      <alignment horizontal="right" indent="1"/>
    </xf>
    <xf numFmtId="165" fontId="21" fillId="0" borderId="40" xfId="3" applyNumberFormat="1" applyFont="1" applyBorder="1" applyAlignment="1">
      <alignment horizontal="left"/>
    </xf>
    <xf numFmtId="0" fontId="61" fillId="0" borderId="41" xfId="3" applyFont="1" applyBorder="1" applyAlignment="1">
      <alignment horizontal="right" indent="1"/>
    </xf>
    <xf numFmtId="165" fontId="21" fillId="0" borderId="42" xfId="3" applyNumberFormat="1" applyFont="1" applyBorder="1" applyAlignment="1">
      <alignment horizontal="left"/>
    </xf>
    <xf numFmtId="3" fontId="21" fillId="0" borderId="36" xfId="3" applyNumberFormat="1" applyFont="1" applyBorder="1" applyAlignment="1">
      <alignment horizontal="right"/>
    </xf>
    <xf numFmtId="3" fontId="21" fillId="0" borderId="36" xfId="3" applyNumberFormat="1" applyFont="1" applyBorder="1"/>
    <xf numFmtId="0" fontId="21" fillId="0" borderId="43" xfId="3" applyFont="1" applyBorder="1" applyAlignment="1">
      <alignment horizontal="right" indent="1"/>
    </xf>
    <xf numFmtId="0" fontId="34" fillId="0" borderId="3" xfId="0" applyFont="1" applyBorder="1" applyAlignment="1">
      <alignment horizontal="right" wrapText="1"/>
    </xf>
    <xf numFmtId="0" fontId="62" fillId="0" borderId="46" xfId="0" applyFont="1" applyBorder="1" applyAlignment="1">
      <alignment wrapText="1"/>
    </xf>
    <xf numFmtId="0" fontId="40" fillId="0" borderId="46" xfId="0" applyFont="1" applyBorder="1" applyAlignment="1">
      <alignment vertical="center"/>
    </xf>
    <xf numFmtId="0" fontId="64" fillId="0" borderId="4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5" xfId="1" applyFont="1" applyBorder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166" fontId="14" fillId="0" borderId="3" xfId="6" applyNumberFormat="1" applyFont="1" applyBorder="1" applyAlignment="1">
      <alignment vertical="top" wrapText="1"/>
    </xf>
    <xf numFmtId="2" fontId="13" fillId="0" borderId="3" xfId="6" applyNumberFormat="1" applyFont="1" applyBorder="1" applyAlignment="1">
      <alignment vertical="top" wrapText="1"/>
    </xf>
    <xf numFmtId="166" fontId="13" fillId="0" borderId="3" xfId="6" applyNumberFormat="1" applyFont="1" applyBorder="1" applyAlignment="1">
      <alignment vertical="top" wrapText="1"/>
    </xf>
    <xf numFmtId="2" fontId="14" fillId="0" borderId="3" xfId="6" applyNumberFormat="1" applyFont="1" applyBorder="1" applyAlignment="1">
      <alignment vertical="top" wrapText="1"/>
    </xf>
    <xf numFmtId="0" fontId="14" fillId="0" borderId="40" xfId="6" applyFont="1" applyBorder="1" applyAlignment="1">
      <alignment horizontal="left" vertical="top" wrapText="1" indent="1"/>
    </xf>
    <xf numFmtId="165" fontId="24" fillId="0" borderId="41" xfId="9" applyNumberFormat="1" applyFont="1" applyBorder="1" applyAlignment="1">
      <alignment horizontal="right" indent="1"/>
    </xf>
    <xf numFmtId="0" fontId="13" fillId="0" borderId="40" xfId="6" applyFont="1" applyBorder="1" applyAlignment="1">
      <alignment vertical="top" wrapText="1"/>
    </xf>
    <xf numFmtId="0" fontId="8" fillId="0" borderId="41" xfId="6" applyFont="1" applyBorder="1" applyAlignment="1">
      <alignment horizontal="right"/>
    </xf>
    <xf numFmtId="0" fontId="14" fillId="0" borderId="42" xfId="6" applyFont="1" applyBorder="1" applyAlignment="1">
      <alignment vertical="top" wrapText="1"/>
    </xf>
    <xf numFmtId="0" fontId="14" fillId="0" borderId="36" xfId="6" applyFont="1" applyBorder="1" applyAlignment="1">
      <alignment vertical="top" wrapText="1"/>
    </xf>
    <xf numFmtId="2" fontId="14" fillId="0" borderId="36" xfId="6" applyNumberFormat="1" applyFont="1" applyBorder="1" applyAlignment="1">
      <alignment vertical="top" wrapText="1"/>
    </xf>
    <xf numFmtId="0" fontId="24" fillId="0" borderId="43" xfId="6" applyFont="1" applyBorder="1"/>
    <xf numFmtId="168" fontId="14" fillId="0" borderId="3" xfId="6" applyNumberFormat="1" applyFont="1" applyBorder="1" applyAlignment="1">
      <alignment horizontal="right" vertical="center" wrapText="1"/>
    </xf>
    <xf numFmtId="0" fontId="8" fillId="0" borderId="41" xfId="6" applyFont="1" applyBorder="1" applyAlignment="1">
      <alignment horizontal="right" vertical="top"/>
    </xf>
    <xf numFmtId="168" fontId="14" fillId="0" borderId="36" xfId="6" applyNumberFormat="1" applyFont="1" applyBorder="1" applyAlignment="1">
      <alignment vertical="top" wrapText="1"/>
    </xf>
    <xf numFmtId="165" fontId="24" fillId="0" borderId="36" xfId="9" applyNumberFormat="1" applyFont="1" applyBorder="1" applyAlignment="1">
      <alignment horizontal="right" indent="1"/>
    </xf>
    <xf numFmtId="0" fontId="13" fillId="0" borderId="36" xfId="6" applyFont="1" applyBorder="1" applyAlignment="1">
      <alignment horizontal="center" vertical="center" wrapText="1"/>
    </xf>
    <xf numFmtId="165" fontId="24" fillId="0" borderId="41" xfId="2" applyNumberFormat="1" applyFont="1" applyBorder="1" applyAlignment="1">
      <alignment horizontal="right" indent="1"/>
    </xf>
    <xf numFmtId="0" fontId="8" fillId="0" borderId="41" xfId="6" applyFont="1" applyBorder="1"/>
    <xf numFmtId="168" fontId="14" fillId="0" borderId="3" xfId="6" applyNumberFormat="1" applyFont="1" applyBorder="1" applyAlignment="1">
      <alignment horizontal="right" vertical="top" wrapText="1"/>
    </xf>
    <xf numFmtId="165" fontId="24" fillId="0" borderId="41" xfId="10" applyNumberFormat="1" applyFont="1" applyBorder="1" applyAlignment="1">
      <alignment horizontal="right" indent="1"/>
    </xf>
    <xf numFmtId="165" fontId="24" fillId="0" borderId="41" xfId="10" applyNumberFormat="1" applyFont="1" applyBorder="1" applyAlignment="1">
      <alignment horizontal="right" vertical="center" indent="1"/>
    </xf>
    <xf numFmtId="0" fontId="8" fillId="0" borderId="41" xfId="6" applyFont="1" applyBorder="1" applyAlignment="1">
      <alignment vertical="center"/>
    </xf>
    <xf numFmtId="166" fontId="14" fillId="0" borderId="3" xfId="11" applyNumberFormat="1" applyFont="1" applyBorder="1"/>
    <xf numFmtId="166" fontId="34" fillId="0" borderId="3" xfId="14" applyNumberFormat="1" applyFont="1" applyFill="1" applyBorder="1" applyAlignment="1">
      <alignment vertical="top"/>
    </xf>
    <xf numFmtId="166" fontId="14" fillId="0" borderId="3" xfId="11" applyNumberFormat="1" applyFont="1" applyBorder="1" applyAlignment="1">
      <alignment vertical="top"/>
    </xf>
    <xf numFmtId="166" fontId="34" fillId="0" borderId="13" xfId="14" applyNumberFormat="1" applyFont="1" applyFill="1" applyBorder="1" applyAlignment="1">
      <alignment vertical="top"/>
    </xf>
    <xf numFmtId="0" fontId="34" fillId="0" borderId="3" xfId="11" applyFont="1" applyBorder="1"/>
    <xf numFmtId="0" fontId="35" fillId="0" borderId="3" xfId="11" applyFont="1" applyBorder="1" applyAlignment="1">
      <alignment horizontal="right" vertical="top"/>
    </xf>
    <xf numFmtId="0" fontId="35" fillId="0" borderId="3" xfId="11" applyFont="1" applyBorder="1" applyAlignment="1">
      <alignment horizontal="right"/>
    </xf>
    <xf numFmtId="0" fontId="14" fillId="0" borderId="3" xfId="12" applyFont="1" applyBorder="1" applyAlignment="1">
      <alignment vertical="center"/>
    </xf>
    <xf numFmtId="0" fontId="34" fillId="0" borderId="3" xfId="11" applyFont="1" applyBorder="1" applyAlignment="1">
      <alignment horizontal="left"/>
    </xf>
    <xf numFmtId="0" fontId="14" fillId="0" borderId="3" xfId="11" applyFont="1" applyBorder="1" applyAlignment="1">
      <alignment horizontal="left" vertical="center" indent="1"/>
    </xf>
    <xf numFmtId="171" fontId="24" fillId="0" borderId="3" xfId="19" applyNumberFormat="1" applyFont="1" applyBorder="1" applyAlignment="1">
      <alignment vertical="justify"/>
    </xf>
    <xf numFmtId="0" fontId="68" fillId="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6" fillId="0" borderId="0" xfId="28" applyFont="1"/>
    <xf numFmtId="165" fontId="54" fillId="7" borderId="0" xfId="28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68" fillId="4" borderId="37" xfId="0" applyFont="1" applyFill="1" applyBorder="1" applyAlignment="1">
      <alignment horizontal="center" vertical="center"/>
    </xf>
    <xf numFmtId="0" fontId="1" fillId="0" borderId="3" xfId="0" applyFont="1" applyBorder="1"/>
    <xf numFmtId="0" fontId="70" fillId="0" borderId="3" xfId="0" applyFont="1" applyBorder="1"/>
    <xf numFmtId="0" fontId="34" fillId="0" borderId="3" xfId="0" applyFont="1" applyBorder="1"/>
    <xf numFmtId="0" fontId="34" fillId="0" borderId="40" xfId="0" applyFont="1" applyBorder="1"/>
    <xf numFmtId="0" fontId="70" fillId="0" borderId="41" xfId="0" applyFont="1" applyBorder="1"/>
    <xf numFmtId="0" fontId="34" fillId="0" borderId="42" xfId="0" applyFont="1" applyBorder="1"/>
    <xf numFmtId="0" fontId="70" fillId="0" borderId="36" xfId="0" applyFont="1" applyBorder="1"/>
    <xf numFmtId="0" fontId="34" fillId="0" borderId="36" xfId="0" applyFont="1" applyBorder="1"/>
    <xf numFmtId="0" fontId="70" fillId="0" borderId="43" xfId="0" applyFont="1" applyBorder="1"/>
    <xf numFmtId="0" fontId="34" fillId="0" borderId="41" xfId="0" applyFont="1" applyBorder="1"/>
    <xf numFmtId="0" fontId="34" fillId="0" borderId="43" xfId="0" applyFont="1" applyBorder="1"/>
    <xf numFmtId="0" fontId="70" fillId="2" borderId="3" xfId="0" applyFont="1" applyFill="1" applyBorder="1"/>
    <xf numFmtId="0" fontId="70" fillId="3" borderId="3" xfId="0" applyFont="1" applyFill="1" applyBorder="1"/>
    <xf numFmtId="0" fontId="70" fillId="3" borderId="13" xfId="0" applyFont="1" applyFill="1" applyBorder="1"/>
    <xf numFmtId="0" fontId="70" fillId="0" borderId="45" xfId="0" applyFont="1" applyBorder="1"/>
    <xf numFmtId="0" fontId="70" fillId="0" borderId="13" xfId="0" applyFont="1" applyBorder="1"/>
    <xf numFmtId="0" fontId="71" fillId="0" borderId="0" xfId="0" applyFont="1"/>
    <xf numFmtId="0" fontId="62" fillId="0" borderId="47" xfId="0" applyFont="1" applyBorder="1" applyAlignment="1">
      <alignment wrapText="1"/>
    </xf>
    <xf numFmtId="0" fontId="65" fillId="0" borderId="48" xfId="0" applyFont="1" applyBorder="1" applyAlignment="1">
      <alignment wrapText="1"/>
    </xf>
    <xf numFmtId="0" fontId="62" fillId="0" borderId="48" xfId="0" applyFont="1" applyBorder="1" applyAlignment="1">
      <alignment wrapText="1"/>
    </xf>
    <xf numFmtId="0" fontId="66" fillId="0" borderId="48" xfId="0" applyFont="1" applyBorder="1" applyAlignment="1">
      <alignment vertical="center"/>
    </xf>
    <xf numFmtId="0" fontId="35" fillId="0" borderId="3" xfId="0" applyFont="1" applyBorder="1" applyAlignment="1">
      <alignment horizontal="right" wrapText="1"/>
    </xf>
    <xf numFmtId="0" fontId="34" fillId="0" borderId="3" xfId="0" applyFont="1" applyBorder="1" applyAlignment="1">
      <alignment vertical="center" wrapText="1"/>
    </xf>
    <xf numFmtId="0" fontId="13" fillId="0" borderId="3" xfId="3" applyFont="1" applyBorder="1"/>
    <xf numFmtId="0" fontId="14" fillId="0" borderId="3" xfId="3" applyFont="1" applyBorder="1" applyAlignment="1">
      <alignment horizontal="right" indent="1"/>
    </xf>
    <xf numFmtId="0" fontId="14" fillId="0" borderId="3" xfId="3" applyFont="1" applyBorder="1"/>
    <xf numFmtId="0" fontId="13" fillId="0" borderId="3" xfId="3" applyFont="1" applyBorder="1" applyAlignment="1">
      <alignment horizontal="right" indent="1"/>
    </xf>
    <xf numFmtId="0" fontId="14" fillId="0" borderId="3" xfId="3" applyFont="1" applyBorder="1" applyAlignment="1">
      <alignment horizontal="right" indent="2"/>
    </xf>
    <xf numFmtId="0" fontId="13" fillId="0" borderId="3" xfId="0" applyFont="1" applyBorder="1"/>
    <xf numFmtId="0" fontId="72" fillId="0" borderId="0" xfId="0" applyFont="1"/>
    <xf numFmtId="0" fontId="70" fillId="0" borderId="0" xfId="0" applyFont="1"/>
    <xf numFmtId="0" fontId="73" fillId="0" borderId="0" xfId="0" applyFont="1" applyAlignment="1">
      <alignment vertical="center"/>
    </xf>
    <xf numFmtId="0" fontId="73" fillId="0" borderId="0" xfId="0" applyFont="1"/>
    <xf numFmtId="0" fontId="33" fillId="0" borderId="0" xfId="5" applyFont="1" applyAlignment="1">
      <alignment vertical="center"/>
    </xf>
    <xf numFmtId="165" fontId="74" fillId="0" borderId="0" xfId="0" applyNumberFormat="1" applyFont="1" applyAlignment="1">
      <alignment horizontal="left"/>
    </xf>
    <xf numFmtId="165" fontId="73" fillId="0" borderId="0" xfId="0" applyNumberFormat="1" applyFont="1" applyAlignment="1">
      <alignment horizontal="left"/>
    </xf>
    <xf numFmtId="0" fontId="74" fillId="0" borderId="0" xfId="0" applyFont="1"/>
    <xf numFmtId="166" fontId="33" fillId="0" borderId="3" xfId="5" applyNumberFormat="1" applyFont="1" applyBorder="1"/>
    <xf numFmtId="168" fontId="73" fillId="0" borderId="3" xfId="5" applyNumberFormat="1" applyFont="1" applyBorder="1" applyAlignment="1">
      <alignment horizontal="right"/>
    </xf>
    <xf numFmtId="0" fontId="33" fillId="0" borderId="41" xfId="5" applyFont="1" applyBorder="1" applyAlignment="1">
      <alignment horizontal="right" indent="1"/>
    </xf>
    <xf numFmtId="165" fontId="73" fillId="0" borderId="40" xfId="0" applyNumberFormat="1" applyFont="1" applyBorder="1" applyAlignment="1">
      <alignment horizontal="left" indent="1"/>
    </xf>
    <xf numFmtId="166" fontId="73" fillId="0" borderId="3" xfId="0" applyNumberFormat="1" applyFont="1" applyBorder="1" applyAlignment="1">
      <alignment horizontal="right"/>
    </xf>
    <xf numFmtId="166" fontId="73" fillId="0" borderId="3" xfId="16" applyNumberFormat="1" applyFont="1" applyBorder="1"/>
    <xf numFmtId="166" fontId="73" fillId="0" borderId="3" xfId="16" applyNumberFormat="1" applyFont="1" applyFill="1" applyBorder="1"/>
    <xf numFmtId="166" fontId="73" fillId="0" borderId="3" xfId="0" applyNumberFormat="1" applyFont="1" applyBorder="1"/>
    <xf numFmtId="166" fontId="73" fillId="0" borderId="3" xfId="5" applyNumberFormat="1" applyFont="1" applyBorder="1"/>
    <xf numFmtId="0" fontId="73" fillId="0" borderId="41" xfId="5" applyFont="1" applyBorder="1" applyAlignment="1">
      <alignment horizontal="right" indent="1"/>
    </xf>
    <xf numFmtId="166" fontId="73" fillId="0" borderId="3" xfId="5" applyNumberFormat="1" applyFont="1" applyBorder="1" applyAlignment="1">
      <alignment horizontal="right" vertical="top"/>
    </xf>
    <xf numFmtId="166" fontId="73" fillId="0" borderId="3" xfId="5" applyNumberFormat="1" applyFont="1" applyBorder="1" applyAlignment="1">
      <alignment horizontal="right"/>
    </xf>
    <xf numFmtId="168" fontId="33" fillId="0" borderId="36" xfId="5" applyNumberFormat="1" applyFont="1" applyBorder="1"/>
    <xf numFmtId="168" fontId="73" fillId="0" borderId="36" xfId="5" applyNumberFormat="1" applyFont="1" applyBorder="1" applyAlignment="1">
      <alignment horizontal="right"/>
    </xf>
    <xf numFmtId="0" fontId="33" fillId="0" borderId="43" xfId="5" applyFont="1" applyBorder="1"/>
    <xf numFmtId="166" fontId="73" fillId="0" borderId="0" xfId="0" applyNumberFormat="1" applyFont="1" applyAlignment="1">
      <alignment horizontal="right"/>
    </xf>
    <xf numFmtId="0" fontId="73" fillId="0" borderId="0" xfId="0" applyFont="1" applyAlignment="1">
      <alignment horizontal="right"/>
    </xf>
    <xf numFmtId="176" fontId="73" fillId="0" borderId="0" xfId="16" applyNumberFormat="1" applyFont="1" applyBorder="1"/>
    <xf numFmtId="176" fontId="73" fillId="0" borderId="0" xfId="16" applyNumberFormat="1" applyFont="1" applyFill="1" applyBorder="1"/>
    <xf numFmtId="0" fontId="33" fillId="0" borderId="0" xfId="0" applyFont="1"/>
    <xf numFmtId="0" fontId="33" fillId="0" borderId="0" xfId="5" applyFont="1" applyAlignment="1">
      <alignment horizontal="right"/>
    </xf>
    <xf numFmtId="0" fontId="76" fillId="0" borderId="0" xfId="0" applyFont="1" applyAlignment="1">
      <alignment vertical="center"/>
    </xf>
    <xf numFmtId="0" fontId="73" fillId="0" borderId="0" xfId="0" applyFont="1" applyAlignment="1">
      <alignment horizontal="center" vertical="center"/>
    </xf>
    <xf numFmtId="0" fontId="33" fillId="0" borderId="0" xfId="5" applyFont="1" applyAlignment="1">
      <alignment horizontal="right" vertical="center"/>
    </xf>
    <xf numFmtId="165" fontId="74" fillId="0" borderId="0" xfId="0" applyNumberFormat="1" applyFont="1" applyAlignment="1">
      <alignment horizontal="center"/>
    </xf>
    <xf numFmtId="166" fontId="73" fillId="0" borderId="0" xfId="0" applyNumberFormat="1" applyFont="1"/>
    <xf numFmtId="165" fontId="73" fillId="0" borderId="0" xfId="0" applyNumberFormat="1" applyFont="1" applyAlignment="1">
      <alignment horizontal="right"/>
    </xf>
    <xf numFmtId="0" fontId="33" fillId="0" borderId="3" xfId="5" applyFont="1" applyBorder="1"/>
    <xf numFmtId="0" fontId="73" fillId="0" borderId="0" xfId="0" applyFont="1" applyAlignment="1">
      <alignment horizontal="center"/>
    </xf>
    <xf numFmtId="0" fontId="73" fillId="0" borderId="0" xfId="5" applyFont="1"/>
    <xf numFmtId="166" fontId="73" fillId="0" borderId="0" xfId="5" applyNumberFormat="1" applyFont="1" applyAlignment="1">
      <alignment horizontal="right"/>
    </xf>
    <xf numFmtId="165" fontId="33" fillId="0" borderId="0" xfId="5" applyNumberFormat="1" applyFont="1" applyAlignment="1">
      <alignment horizontal="left"/>
    </xf>
    <xf numFmtId="0" fontId="33" fillId="0" borderId="0" xfId="5" applyFont="1"/>
    <xf numFmtId="166" fontId="33" fillId="0" borderId="0" xfId="5" applyNumberFormat="1" applyFont="1" applyAlignment="1">
      <alignment horizontal="right"/>
    </xf>
    <xf numFmtId="168" fontId="73" fillId="0" borderId="3" xfId="0" applyNumberFormat="1" applyFont="1" applyBorder="1"/>
    <xf numFmtId="168" fontId="73" fillId="0" borderId="3" xfId="0" applyNumberFormat="1" applyFont="1" applyBorder="1" applyAlignment="1">
      <alignment horizontal="right"/>
    </xf>
    <xf numFmtId="168" fontId="33" fillId="0" borderId="3" xfId="5" applyNumberFormat="1" applyFont="1" applyBorder="1" applyAlignment="1">
      <alignment horizontal="right"/>
    </xf>
    <xf numFmtId="0" fontId="73" fillId="0" borderId="3" xfId="5" applyFont="1" applyBorder="1" applyAlignment="1">
      <alignment horizontal="right" vertical="top"/>
    </xf>
    <xf numFmtId="0" fontId="73" fillId="0" borderId="3" xfId="5" applyFont="1" applyBorder="1" applyAlignment="1">
      <alignment horizontal="right"/>
    </xf>
    <xf numFmtId="0" fontId="73" fillId="0" borderId="3" xfId="5" applyFont="1" applyBorder="1"/>
    <xf numFmtId="1" fontId="33" fillId="0" borderId="3" xfId="5" applyNumberFormat="1" applyFont="1" applyBorder="1"/>
    <xf numFmtId="165" fontId="33" fillId="0" borderId="40" xfId="5" applyNumberFormat="1" applyFont="1" applyBorder="1" applyAlignment="1">
      <alignment horizontal="left" indent="1"/>
    </xf>
    <xf numFmtId="165" fontId="73" fillId="0" borderId="40" xfId="5" applyNumberFormat="1" applyFont="1" applyBorder="1" applyAlignment="1">
      <alignment horizontal="left" indent="1"/>
    </xf>
    <xf numFmtId="0" fontId="33" fillId="0" borderId="40" xfId="5" applyFont="1" applyBorder="1"/>
    <xf numFmtId="0" fontId="33" fillId="0" borderId="41" xfId="5" applyFont="1" applyBorder="1"/>
    <xf numFmtId="165" fontId="76" fillId="0" borderId="0" xfId="0" applyNumberFormat="1" applyFont="1" applyAlignment="1">
      <alignment horizontal="left"/>
    </xf>
    <xf numFmtId="0" fontId="73" fillId="0" borderId="0" xfId="5" applyFont="1" applyAlignment="1">
      <alignment horizontal="right"/>
    </xf>
    <xf numFmtId="0" fontId="73" fillId="0" borderId="0" xfId="0" applyFont="1" applyAlignment="1">
      <alignment horizontal="left" vertical="center"/>
    </xf>
    <xf numFmtId="168" fontId="73" fillId="0" borderId="0" xfId="0" applyNumberFormat="1" applyFont="1" applyAlignment="1">
      <alignment horizontal="right"/>
    </xf>
    <xf numFmtId="168" fontId="73" fillId="0" borderId="0" xfId="0" applyNumberFormat="1" applyFont="1"/>
    <xf numFmtId="0" fontId="33" fillId="0" borderId="3" xfId="5" applyFont="1" applyBorder="1" applyAlignment="1">
      <alignment horizontal="right"/>
    </xf>
    <xf numFmtId="0" fontId="73" fillId="0" borderId="3" xfId="0" applyFont="1" applyBorder="1" applyAlignment="1">
      <alignment horizontal="right"/>
    </xf>
    <xf numFmtId="0" fontId="73" fillId="0" borderId="40" xfId="0" applyFont="1" applyBorder="1" applyAlignment="1">
      <alignment horizontal="left" vertical="center" indent="1"/>
    </xf>
    <xf numFmtId="0" fontId="73" fillId="0" borderId="40" xfId="0" applyFont="1" applyBorder="1" applyAlignment="1">
      <alignment horizontal="left" vertical="center"/>
    </xf>
    <xf numFmtId="168" fontId="33" fillId="0" borderId="36" xfId="5" applyNumberFormat="1" applyFont="1" applyBorder="1" applyAlignment="1">
      <alignment horizontal="right"/>
    </xf>
    <xf numFmtId="0" fontId="33" fillId="0" borderId="36" xfId="5" applyFont="1" applyBorder="1" applyAlignment="1">
      <alignment horizontal="right"/>
    </xf>
    <xf numFmtId="165" fontId="14" fillId="0" borderId="3" xfId="24" applyNumberFormat="1" applyFont="1" applyBorder="1" applyAlignment="1">
      <alignment horizontal="left" vertical="center" indent="1"/>
    </xf>
    <xf numFmtId="3" fontId="14" fillId="0" borderId="3" xfId="23" applyNumberFormat="1" applyFont="1" applyBorder="1" applyAlignment="1">
      <alignment horizontal="right" vertical="center"/>
    </xf>
    <xf numFmtId="3" fontId="14" fillId="0" borderId="3" xfId="23" applyNumberFormat="1" applyFont="1" applyBorder="1" applyAlignment="1">
      <alignment horizontal="right"/>
    </xf>
    <xf numFmtId="0" fontId="70" fillId="0" borderId="3" xfId="0" applyFont="1" applyBorder="1" applyAlignment="1">
      <alignment horizontal="right"/>
    </xf>
    <xf numFmtId="0" fontId="70" fillId="0" borderId="36" xfId="0" applyFont="1" applyBorder="1" applyAlignment="1">
      <alignment horizontal="right"/>
    </xf>
    <xf numFmtId="0" fontId="14" fillId="0" borderId="3" xfId="20" applyFont="1" applyBorder="1" applyAlignment="1">
      <alignment horizontal="left" indent="1"/>
    </xf>
    <xf numFmtId="168" fontId="14" fillId="0" borderId="3" xfId="20" applyNumberFormat="1" applyFont="1" applyBorder="1" applyAlignment="1">
      <alignment horizontal="right"/>
    </xf>
    <xf numFmtId="171" fontId="14" fillId="0" borderId="3" xfId="0" applyNumberFormat="1" applyFont="1" applyBorder="1" applyAlignment="1">
      <alignment horizontal="right" indent="1"/>
    </xf>
    <xf numFmtId="0" fontId="14" fillId="0" borderId="3" xfId="0" applyFont="1" applyBorder="1" applyAlignment="1">
      <alignment horizontal="right" indent="2"/>
    </xf>
    <xf numFmtId="0" fontId="14" fillId="0" borderId="3" xfId="0" applyFont="1" applyBorder="1" applyAlignment="1">
      <alignment horizontal="right" indent="1"/>
    </xf>
    <xf numFmtId="0" fontId="14" fillId="0" borderId="3" xfId="20" applyFont="1" applyBorder="1" applyAlignment="1">
      <alignment horizontal="left"/>
    </xf>
    <xf numFmtId="0" fontId="14" fillId="0" borderId="3" xfId="20" applyFont="1" applyBorder="1" applyAlignment="1">
      <alignment horizontal="right" vertical="justify"/>
    </xf>
    <xf numFmtId="3" fontId="34" fillId="0" borderId="3" xfId="0" applyNumberFormat="1" applyFont="1" applyBorder="1" applyAlignment="1">
      <alignment horizontal="right" vertical="center" wrapText="1"/>
    </xf>
    <xf numFmtId="0" fontId="34" fillId="0" borderId="3" xfId="0" applyFont="1" applyBorder="1" applyAlignment="1">
      <alignment horizontal="right" vertical="center" wrapText="1"/>
    </xf>
    <xf numFmtId="0" fontId="14" fillId="0" borderId="3" xfId="20" applyFont="1" applyBorder="1" applyAlignment="1">
      <alignment horizontal="right"/>
    </xf>
    <xf numFmtId="171" fontId="14" fillId="0" borderId="3" xfId="0" applyNumberFormat="1" applyFont="1" applyBorder="1" applyAlignment="1">
      <alignment horizontal="right"/>
    </xf>
    <xf numFmtId="0" fontId="14" fillId="0" borderId="3" xfId="3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2" fontId="14" fillId="0" borderId="3" xfId="20" applyNumberFormat="1" applyFont="1" applyBorder="1" applyAlignment="1">
      <alignment horizontal="left" indent="2"/>
    </xf>
    <xf numFmtId="0" fontId="45" fillId="0" borderId="7" xfId="20" applyFont="1" applyBorder="1"/>
    <xf numFmtId="0" fontId="45" fillId="0" borderId="0" xfId="20" applyFont="1"/>
    <xf numFmtId="165" fontId="54" fillId="7" borderId="0" xfId="31" applyNumberFormat="1" applyFont="1" applyFill="1" applyAlignment="1">
      <alignment vertical="center"/>
    </xf>
    <xf numFmtId="0" fontId="56" fillId="0" borderId="0" xfId="31" applyFont="1"/>
    <xf numFmtId="2" fontId="14" fillId="0" borderId="45" xfId="6" applyNumberFormat="1" applyFont="1" applyBorder="1" applyAlignment="1">
      <alignment vertical="top" wrapText="1"/>
    </xf>
    <xf numFmtId="0" fontId="13" fillId="0" borderId="45" xfId="6" applyFont="1" applyBorder="1" applyAlignment="1">
      <alignment horizontal="center" vertical="center" wrapText="1"/>
    </xf>
    <xf numFmtId="166" fontId="14" fillId="0" borderId="3" xfId="6" applyNumberFormat="1" applyFont="1" applyBorder="1" applyAlignment="1">
      <alignment horizontal="right" vertical="top" wrapText="1"/>
    </xf>
    <xf numFmtId="166" fontId="13" fillId="0" borderId="3" xfId="6" applyNumberFormat="1" applyFont="1" applyBorder="1" applyAlignment="1">
      <alignment horizontal="right" vertical="top" wrapText="1"/>
    </xf>
    <xf numFmtId="168" fontId="13" fillId="0" borderId="3" xfId="6" applyNumberFormat="1" applyFont="1" applyBorder="1" applyAlignment="1">
      <alignment horizontal="right" vertical="top" wrapText="1"/>
    </xf>
    <xf numFmtId="0" fontId="13" fillId="0" borderId="40" xfId="6" applyFont="1" applyBorder="1" applyAlignment="1">
      <alignment horizontal="left" vertical="top" wrapText="1"/>
    </xf>
    <xf numFmtId="166" fontId="14" fillId="0" borderId="3" xfId="6" applyNumberFormat="1" applyFont="1" applyBorder="1" applyAlignment="1">
      <alignment horizontal="left" vertical="top" wrapText="1" indent="1"/>
    </xf>
    <xf numFmtId="165" fontId="14" fillId="0" borderId="41" xfId="2" applyNumberFormat="1" applyFont="1" applyBorder="1" applyAlignment="1">
      <alignment horizontal="right" indent="1"/>
    </xf>
    <xf numFmtId="0" fontId="13" fillId="0" borderId="41" xfId="6" applyFont="1" applyBorder="1"/>
    <xf numFmtId="166" fontId="14" fillId="0" borderId="3" xfId="6" applyNumberFormat="1" applyFont="1" applyBorder="1" applyAlignment="1">
      <alignment horizontal="right" vertical="top" wrapText="1" indent="1"/>
    </xf>
    <xf numFmtId="168" fontId="14" fillId="0" borderId="3" xfId="6" applyNumberFormat="1" applyFont="1" applyBorder="1" applyAlignment="1">
      <alignment horizontal="right" vertical="top" wrapText="1" indent="1"/>
    </xf>
    <xf numFmtId="2" fontId="14" fillId="0" borderId="3" xfId="6" applyNumberFormat="1" applyFont="1" applyBorder="1" applyAlignment="1">
      <alignment horizontal="right" vertical="top" wrapText="1" indent="1"/>
    </xf>
    <xf numFmtId="2" fontId="14" fillId="0" borderId="3" xfId="6" applyNumberFormat="1" applyFont="1" applyBorder="1" applyAlignment="1">
      <alignment horizontal="right" vertical="top" wrapText="1"/>
    </xf>
    <xf numFmtId="2" fontId="13" fillId="0" borderId="3" xfId="6" applyNumberFormat="1" applyFont="1" applyBorder="1" applyAlignment="1">
      <alignment horizontal="right" vertical="top" wrapText="1"/>
    </xf>
    <xf numFmtId="0" fontId="34" fillId="0" borderId="3" xfId="0" applyFont="1" applyBorder="1" applyAlignment="1">
      <alignment horizontal="right"/>
    </xf>
    <xf numFmtId="2" fontId="34" fillId="0" borderId="3" xfId="0" applyNumberFormat="1" applyFont="1" applyBorder="1" applyAlignment="1">
      <alignment horizontal="right"/>
    </xf>
    <xf numFmtId="166" fontId="34" fillId="0" borderId="3" xfId="0" applyNumberFormat="1" applyFont="1" applyBorder="1" applyAlignment="1">
      <alignment horizontal="right"/>
    </xf>
    <xf numFmtId="166" fontId="34" fillId="0" borderId="3" xfId="0" applyNumberFormat="1" applyFont="1" applyBorder="1"/>
    <xf numFmtId="166" fontId="34" fillId="0" borderId="36" xfId="0" applyNumberFormat="1" applyFont="1" applyBorder="1" applyAlignment="1">
      <alignment horizontal="right"/>
    </xf>
    <xf numFmtId="0" fontId="34" fillId="0" borderId="3" xfId="0" applyFont="1" applyBorder="1" applyAlignment="1">
      <alignment horizontal="left"/>
    </xf>
    <xf numFmtId="2" fontId="34" fillId="0" borderId="3" xfId="0" applyNumberFormat="1" applyFont="1" applyBorder="1"/>
    <xf numFmtId="0" fontId="79" fillId="0" borderId="0" xfId="0" applyFont="1"/>
    <xf numFmtId="0" fontId="68" fillId="4" borderId="3" xfId="0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37" fillId="4" borderId="3" xfId="11" applyFont="1" applyFill="1" applyBorder="1"/>
    <xf numFmtId="0" fontId="80" fillId="4" borderId="3" xfId="11" applyFont="1" applyFill="1" applyBorder="1"/>
    <xf numFmtId="166" fontId="39" fillId="0" borderId="3" xfId="11" applyNumberFormat="1" applyFont="1" applyBorder="1" applyAlignment="1">
      <alignment horizontal="right" vertical="center"/>
    </xf>
    <xf numFmtId="0" fontId="8" fillId="0" borderId="3" xfId="11" applyFont="1" applyBorder="1" applyAlignment="1">
      <alignment vertical="center"/>
    </xf>
    <xf numFmtId="166" fontId="34" fillId="0" borderId="3" xfId="11" applyNumberFormat="1" applyFont="1" applyBorder="1" applyAlignment="1">
      <alignment horizontal="right" vertical="center"/>
    </xf>
    <xf numFmtId="0" fontId="8" fillId="0" borderId="3" xfId="11" applyFont="1" applyBorder="1" applyAlignment="1">
      <alignment horizontal="right" vertical="center" wrapText="1" indent="1"/>
    </xf>
    <xf numFmtId="0" fontId="8" fillId="0" borderId="3" xfId="11" applyFont="1" applyBorder="1" applyAlignment="1">
      <alignment horizontal="right" wrapText="1"/>
    </xf>
    <xf numFmtId="0" fontId="24" fillId="0" borderId="3" xfId="11" applyFont="1" applyBorder="1" applyAlignment="1">
      <alignment horizontal="right" vertical="center" wrapText="1" indent="2"/>
    </xf>
    <xf numFmtId="0" fontId="24" fillId="0" borderId="3" xfId="11" applyFont="1" applyBorder="1" applyAlignment="1">
      <alignment horizontal="right" vertical="center" indent="2"/>
    </xf>
    <xf numFmtId="169" fontId="39" fillId="0" borderId="25" xfId="14" applyNumberFormat="1" applyFont="1" applyFill="1" applyBorder="1" applyAlignment="1">
      <alignment vertical="center"/>
    </xf>
    <xf numFmtId="169" fontId="39" fillId="0" borderId="0" xfId="14" applyNumberFormat="1" applyFont="1" applyFill="1" applyBorder="1" applyAlignment="1">
      <alignment vertical="center"/>
    </xf>
    <xf numFmtId="0" fontId="14" fillId="0" borderId="0" xfId="20" applyFont="1" applyAlignment="1">
      <alignment horizontal="left" vertical="center" indent="1"/>
    </xf>
    <xf numFmtId="0" fontId="14" fillId="0" borderId="3" xfId="19" applyFont="1" applyBorder="1" applyAlignment="1">
      <alignment horizontal="right"/>
    </xf>
    <xf numFmtId="1" fontId="14" fillId="0" borderId="3" xfId="19" applyNumberFormat="1" applyFont="1" applyBorder="1" applyAlignment="1">
      <alignment horizontal="right" vertical="center" indent="1"/>
    </xf>
    <xf numFmtId="0" fontId="14" fillId="0" borderId="3" xfId="19" applyFont="1" applyBorder="1" applyAlignment="1">
      <alignment horizontal="right" vertical="center" indent="1"/>
    </xf>
    <xf numFmtId="0" fontId="14" fillId="0" borderId="0" xfId="19" applyFont="1" applyAlignment="1">
      <alignment horizontal="right" vertical="center" indent="1"/>
    </xf>
    <xf numFmtId="165" fontId="14" fillId="0" borderId="3" xfId="23" applyNumberFormat="1" applyFont="1" applyBorder="1" applyAlignment="1">
      <alignment horizontal="left" vertical="center"/>
    </xf>
    <xf numFmtId="0" fontId="14" fillId="0" borderId="3" xfId="23" applyFont="1" applyBorder="1" applyAlignment="1">
      <alignment horizontal="right"/>
    </xf>
    <xf numFmtId="165" fontId="14" fillId="0" borderId="3" xfId="24" applyNumberFormat="1" applyFont="1" applyBorder="1" applyAlignment="1">
      <alignment horizontal="right" vertical="center" indent="1"/>
    </xf>
    <xf numFmtId="0" fontId="0" fillId="0" borderId="3" xfId="0" applyBorder="1" applyAlignment="1">
      <alignment horizontal="right"/>
    </xf>
    <xf numFmtId="165" fontId="14" fillId="0" borderId="3" xfId="23" applyNumberFormat="1" applyFont="1" applyBorder="1" applyAlignment="1">
      <alignment horizontal="right" vertical="center"/>
    </xf>
    <xf numFmtId="3" fontId="14" fillId="0" borderId="3" xfId="25" applyNumberFormat="1" applyFont="1" applyBorder="1" applyAlignment="1">
      <alignment vertical="justify"/>
    </xf>
    <xf numFmtId="3" fontId="14" fillId="0" borderId="3" xfId="25" applyNumberFormat="1" applyFont="1" applyBorder="1" applyAlignment="1">
      <alignment horizontal="right" vertical="justify"/>
    </xf>
    <xf numFmtId="0" fontId="14" fillId="0" borderId="3" xfId="23" applyFont="1" applyBorder="1" applyAlignment="1">
      <alignment horizontal="right" indent="1"/>
    </xf>
    <xf numFmtId="165" fontId="14" fillId="0" borderId="3" xfId="23" applyNumberFormat="1" applyFont="1" applyBorder="1" applyAlignment="1">
      <alignment horizontal="right" indent="1"/>
    </xf>
    <xf numFmtId="0" fontId="14" fillId="0" borderId="3" xfId="25" applyFont="1" applyBorder="1" applyAlignment="1">
      <alignment horizontal="left" vertical="center" indent="2"/>
    </xf>
    <xf numFmtId="3" fontId="14" fillId="0" borderId="3" xfId="25" applyNumberFormat="1" applyFont="1" applyBorder="1" applyAlignment="1">
      <alignment horizontal="right" vertical="center"/>
    </xf>
    <xf numFmtId="165" fontId="14" fillId="0" borderId="3" xfId="23" applyNumberFormat="1" applyFont="1" applyBorder="1" applyAlignment="1">
      <alignment horizontal="right" indent="2"/>
    </xf>
    <xf numFmtId="3" fontId="14" fillId="0" borderId="3" xfId="25" applyNumberFormat="1" applyFont="1" applyBorder="1" applyAlignment="1">
      <alignment horizontal="right" indent="2"/>
    </xf>
    <xf numFmtId="0" fontId="14" fillId="0" borderId="3" xfId="25" applyFont="1" applyBorder="1" applyAlignment="1">
      <alignment horizontal="center" vertical="center"/>
    </xf>
    <xf numFmtId="165" fontId="14" fillId="0" borderId="3" xfId="23" applyNumberFormat="1" applyFont="1" applyBorder="1" applyAlignment="1">
      <alignment horizontal="right" vertical="center" indent="1"/>
    </xf>
    <xf numFmtId="0" fontId="14" fillId="0" borderId="3" xfId="25" applyFont="1" applyBorder="1" applyAlignment="1">
      <alignment horizontal="left" vertical="center"/>
    </xf>
    <xf numFmtId="0" fontId="14" fillId="0" borderId="3" xfId="23" applyFont="1" applyBorder="1" applyAlignment="1">
      <alignment vertical="center"/>
    </xf>
    <xf numFmtId="0" fontId="14" fillId="0" borderId="3" xfId="23" applyFont="1" applyBorder="1" applyAlignment="1">
      <alignment horizontal="center" vertical="center"/>
    </xf>
    <xf numFmtId="3" fontId="82" fillId="0" borderId="3" xfId="0" applyNumberFormat="1" applyFont="1" applyBorder="1" applyAlignment="1">
      <alignment horizontal="right" vertical="center" wrapText="1"/>
    </xf>
    <xf numFmtId="0" fontId="82" fillId="0" borderId="3" xfId="0" applyFont="1" applyBorder="1" applyAlignment="1">
      <alignment horizontal="right" vertical="center" wrapText="1"/>
    </xf>
    <xf numFmtId="0" fontId="14" fillId="0" borderId="33" xfId="25" applyFont="1" applyBorder="1" applyAlignment="1">
      <alignment horizontal="center" vertical="center"/>
    </xf>
    <xf numFmtId="0" fontId="14" fillId="0" borderId="35" xfId="23" applyFont="1" applyBorder="1" applyAlignment="1">
      <alignment horizontal="center" vertical="center"/>
    </xf>
    <xf numFmtId="3" fontId="14" fillId="0" borderId="3" xfId="25" applyNumberFormat="1" applyFont="1" applyBorder="1" applyAlignment="1">
      <alignment horizontal="left" vertical="center"/>
    </xf>
    <xf numFmtId="3" fontId="14" fillId="0" borderId="3" xfId="25" applyNumberFormat="1" applyFont="1" applyBorder="1" applyAlignment="1">
      <alignment horizontal="right"/>
    </xf>
    <xf numFmtId="20" fontId="14" fillId="0" borderId="3" xfId="23" applyNumberFormat="1" applyFont="1" applyBorder="1" applyAlignment="1">
      <alignment vertical="center"/>
    </xf>
    <xf numFmtId="3" fontId="14" fillId="0" borderId="3" xfId="25" applyNumberFormat="1" applyFont="1" applyBorder="1" applyAlignment="1">
      <alignment horizontal="left" vertical="center" indent="1"/>
    </xf>
    <xf numFmtId="3" fontId="14" fillId="0" borderId="3" xfId="25" applyNumberFormat="1" applyFont="1" applyBorder="1" applyAlignment="1">
      <alignment horizontal="right" indent="1"/>
    </xf>
    <xf numFmtId="3" fontId="14" fillId="0" borderId="3" xfId="25" applyNumberFormat="1" applyFont="1" applyBorder="1" applyAlignment="1">
      <alignment horizontal="left" vertical="center" indent="2"/>
    </xf>
    <xf numFmtId="175" fontId="14" fillId="0" borderId="3" xfId="25" applyNumberFormat="1" applyFont="1" applyBorder="1" applyAlignment="1">
      <alignment horizontal="right"/>
    </xf>
    <xf numFmtId="10" fontId="14" fillId="0" borderId="3" xfId="25" applyNumberFormat="1" applyFont="1" applyBorder="1" applyAlignment="1">
      <alignment horizontal="right"/>
    </xf>
    <xf numFmtId="175" fontId="14" fillId="0" borderId="3" xfId="25" applyNumberFormat="1" applyFont="1" applyBorder="1" applyAlignment="1">
      <alignment vertical="justify"/>
    </xf>
    <xf numFmtId="175" fontId="14" fillId="0" borderId="3" xfId="17" applyNumberFormat="1" applyFont="1" applyBorder="1" applyAlignment="1">
      <alignment horizontal="right" vertical="justify"/>
    </xf>
    <xf numFmtId="0" fontId="14" fillId="0" borderId="3" xfId="25" applyFont="1" applyBorder="1" applyAlignment="1">
      <alignment horizontal="right" indent="2"/>
    </xf>
    <xf numFmtId="9" fontId="14" fillId="0" borderId="3" xfId="17" applyFont="1" applyBorder="1" applyAlignment="1">
      <alignment horizontal="right" vertical="justify"/>
    </xf>
    <xf numFmtId="165" fontId="14" fillId="0" borderId="3" xfId="0" applyNumberFormat="1" applyFont="1" applyBorder="1" applyAlignment="1">
      <alignment horizontal="right" indent="1"/>
    </xf>
    <xf numFmtId="165" fontId="14" fillId="0" borderId="3" xfId="0" applyNumberFormat="1" applyFont="1" applyBorder="1" applyAlignment="1">
      <alignment horizontal="right" vertical="center" indent="1"/>
    </xf>
    <xf numFmtId="3" fontId="14" fillId="0" borderId="3" xfId="25" applyNumberFormat="1" applyFont="1" applyBorder="1" applyAlignment="1">
      <alignment vertical="center"/>
    </xf>
    <xf numFmtId="166" fontId="14" fillId="0" borderId="0" xfId="25" applyNumberFormat="1" applyFont="1" applyAlignment="1">
      <alignment horizontal="left" vertical="center" indent="1"/>
    </xf>
    <xf numFmtId="0" fontId="68" fillId="4" borderId="1" xfId="0" applyFont="1" applyFill="1" applyBorder="1" applyAlignment="1">
      <alignment horizontal="center" vertical="center"/>
    </xf>
    <xf numFmtId="0" fontId="14" fillId="0" borderId="3" xfId="25" applyFont="1" applyBorder="1" applyAlignment="1">
      <alignment vertical="center"/>
    </xf>
    <xf numFmtId="3" fontId="14" fillId="0" borderId="3" xfId="25" applyNumberFormat="1" applyFont="1" applyBorder="1"/>
    <xf numFmtId="0" fontId="14" fillId="0" borderId="3" xfId="23" applyFont="1" applyBorder="1"/>
    <xf numFmtId="0" fontId="14" fillId="0" borderId="3" xfId="0" applyFont="1" applyBorder="1"/>
    <xf numFmtId="0" fontId="14" fillId="0" borderId="3" xfId="25" applyFont="1" applyBorder="1" applyAlignment="1">
      <alignment horizontal="left"/>
    </xf>
    <xf numFmtId="0" fontId="14" fillId="0" borderId="3" xfId="25" applyFont="1" applyBorder="1" applyAlignment="1">
      <alignment horizontal="right"/>
    </xf>
    <xf numFmtId="0" fontId="24" fillId="0" borderId="3" xfId="0" applyFont="1" applyBorder="1"/>
    <xf numFmtId="0" fontId="24" fillId="0" borderId="3" xfId="0" applyFont="1" applyBorder="1" applyAlignment="1">
      <alignment horizontal="right" vertical="center"/>
    </xf>
    <xf numFmtId="0" fontId="14" fillId="0" borderId="3" xfId="25" applyFont="1" applyBorder="1" applyAlignment="1">
      <alignment horizontal="left" indent="2"/>
    </xf>
    <xf numFmtId="3" fontId="14" fillId="0" borderId="3" xfId="25" applyNumberFormat="1" applyFont="1" applyBorder="1" applyAlignment="1">
      <alignment horizontal="left" indent="2"/>
    </xf>
    <xf numFmtId="0" fontId="14" fillId="0" borderId="3" xfId="25" applyFont="1" applyBorder="1" applyAlignment="1">
      <alignment horizontal="left" indent="1"/>
    </xf>
    <xf numFmtId="166" fontId="14" fillId="0" borderId="3" xfId="25" applyNumberFormat="1" applyFont="1" applyBorder="1" applyAlignment="1">
      <alignment horizontal="left" indent="1"/>
    </xf>
    <xf numFmtId="1" fontId="14" fillId="0" borderId="3" xfId="23" applyNumberFormat="1" applyFont="1" applyBorder="1" applyAlignment="1">
      <alignment horizontal="right" indent="2"/>
    </xf>
    <xf numFmtId="0" fontId="83" fillId="4" borderId="1" xfId="0" applyFont="1" applyFill="1" applyBorder="1" applyAlignment="1">
      <alignment vertical="center"/>
    </xf>
    <xf numFmtId="0" fontId="83" fillId="4" borderId="5" xfId="0" applyFont="1" applyFill="1" applyBorder="1" applyAlignment="1">
      <alignment vertical="center"/>
    </xf>
    <xf numFmtId="0" fontId="14" fillId="0" borderId="15" xfId="25" applyFont="1" applyBorder="1" applyAlignment="1">
      <alignment horizontal="left"/>
    </xf>
    <xf numFmtId="3" fontId="14" fillId="0" borderId="22" xfId="25" applyNumberFormat="1" applyFont="1" applyBorder="1" applyAlignment="1">
      <alignment horizontal="right"/>
    </xf>
    <xf numFmtId="0" fontId="14" fillId="0" borderId="17" xfId="23" applyFont="1" applyBorder="1"/>
    <xf numFmtId="0" fontId="14" fillId="0" borderId="40" xfId="25" applyFont="1" applyBorder="1" applyAlignment="1">
      <alignment horizontal="left" indent="1"/>
    </xf>
    <xf numFmtId="0" fontId="14" fillId="0" borderId="41" xfId="23" applyFont="1" applyBorder="1" applyAlignment="1">
      <alignment horizontal="right" indent="1"/>
    </xf>
    <xf numFmtId="166" fontId="14" fillId="0" borderId="40" xfId="25" applyNumberFormat="1" applyFont="1" applyBorder="1" applyAlignment="1">
      <alignment horizontal="left" indent="1"/>
    </xf>
    <xf numFmtId="165" fontId="14" fillId="0" borderId="41" xfId="23" applyNumberFormat="1" applyFont="1" applyBorder="1" applyAlignment="1">
      <alignment horizontal="right" indent="1"/>
    </xf>
    <xf numFmtId="165" fontId="14" fillId="0" borderId="41" xfId="23" applyNumberFormat="1" applyFont="1" applyBorder="1" applyAlignment="1">
      <alignment horizontal="right" vertical="center" indent="1"/>
    </xf>
    <xf numFmtId="0" fontId="14" fillId="0" borderId="40" xfId="25" applyFont="1" applyBorder="1" applyAlignment="1">
      <alignment horizontal="left" indent="2"/>
    </xf>
    <xf numFmtId="165" fontId="14" fillId="0" borderId="41" xfId="23" applyNumberFormat="1" applyFont="1" applyBorder="1" applyAlignment="1">
      <alignment horizontal="right" indent="2"/>
    </xf>
    <xf numFmtId="1" fontId="14" fillId="0" borderId="41" xfId="23" applyNumberFormat="1" applyFont="1" applyBorder="1" applyAlignment="1">
      <alignment horizontal="right" indent="2"/>
    </xf>
    <xf numFmtId="0" fontId="14" fillId="0" borderId="40" xfId="25" applyFont="1" applyBorder="1" applyAlignment="1">
      <alignment horizontal="left"/>
    </xf>
    <xf numFmtId="0" fontId="14" fillId="0" borderId="41" xfId="23" applyFont="1" applyBorder="1"/>
    <xf numFmtId="0" fontId="14" fillId="0" borderId="42" xfId="25" applyFont="1" applyBorder="1" applyAlignment="1">
      <alignment horizontal="left" indent="2"/>
    </xf>
    <xf numFmtId="1" fontId="14" fillId="0" borderId="43" xfId="23" applyNumberFormat="1" applyFont="1" applyBorder="1" applyAlignment="1">
      <alignment horizontal="right" indent="2"/>
    </xf>
    <xf numFmtId="0" fontId="72" fillId="0" borderId="3" xfId="0" applyFont="1" applyBorder="1"/>
    <xf numFmtId="0" fontId="82" fillId="0" borderId="3" xfId="0" applyFont="1" applyBorder="1" applyAlignment="1">
      <alignment horizontal="right" vertical="center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horizontal="right" vertical="center"/>
    </xf>
    <xf numFmtId="178" fontId="14" fillId="0" borderId="0" xfId="32" applyNumberFormat="1" applyFont="1"/>
    <xf numFmtId="178" fontId="91" fillId="0" borderId="0" xfId="32" applyNumberFormat="1" applyFont="1"/>
    <xf numFmtId="178" fontId="24" fillId="0" borderId="0" xfId="32" applyNumberFormat="1" applyFont="1"/>
    <xf numFmtId="0" fontId="13" fillId="0" borderId="0" xfId="6" applyFont="1" applyAlignment="1">
      <alignment horizontal="left" vertical="center"/>
    </xf>
    <xf numFmtId="0" fontId="8" fillId="0" borderId="0" xfId="33" applyFont="1" applyAlignment="1">
      <alignment vertical="center"/>
    </xf>
    <xf numFmtId="178" fontId="14" fillId="0" borderId="18" xfId="32" applyNumberFormat="1" applyFont="1" applyBorder="1" applyAlignment="1">
      <alignment horizontal="left"/>
    </xf>
    <xf numFmtId="178" fontId="14" fillId="0" borderId="19" xfId="32" applyNumberFormat="1" applyFont="1" applyBorder="1"/>
    <xf numFmtId="4" fontId="14" fillId="0" borderId="19" xfId="32" applyNumberFormat="1" applyFont="1" applyBorder="1"/>
    <xf numFmtId="4" fontId="91" fillId="0" borderId="19" xfId="32" applyNumberFormat="1" applyFont="1" applyBorder="1"/>
    <xf numFmtId="178" fontId="24" fillId="0" borderId="20" xfId="32" applyNumberFormat="1" applyFont="1" applyBorder="1"/>
    <xf numFmtId="0" fontId="31" fillId="0" borderId="0" xfId="4" applyFont="1"/>
    <xf numFmtId="0" fontId="14" fillId="0" borderId="0" xfId="33" applyFont="1" applyAlignment="1">
      <alignment horizontal="right" readingOrder="2"/>
    </xf>
    <xf numFmtId="0" fontId="91" fillId="0" borderId="0" xfId="33" applyFont="1" applyAlignment="1">
      <alignment horizontal="right" readingOrder="2"/>
    </xf>
    <xf numFmtId="0" fontId="25" fillId="0" borderId="0" xfId="33" applyFont="1"/>
    <xf numFmtId="0" fontId="37" fillId="4" borderId="3" xfId="33" applyFont="1" applyFill="1" applyBorder="1" applyAlignment="1">
      <alignment horizontal="center"/>
    </xf>
    <xf numFmtId="0" fontId="80" fillId="4" borderId="3" xfId="33" applyFont="1" applyFill="1" applyBorder="1" applyAlignment="1">
      <alignment horizontal="center"/>
    </xf>
    <xf numFmtId="178" fontId="14" fillId="0" borderId="3" xfId="32" applyNumberFormat="1" applyFont="1" applyBorder="1" applyAlignment="1">
      <alignment horizontal="left"/>
    </xf>
    <xf numFmtId="4" fontId="14" fillId="0" borderId="3" xfId="34" applyNumberFormat="1" applyFont="1" applyBorder="1"/>
    <xf numFmtId="4" fontId="14" fillId="0" borderId="3" xfId="34" applyNumberFormat="1" applyFont="1" applyFill="1" applyBorder="1"/>
    <xf numFmtId="178" fontId="24" fillId="0" borderId="3" xfId="32" applyNumberFormat="1" applyFont="1" applyBorder="1"/>
    <xf numFmtId="4" fontId="14" fillId="0" borderId="3" xfId="34" applyNumberFormat="1" applyFont="1" applyBorder="1" applyAlignment="1">
      <alignment horizontal="right"/>
    </xf>
    <xf numFmtId="4" fontId="14" fillId="0" borderId="3" xfId="34" applyNumberFormat="1" applyFont="1" applyFill="1" applyBorder="1" applyAlignment="1">
      <alignment horizontal="right"/>
    </xf>
    <xf numFmtId="178" fontId="13" fillId="0" borderId="3" xfId="32" applyNumberFormat="1" applyFont="1" applyBorder="1"/>
    <xf numFmtId="4" fontId="13" fillId="0" borderId="3" xfId="34" applyNumberFormat="1" applyFont="1" applyBorder="1" applyAlignment="1">
      <alignment horizontal="right"/>
    </xf>
    <xf numFmtId="4" fontId="13" fillId="0" borderId="3" xfId="34" applyNumberFormat="1" applyFont="1" applyFill="1" applyBorder="1" applyAlignment="1">
      <alignment horizontal="right"/>
    </xf>
    <xf numFmtId="4" fontId="39" fillId="0" borderId="3" xfId="0" applyNumberFormat="1" applyFont="1" applyBorder="1" applyAlignment="1">
      <alignment horizontal="right" vertical="center" wrapText="1"/>
    </xf>
    <xf numFmtId="178" fontId="8" fillId="0" borderId="3" xfId="32" applyNumberFormat="1" applyFont="1" applyBorder="1"/>
    <xf numFmtId="178" fontId="14" fillId="0" borderId="3" xfId="32" applyNumberFormat="1" applyFont="1" applyBorder="1" applyAlignment="1">
      <alignment horizontal="left" indent="1"/>
    </xf>
    <xf numFmtId="4" fontId="34" fillId="0" borderId="3" xfId="0" applyNumberFormat="1" applyFont="1" applyBorder="1" applyAlignment="1">
      <alignment horizontal="right" vertical="center" wrapText="1"/>
    </xf>
    <xf numFmtId="178" fontId="24" fillId="0" borderId="3" xfId="32" applyNumberFormat="1" applyFont="1" applyBorder="1" applyAlignment="1">
      <alignment horizontal="right" indent="1"/>
    </xf>
    <xf numFmtId="178" fontId="13" fillId="0" borderId="3" xfId="32" applyNumberFormat="1" applyFont="1" applyBorder="1" applyAlignment="1">
      <alignment horizontal="left"/>
    </xf>
    <xf numFmtId="4" fontId="13" fillId="0" borderId="3" xfId="34" applyNumberFormat="1" applyFont="1" applyBorder="1"/>
    <xf numFmtId="4" fontId="13" fillId="0" borderId="3" xfId="34" applyNumberFormat="1" applyFont="1" applyFill="1" applyBorder="1"/>
    <xf numFmtId="0" fontId="14" fillId="0" borderId="3" xfId="22" applyFont="1" applyBorder="1"/>
    <xf numFmtId="178" fontId="24" fillId="0" borderId="3" xfId="32" applyNumberFormat="1" applyFont="1" applyBorder="1" applyAlignment="1">
      <alignment horizontal="right" indent="2"/>
    </xf>
    <xf numFmtId="178" fontId="13" fillId="0" borderId="3" xfId="32" applyNumberFormat="1" applyFont="1" applyBorder="1" applyAlignment="1">
      <alignment horizontal="left" indent="1"/>
    </xf>
    <xf numFmtId="178" fontId="14" fillId="0" borderId="3" xfId="32" applyNumberFormat="1" applyFont="1" applyBorder="1" applyAlignment="1">
      <alignment horizontal="left" indent="2"/>
    </xf>
    <xf numFmtId="178" fontId="14" fillId="0" borderId="3" xfId="32" applyNumberFormat="1" applyFont="1" applyBorder="1" applyAlignment="1">
      <alignment horizontal="left" indent="3"/>
    </xf>
    <xf numFmtId="178" fontId="24" fillId="0" borderId="3" xfId="32" applyNumberFormat="1" applyFont="1" applyBorder="1" applyAlignment="1">
      <alignment horizontal="right"/>
    </xf>
    <xf numFmtId="178" fontId="8" fillId="0" borderId="3" xfId="32" applyNumberFormat="1" applyFont="1" applyBorder="1" applyAlignment="1">
      <alignment horizontal="right"/>
    </xf>
    <xf numFmtId="4" fontId="13" fillId="0" borderId="3" xfId="34" applyNumberFormat="1" applyFont="1" applyBorder="1" applyAlignment="1">
      <alignment horizontal="right" vertical="center"/>
    </xf>
    <xf numFmtId="4" fontId="13" fillId="0" borderId="3" xfId="34" applyNumberFormat="1" applyFont="1" applyFill="1" applyBorder="1" applyAlignment="1">
      <alignment horizontal="right" vertical="center"/>
    </xf>
    <xf numFmtId="0" fontId="14" fillId="0" borderId="0" xfId="0" applyFont="1"/>
    <xf numFmtId="165" fontId="13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horizontal="left"/>
    </xf>
    <xf numFmtId="0" fontId="25" fillId="0" borderId="0" xfId="0" applyFont="1"/>
    <xf numFmtId="0" fontId="24" fillId="0" borderId="3" xfId="0" applyFont="1" applyBorder="1" applyAlignment="1">
      <alignment horizontal="right" indent="2"/>
    </xf>
    <xf numFmtId="0" fontId="8" fillId="0" borderId="3" xfId="0" applyFont="1" applyBorder="1"/>
    <xf numFmtId="165" fontId="18" fillId="0" borderId="0" xfId="29" applyFont="1" applyAlignment="1">
      <alignment vertical="center"/>
    </xf>
    <xf numFmtId="165" fontId="51" fillId="0" borderId="0" xfId="29" applyFont="1" applyAlignment="1">
      <alignment vertical="center"/>
    </xf>
    <xf numFmtId="165" fontId="57" fillId="0" borderId="0" xfId="29" applyFont="1" applyAlignment="1">
      <alignment vertical="center"/>
    </xf>
    <xf numFmtId="0" fontId="39" fillId="0" borderId="0" xfId="35" applyFont="1"/>
    <xf numFmtId="0" fontId="34" fillId="0" borderId="0" xfId="35" applyFont="1"/>
    <xf numFmtId="0" fontId="8" fillId="0" borderId="0" xfId="36" applyFont="1" applyAlignment="1">
      <alignment vertical="center"/>
    </xf>
    <xf numFmtId="0" fontId="13" fillId="0" borderId="0" xfId="37" applyFont="1" applyAlignment="1">
      <alignment horizontal="left" vertical="center"/>
    </xf>
    <xf numFmtId="0" fontId="35" fillId="0" borderId="0" xfId="35" applyFont="1"/>
    <xf numFmtId="0" fontId="37" fillId="4" borderId="3" xfId="35" applyFont="1" applyFill="1" applyBorder="1"/>
    <xf numFmtId="0" fontId="37" fillId="4" borderId="3" xfId="35" applyFont="1" applyFill="1" applyBorder="1" applyAlignment="1">
      <alignment horizontal="center" vertical="center"/>
    </xf>
    <xf numFmtId="0" fontId="80" fillId="4" borderId="3" xfId="35" applyFont="1" applyFill="1" applyBorder="1"/>
    <xf numFmtId="170" fontId="34" fillId="0" borderId="3" xfId="38" applyNumberFormat="1" applyFont="1" applyBorder="1"/>
    <xf numFmtId="170" fontId="35" fillId="0" borderId="3" xfId="38" applyNumberFormat="1" applyFont="1" applyBorder="1"/>
    <xf numFmtId="3" fontId="95" fillId="0" borderId="0" xfId="39" applyNumberFormat="1" applyFont="1"/>
    <xf numFmtId="2" fontId="27" fillId="0" borderId="0" xfId="36" applyNumberFormat="1" applyFont="1"/>
    <xf numFmtId="0" fontId="14" fillId="0" borderId="0" xfId="37" applyFont="1"/>
    <xf numFmtId="170" fontId="34" fillId="0" borderId="0" xfId="35" applyNumberFormat="1" applyFont="1"/>
    <xf numFmtId="2" fontId="24" fillId="0" borderId="0" xfId="0" applyNumberFormat="1" applyFont="1" applyAlignment="1">
      <alignment horizontal="right" readingOrder="2"/>
    </xf>
    <xf numFmtId="0" fontId="13" fillId="0" borderId="0" xfId="36" applyFont="1" applyAlignment="1">
      <alignment horizontal="left"/>
    </xf>
    <xf numFmtId="0" fontId="8" fillId="0" borderId="0" xfId="36" applyFont="1" applyAlignment="1">
      <alignment horizontal="right" vertical="center"/>
    </xf>
    <xf numFmtId="0" fontId="80" fillId="4" borderId="3" xfId="35" applyFont="1" applyFill="1" applyBorder="1" applyAlignment="1">
      <alignment horizontal="right" vertical="center"/>
    </xf>
    <xf numFmtId="0" fontId="39" fillId="0" borderId="51" xfId="35" applyFont="1" applyBorder="1"/>
    <xf numFmtId="0" fontId="8" fillId="0" borderId="51" xfId="36" applyFont="1" applyBorder="1" applyAlignment="1">
      <alignment vertical="center"/>
    </xf>
    <xf numFmtId="0" fontId="34" fillId="0" borderId="52" xfId="35" applyFont="1" applyBorder="1"/>
    <xf numFmtId="3" fontId="24" fillId="0" borderId="52" xfId="36" applyNumberFormat="1" applyFont="1" applyBorder="1" applyAlignment="1">
      <alignment horizontal="right" indent="1"/>
    </xf>
    <xf numFmtId="3" fontId="24" fillId="0" borderId="52" xfId="36" applyNumberFormat="1" applyFont="1" applyBorder="1" applyAlignment="1">
      <alignment horizontal="right" indent="2"/>
    </xf>
    <xf numFmtId="0" fontId="39" fillId="0" borderId="52" xfId="35" applyFont="1" applyBorder="1"/>
    <xf numFmtId="0" fontId="8" fillId="0" borderId="52" xfId="36" applyFont="1" applyBorder="1" applyAlignment="1">
      <alignment vertical="center"/>
    </xf>
    <xf numFmtId="3" fontId="24" fillId="0" borderId="52" xfId="36" applyNumberFormat="1" applyFont="1" applyBorder="1" applyAlignment="1">
      <alignment horizontal="right" indent="3"/>
    </xf>
    <xf numFmtId="3" fontId="24" fillId="0" borderId="52" xfId="36" applyNumberFormat="1" applyFont="1" applyBorder="1"/>
    <xf numFmtId="0" fontId="34" fillId="0" borderId="53" xfId="35" applyFont="1" applyBorder="1"/>
    <xf numFmtId="3" fontId="8" fillId="0" borderId="53" xfId="36" applyNumberFormat="1" applyFont="1" applyBorder="1"/>
    <xf numFmtId="165" fontId="31" fillId="0" borderId="0" xfId="40" applyNumberFormat="1" applyFont="1" applyAlignment="1">
      <alignment horizontal="left"/>
    </xf>
    <xf numFmtId="0" fontId="25" fillId="0" borderId="0" xfId="40" applyFont="1" applyAlignment="1">
      <alignment horizontal="right"/>
    </xf>
    <xf numFmtId="0" fontId="14" fillId="0" borderId="0" xfId="41" applyFont="1"/>
    <xf numFmtId="3" fontId="34" fillId="0" borderId="51" xfId="35" applyNumberFormat="1" applyFont="1" applyBorder="1" applyAlignment="1">
      <alignment horizontal="right"/>
    </xf>
    <xf numFmtId="3" fontId="34" fillId="0" borderId="52" xfId="35" applyNumberFormat="1" applyFont="1" applyBorder="1" applyAlignment="1">
      <alignment horizontal="right"/>
    </xf>
    <xf numFmtId="3" fontId="34" fillId="0" borderId="53" xfId="35" applyNumberFormat="1" applyFont="1" applyBorder="1" applyAlignment="1">
      <alignment horizontal="right"/>
    </xf>
    <xf numFmtId="0" fontId="34" fillId="0" borderId="54" xfId="35" applyFont="1" applyBorder="1"/>
    <xf numFmtId="3" fontId="34" fillId="0" borderId="54" xfId="35" applyNumberFormat="1" applyFont="1" applyBorder="1" applyAlignment="1">
      <alignment horizontal="right"/>
    </xf>
    <xf numFmtId="3" fontId="24" fillId="0" borderId="54" xfId="36" applyNumberFormat="1" applyFont="1" applyBorder="1"/>
    <xf numFmtId="165" fontId="18" fillId="0" borderId="0" xfId="42" applyFont="1" applyAlignment="1">
      <alignment vertical="center"/>
    </xf>
    <xf numFmtId="0" fontId="14" fillId="0" borderId="0" xfId="4" applyFont="1"/>
    <xf numFmtId="168" fontId="14" fillId="0" borderId="0" xfId="4" applyNumberFormat="1" applyFont="1"/>
    <xf numFmtId="0" fontId="8" fillId="0" borderId="0" xfId="0" applyFont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4" applyFont="1" applyAlignment="1">
      <alignment horizontal="center"/>
    </xf>
    <xf numFmtId="0" fontId="24" fillId="0" borderId="0" xfId="4" applyFont="1"/>
    <xf numFmtId="0" fontId="13" fillId="0" borderId="0" xfId="4" applyFont="1"/>
    <xf numFmtId="3" fontId="14" fillId="0" borderId="0" xfId="4" applyNumberFormat="1" applyFont="1"/>
    <xf numFmtId="165" fontId="37" fillId="4" borderId="3" xfId="43" applyNumberFormat="1" applyFont="1" applyFill="1" applyBorder="1" applyAlignment="1">
      <alignment horizontal="center" vertical="center"/>
    </xf>
    <xf numFmtId="49" fontId="37" fillId="4" borderId="3" xfId="4" applyNumberFormat="1" applyFont="1" applyFill="1" applyBorder="1" applyAlignment="1">
      <alignment horizontal="center"/>
    </xf>
    <xf numFmtId="0" fontId="80" fillId="4" borderId="3" xfId="43" applyFont="1" applyFill="1" applyBorder="1" applyAlignment="1">
      <alignment horizontal="center" vertical="center"/>
    </xf>
    <xf numFmtId="0" fontId="37" fillId="4" borderId="3" xfId="4" applyFont="1" applyFill="1" applyBorder="1" applyAlignment="1">
      <alignment horizontal="center"/>
    </xf>
    <xf numFmtId="17" fontId="37" fillId="4" borderId="3" xfId="4" applyNumberFormat="1" applyFont="1" applyFill="1" applyBorder="1" applyAlignment="1">
      <alignment horizontal="center"/>
    </xf>
    <xf numFmtId="0" fontId="14" fillId="0" borderId="3" xfId="4" applyFont="1" applyBorder="1"/>
    <xf numFmtId="3" fontId="14" fillId="0" borderId="3" xfId="4" applyNumberFormat="1" applyFont="1" applyBorder="1"/>
    <xf numFmtId="0" fontId="14" fillId="0" borderId="3" xfId="0" applyFont="1" applyBorder="1" applyAlignment="1">
      <alignment horizontal="right" wrapText="1"/>
    </xf>
    <xf numFmtId="0" fontId="24" fillId="0" borderId="3" xfId="4" applyFont="1" applyBorder="1" applyAlignment="1">
      <alignment readingOrder="2"/>
    </xf>
    <xf numFmtId="0" fontId="14" fillId="0" borderId="3" xfId="4" applyFont="1" applyBorder="1" applyAlignment="1">
      <alignment horizontal="left" indent="1"/>
    </xf>
    <xf numFmtId="3" fontId="14" fillId="0" borderId="3" xfId="4" applyNumberFormat="1" applyFont="1" applyBorder="1" applyAlignment="1">
      <alignment horizontal="right"/>
    </xf>
    <xf numFmtId="0" fontId="24" fillId="0" borderId="3" xfId="4" applyFont="1" applyBorder="1" applyAlignment="1">
      <alignment horizontal="left" indent="13" readingOrder="2"/>
    </xf>
    <xf numFmtId="0" fontId="14" fillId="0" borderId="3" xfId="4" applyFont="1" applyBorder="1" applyAlignment="1">
      <alignment horizontal="left" indent="2"/>
    </xf>
    <xf numFmtId="0" fontId="24" fillId="0" borderId="3" xfId="4" applyFont="1" applyBorder="1" applyAlignment="1">
      <alignment horizontal="right" indent="3" readingOrder="2"/>
    </xf>
    <xf numFmtId="0" fontId="14" fillId="0" borderId="3" xfId="4" applyFont="1" applyBorder="1" applyAlignment="1">
      <alignment horizontal="left" indent="4"/>
    </xf>
    <xf numFmtId="0" fontId="13" fillId="0" borderId="3" xfId="4" applyFont="1" applyBorder="1" applyAlignment="1">
      <alignment horizontal="left" indent="2"/>
    </xf>
    <xf numFmtId="3" fontId="13" fillId="0" borderId="3" xfId="4" applyNumberFormat="1" applyFont="1" applyBorder="1" applyAlignment="1">
      <alignment horizontal="right"/>
    </xf>
    <xf numFmtId="0" fontId="13" fillId="0" borderId="3" xfId="0" applyFont="1" applyBorder="1" applyAlignment="1">
      <alignment horizontal="right" wrapText="1"/>
    </xf>
    <xf numFmtId="0" fontId="24" fillId="0" borderId="3" xfId="4" applyFont="1" applyBorder="1" applyAlignment="1">
      <alignment horizontal="right" indent="2" readingOrder="2"/>
    </xf>
    <xf numFmtId="0" fontId="13" fillId="0" borderId="3" xfId="4" applyFont="1" applyBorder="1"/>
    <xf numFmtId="3" fontId="13" fillId="0" borderId="3" xfId="4" applyNumberFormat="1" applyFont="1" applyBorder="1"/>
    <xf numFmtId="0" fontId="24" fillId="0" borderId="3" xfId="4" applyFont="1" applyBorder="1"/>
    <xf numFmtId="0" fontId="13" fillId="0" borderId="3" xfId="4" applyFont="1" applyBorder="1" applyAlignment="1">
      <alignment vertical="top"/>
    </xf>
    <xf numFmtId="0" fontId="8" fillId="0" borderId="3" xfId="4" applyFont="1" applyBorder="1"/>
    <xf numFmtId="0" fontId="24" fillId="0" borderId="3" xfId="4" applyFont="1" applyBorder="1" applyAlignment="1">
      <alignment horizontal="right" indent="1"/>
    </xf>
    <xf numFmtId="0" fontId="8" fillId="0" borderId="3" xfId="4" applyFont="1" applyBorder="1" applyAlignment="1">
      <alignment horizontal="right"/>
    </xf>
    <xf numFmtId="1" fontId="8" fillId="0" borderId="0" xfId="0" applyNumberFormat="1" applyFont="1" applyAlignment="1">
      <alignment horizontal="right" vertical="center"/>
    </xf>
    <xf numFmtId="0" fontId="57" fillId="0" borderId="0" xfId="4" applyFont="1"/>
    <xf numFmtId="0" fontId="51" fillId="0" borderId="0" xfId="0" applyFont="1"/>
    <xf numFmtId="0" fontId="13" fillId="0" borderId="0" xfId="44" applyFont="1"/>
    <xf numFmtId="0" fontId="14" fillId="0" borderId="0" xfId="44" applyFont="1"/>
    <xf numFmtId="0" fontId="8" fillId="0" borderId="0" xfId="44" applyFont="1"/>
    <xf numFmtId="0" fontId="24" fillId="0" borderId="0" xfId="44" applyFont="1"/>
    <xf numFmtId="0" fontId="37" fillId="4" borderId="3" xfId="4" applyFont="1" applyFill="1" applyBorder="1" applyAlignment="1">
      <alignment horizontal="center" vertical="center"/>
    </xf>
    <xf numFmtId="168" fontId="13" fillId="0" borderId="3" xfId="0" applyNumberFormat="1" applyFont="1" applyBorder="1"/>
    <xf numFmtId="3" fontId="13" fillId="0" borderId="3" xfId="0" applyNumberFormat="1" applyFont="1" applyBorder="1"/>
    <xf numFmtId="0" fontId="13" fillId="0" borderId="3" xfId="0" applyFont="1" applyBorder="1" applyAlignment="1">
      <alignment horizontal="left" indent="1"/>
    </xf>
    <xf numFmtId="168" fontId="14" fillId="0" borderId="3" xfId="0" applyNumberFormat="1" applyFont="1" applyBorder="1"/>
    <xf numFmtId="3" fontId="14" fillId="0" borderId="3" xfId="0" applyNumberFormat="1" applyFont="1" applyBorder="1"/>
    <xf numFmtId="0" fontId="14" fillId="0" borderId="3" xfId="0" applyFont="1" applyBorder="1" applyAlignment="1">
      <alignment horizontal="left" indent="2"/>
    </xf>
    <xf numFmtId="166" fontId="14" fillId="0" borderId="3" xfId="4" applyNumberFormat="1" applyFont="1" applyBorder="1"/>
    <xf numFmtId="0" fontId="14" fillId="0" borderId="3" xfId="4" applyFont="1" applyBorder="1" applyAlignment="1">
      <alignment horizontal="right"/>
    </xf>
    <xf numFmtId="0" fontId="72" fillId="0" borderId="14" xfId="0" applyFont="1" applyBorder="1"/>
    <xf numFmtId="0" fontId="89" fillId="0" borderId="3" xfId="0" applyFont="1" applyBorder="1"/>
    <xf numFmtId="0" fontId="103" fillId="4" borderId="3" xfId="0" applyFont="1" applyFill="1" applyBorder="1" applyAlignment="1">
      <alignment horizontal="center" vertical="center"/>
    </xf>
    <xf numFmtId="0" fontId="103" fillId="4" borderId="1" xfId="0" applyFont="1" applyFill="1" applyBorder="1" applyAlignment="1">
      <alignment horizontal="center" vertical="center"/>
    </xf>
    <xf numFmtId="0" fontId="103" fillId="4" borderId="5" xfId="0" applyFont="1" applyFill="1" applyBorder="1" applyAlignment="1">
      <alignment horizontal="center" vertical="center"/>
    </xf>
    <xf numFmtId="0" fontId="72" fillId="0" borderId="3" xfId="0" applyFont="1" applyBorder="1" applyAlignment="1">
      <alignment horizontal="right"/>
    </xf>
    <xf numFmtId="165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3" fillId="0" borderId="0" xfId="45" applyFont="1"/>
    <xf numFmtId="0" fontId="8" fillId="0" borderId="0" xfId="45" applyFont="1"/>
    <xf numFmtId="0" fontId="37" fillId="4" borderId="28" xfId="45" applyFont="1" applyFill="1" applyBorder="1" applyAlignment="1">
      <alignment horizontal="center"/>
    </xf>
    <xf numFmtId="0" fontId="37" fillId="4" borderId="29" xfId="20" applyFont="1" applyFill="1" applyBorder="1" applyAlignment="1">
      <alignment horizontal="center"/>
    </xf>
    <xf numFmtId="174" fontId="37" fillId="4" borderId="29" xfId="46" applyNumberFormat="1" applyFont="1" applyFill="1" applyBorder="1" applyAlignment="1">
      <alignment horizontal="center"/>
    </xf>
    <xf numFmtId="0" fontId="80" fillId="4" borderId="30" xfId="45" applyFont="1" applyFill="1" applyBorder="1" applyAlignment="1">
      <alignment horizontal="center"/>
    </xf>
    <xf numFmtId="0" fontId="37" fillId="4" borderId="4" xfId="45" applyFont="1" applyFill="1" applyBorder="1" applyAlignment="1">
      <alignment horizontal="center"/>
    </xf>
    <xf numFmtId="0" fontId="37" fillId="4" borderId="5" xfId="20" applyFont="1" applyFill="1" applyBorder="1" applyAlignment="1">
      <alignment horizontal="center"/>
    </xf>
    <xf numFmtId="174" fontId="37" fillId="4" borderId="5" xfId="46" applyNumberFormat="1" applyFont="1" applyFill="1" applyBorder="1" applyAlignment="1">
      <alignment horizontal="center"/>
    </xf>
    <xf numFmtId="0" fontId="37" fillId="4" borderId="5" xfId="19" applyFont="1" applyFill="1" applyBorder="1"/>
    <xf numFmtId="0" fontId="80" fillId="4" borderId="12" xfId="45" applyFont="1" applyFill="1" applyBorder="1" applyAlignment="1">
      <alignment horizontal="center"/>
    </xf>
    <xf numFmtId="0" fontId="14" fillId="0" borderId="49" xfId="3" applyFont="1" applyBorder="1"/>
    <xf numFmtId="0" fontId="14" fillId="0" borderId="2" xfId="3" applyFont="1" applyBorder="1"/>
    <xf numFmtId="0" fontId="13" fillId="0" borderId="2" xfId="3" applyFont="1" applyBorder="1"/>
    <xf numFmtId="0" fontId="14" fillId="0" borderId="2" xfId="45" applyFont="1" applyBorder="1"/>
    <xf numFmtId="0" fontId="24" fillId="0" borderId="50" xfId="45" applyFont="1" applyBorder="1"/>
    <xf numFmtId="0" fontId="13" fillId="0" borderId="4" xfId="45" applyFont="1" applyBorder="1" applyAlignment="1">
      <alignment horizontal="left"/>
    </xf>
    <xf numFmtId="168" fontId="14" fillId="0" borderId="5" xfId="3" applyNumberFormat="1" applyFont="1" applyBorder="1" applyAlignment="1">
      <alignment horizontal="right"/>
    </xf>
    <xf numFmtId="168" fontId="13" fillId="0" borderId="6" xfId="3" applyNumberFormat="1" applyFont="1" applyBorder="1" applyAlignment="1">
      <alignment horizontal="right"/>
    </xf>
    <xf numFmtId="0" fontId="8" fillId="0" borderId="12" xfId="45" applyFont="1" applyBorder="1"/>
    <xf numFmtId="0" fontId="14" fillId="0" borderId="4" xfId="45" applyFont="1" applyBorder="1" applyAlignment="1">
      <alignment horizontal="left" indent="1"/>
    </xf>
    <xf numFmtId="0" fontId="24" fillId="0" borderId="12" xfId="45" applyFont="1" applyBorder="1" applyAlignment="1">
      <alignment horizontal="right" indent="1"/>
    </xf>
    <xf numFmtId="0" fontId="14" fillId="0" borderId="4" xfId="45" applyFont="1" applyBorder="1" applyAlignment="1">
      <alignment horizontal="left" indent="2"/>
    </xf>
    <xf numFmtId="0" fontId="24" fillId="0" borderId="12" xfId="45" applyFont="1" applyBorder="1" applyAlignment="1">
      <alignment horizontal="right" indent="2"/>
    </xf>
    <xf numFmtId="168" fontId="14" fillId="0" borderId="6" xfId="3" applyNumberFormat="1" applyFont="1" applyBorder="1" applyAlignment="1">
      <alignment horizontal="right"/>
    </xf>
    <xf numFmtId="0" fontId="13" fillId="0" borderId="4" xfId="45" applyFont="1" applyBorder="1" applyAlignment="1">
      <alignment horizontal="right"/>
    </xf>
    <xf numFmtId="0" fontId="24" fillId="0" borderId="12" xfId="45" applyFont="1" applyBorder="1" applyAlignment="1">
      <alignment horizontal="right" vertical="center" indent="1"/>
    </xf>
    <xf numFmtId="0" fontId="58" fillId="0" borderId="3" xfId="45" applyFont="1" applyBorder="1" applyAlignment="1">
      <alignment horizontal="left" indent="1"/>
    </xf>
    <xf numFmtId="168" fontId="14" fillId="0" borderId="3" xfId="3" applyNumberFormat="1" applyFont="1" applyBorder="1" applyAlignment="1">
      <alignment horizontal="right"/>
    </xf>
    <xf numFmtId="168" fontId="13" fillId="0" borderId="3" xfId="3" applyNumberFormat="1" applyFont="1" applyBorder="1" applyAlignment="1">
      <alignment horizontal="right"/>
    </xf>
    <xf numFmtId="0" fontId="58" fillId="0" borderId="3" xfId="45" applyFont="1" applyBorder="1" applyAlignment="1">
      <alignment horizontal="right" indent="1"/>
    </xf>
    <xf numFmtId="165" fontId="31" fillId="0" borderId="25" xfId="3" applyNumberFormat="1" applyFont="1" applyBorder="1" applyAlignment="1">
      <alignment horizontal="left" vertical="center"/>
    </xf>
    <xf numFmtId="0" fontId="14" fillId="0" borderId="25" xfId="45" applyFont="1" applyBorder="1"/>
    <xf numFmtId="1" fontId="25" fillId="0" borderId="25" xfId="3" applyNumberFormat="1" applyFont="1" applyBorder="1" applyAlignment="1">
      <alignment vertical="center"/>
    </xf>
    <xf numFmtId="165" fontId="31" fillId="0" borderId="0" xfId="3" applyNumberFormat="1" applyFont="1" applyAlignment="1">
      <alignment horizontal="left" vertical="center"/>
    </xf>
    <xf numFmtId="165" fontId="14" fillId="0" borderId="0" xfId="3" applyNumberFormat="1" applyFont="1" applyAlignment="1">
      <alignment horizontal="left"/>
    </xf>
    <xf numFmtId="1" fontId="14" fillId="0" borderId="0" xfId="3" applyNumberFormat="1" applyFont="1"/>
    <xf numFmtId="0" fontId="14" fillId="0" borderId="0" xfId="45" applyFont="1"/>
    <xf numFmtId="1" fontId="25" fillId="0" borderId="0" xfId="3" applyNumberFormat="1" applyFont="1" applyAlignment="1">
      <alignment vertical="center"/>
    </xf>
    <xf numFmtId="0" fontId="24" fillId="0" borderId="0" xfId="45" applyFont="1"/>
    <xf numFmtId="0" fontId="13" fillId="0" borderId="0" xfId="0" applyFont="1" applyAlignment="1">
      <alignment horizontal="right"/>
    </xf>
    <xf numFmtId="165" fontId="59" fillId="3" borderId="0" xfId="28" applyNumberFormat="1" applyFont="1" applyFill="1" applyAlignment="1">
      <alignment vertical="center"/>
    </xf>
    <xf numFmtId="165" fontId="18" fillId="3" borderId="0" xfId="28" applyNumberFormat="1" applyFont="1" applyFill="1" applyAlignment="1">
      <alignment vertical="center"/>
    </xf>
    <xf numFmtId="165" fontId="54" fillId="3" borderId="0" xfId="28" applyNumberFormat="1" applyFont="1" applyFill="1" applyAlignment="1">
      <alignment vertical="center"/>
    </xf>
    <xf numFmtId="0" fontId="103" fillId="4" borderId="41" xfId="0" applyFont="1" applyFill="1" applyBorder="1" applyAlignment="1">
      <alignment horizontal="center" vertical="center"/>
    </xf>
    <xf numFmtId="17" fontId="33" fillId="0" borderId="40" xfId="0" applyNumberFormat="1" applyFont="1" applyBorder="1"/>
    <xf numFmtId="17" fontId="33" fillId="0" borderId="42" xfId="0" applyNumberFormat="1" applyFont="1" applyBorder="1"/>
    <xf numFmtId="0" fontId="14" fillId="0" borderId="46" xfId="0" applyFont="1" applyBorder="1" applyAlignment="1">
      <alignment vertical="center"/>
    </xf>
    <xf numFmtId="3" fontId="70" fillId="0" borderId="3" xfId="0" applyNumberFormat="1" applyFont="1" applyBorder="1"/>
    <xf numFmtId="0" fontId="106" fillId="0" borderId="0" xfId="49" applyFont="1"/>
    <xf numFmtId="0" fontId="36" fillId="4" borderId="0" xfId="49" applyFont="1" applyFill="1"/>
    <xf numFmtId="0" fontId="37" fillId="4" borderId="3" xfId="49" applyFont="1" applyFill="1" applyBorder="1"/>
    <xf numFmtId="0" fontId="37" fillId="4" borderId="3" xfId="49" applyFont="1" applyFill="1" applyBorder="1" applyAlignment="1">
      <alignment horizontal="right"/>
    </xf>
    <xf numFmtId="0" fontId="106" fillId="0" borderId="3" xfId="49" applyFont="1" applyBorder="1"/>
    <xf numFmtId="0" fontId="13" fillId="0" borderId="14" xfId="0" applyFont="1" applyBorder="1"/>
    <xf numFmtId="0" fontId="14" fillId="0" borderId="14" xfId="0" applyFont="1" applyBorder="1" applyAlignment="1">
      <alignment horizontal="right" indent="1"/>
    </xf>
    <xf numFmtId="0" fontId="106" fillId="0" borderId="14" xfId="49" applyFont="1" applyBorder="1"/>
    <xf numFmtId="165" fontId="57" fillId="0" borderId="0" xfId="0" applyNumberFormat="1" applyFont="1" applyAlignment="1">
      <alignment horizontal="left"/>
    </xf>
    <xf numFmtId="0" fontId="57" fillId="0" borderId="0" xfId="0" applyFont="1"/>
    <xf numFmtId="0" fontId="14" fillId="0" borderId="3" xfId="0" applyFont="1" applyBorder="1" applyAlignment="1">
      <alignment vertical="center"/>
    </xf>
    <xf numFmtId="3" fontId="107" fillId="0" borderId="3" xfId="49" applyNumberFormat="1" applyFont="1" applyBorder="1" applyAlignment="1">
      <alignment horizontal="right" vertical="center"/>
    </xf>
    <xf numFmtId="3" fontId="107" fillId="0" borderId="3" xfId="49" applyNumberFormat="1" applyFont="1" applyBorder="1" applyAlignment="1">
      <alignment horizontal="right"/>
    </xf>
    <xf numFmtId="9" fontId="107" fillId="0" borderId="3" xfId="50" applyFont="1" applyBorder="1" applyAlignment="1">
      <alignment horizontal="right"/>
    </xf>
    <xf numFmtId="175" fontId="107" fillId="0" borderId="3" xfId="50" applyNumberFormat="1" applyFont="1" applyBorder="1" applyAlignment="1">
      <alignment horizontal="right"/>
    </xf>
    <xf numFmtId="0" fontId="33" fillId="0" borderId="40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right"/>
    </xf>
    <xf numFmtId="168" fontId="33" fillId="0" borderId="3" xfId="0" applyNumberFormat="1" applyFont="1" applyBorder="1" applyAlignment="1">
      <alignment horizontal="right"/>
    </xf>
    <xf numFmtId="168" fontId="33" fillId="0" borderId="3" xfId="0" applyNumberFormat="1" applyFont="1" applyBorder="1"/>
    <xf numFmtId="0" fontId="33" fillId="0" borderId="40" xfId="0" applyFont="1" applyBorder="1"/>
    <xf numFmtId="0" fontId="33" fillId="0" borderId="42" xfId="0" applyFont="1" applyBorder="1" applyAlignment="1">
      <alignment horizontal="left" vertical="center"/>
    </xf>
    <xf numFmtId="0" fontId="33" fillId="0" borderId="36" xfId="0" applyFont="1" applyBorder="1" applyAlignment="1">
      <alignment horizontal="right"/>
    </xf>
    <xf numFmtId="168" fontId="33" fillId="0" borderId="36" xfId="0" applyNumberFormat="1" applyFont="1" applyBorder="1" applyAlignment="1">
      <alignment horizontal="right"/>
    </xf>
    <xf numFmtId="165" fontId="33" fillId="0" borderId="40" xfId="0" applyNumberFormat="1" applyFont="1" applyBorder="1" applyAlignment="1">
      <alignment horizontal="left" indent="1"/>
    </xf>
    <xf numFmtId="166" fontId="33" fillId="0" borderId="3" xfId="0" applyNumberFormat="1" applyFont="1" applyBorder="1" applyAlignment="1">
      <alignment horizontal="right"/>
    </xf>
    <xf numFmtId="166" fontId="33" fillId="0" borderId="3" xfId="16" applyNumberFormat="1" applyFont="1" applyBorder="1"/>
    <xf numFmtId="166" fontId="33" fillId="0" borderId="3" xfId="16" applyNumberFormat="1" applyFont="1" applyFill="1" applyBorder="1"/>
    <xf numFmtId="166" fontId="33" fillId="0" borderId="3" xfId="0" applyNumberFormat="1" applyFont="1" applyBorder="1"/>
    <xf numFmtId="0" fontId="33" fillId="0" borderId="42" xfId="0" applyFont="1" applyBorder="1"/>
    <xf numFmtId="168" fontId="33" fillId="0" borderId="36" xfId="0" applyNumberFormat="1" applyFont="1" applyBorder="1"/>
    <xf numFmtId="177" fontId="18" fillId="0" borderId="0" xfId="26" applyFont="1" applyAlignment="1">
      <alignment vertical="center"/>
    </xf>
    <xf numFmtId="165" fontId="33" fillId="0" borderId="0" xfId="0" applyNumberFormat="1" applyFont="1" applyAlignment="1">
      <alignment horizontal="left"/>
    </xf>
    <xf numFmtId="165" fontId="33" fillId="0" borderId="0" xfId="0" applyNumberFormat="1" applyFont="1" applyAlignment="1">
      <alignment horizontal="left" vertical="center"/>
    </xf>
    <xf numFmtId="3" fontId="14" fillId="0" borderId="3" xfId="0" applyNumberFormat="1" applyFont="1" applyBorder="1" applyAlignment="1">
      <alignment wrapText="1"/>
    </xf>
    <xf numFmtId="0" fontId="14" fillId="0" borderId="41" xfId="0" applyFont="1" applyBorder="1" applyAlignment="1">
      <alignment horizontal="right" wrapText="1"/>
    </xf>
    <xf numFmtId="3" fontId="14" fillId="0" borderId="36" xfId="0" applyNumberFormat="1" applyFont="1" applyBorder="1" applyAlignment="1">
      <alignment wrapText="1"/>
    </xf>
    <xf numFmtId="3" fontId="70" fillId="0" borderId="36" xfId="0" applyNumberFormat="1" applyFont="1" applyBorder="1"/>
    <xf numFmtId="0" fontId="14" fillId="0" borderId="36" xfId="0" applyFont="1" applyBorder="1" applyAlignment="1">
      <alignment horizontal="right" wrapText="1"/>
    </xf>
    <xf numFmtId="0" fontId="14" fillId="0" borderId="43" xfId="0" applyFont="1" applyBorder="1" applyAlignment="1">
      <alignment horizontal="right" wrapText="1"/>
    </xf>
    <xf numFmtId="0" fontId="39" fillId="0" borderId="0" xfId="0" applyFont="1"/>
    <xf numFmtId="0" fontId="41" fillId="0" borderId="0" xfId="1" applyFont="1" applyAlignment="1">
      <alignment horizontal="left"/>
    </xf>
    <xf numFmtId="0" fontId="0" fillId="0" borderId="13" xfId="0" applyBorder="1" applyAlignment="1">
      <alignment horizontal="right"/>
    </xf>
    <xf numFmtId="0" fontId="70" fillId="0" borderId="13" xfId="0" applyFont="1" applyBorder="1" applyAlignment="1">
      <alignment horizontal="right"/>
    </xf>
    <xf numFmtId="0" fontId="111" fillId="0" borderId="0" xfId="51" applyFont="1"/>
    <xf numFmtId="0" fontId="112" fillId="0" borderId="0" xfId="51" applyFont="1"/>
    <xf numFmtId="0" fontId="105" fillId="8" borderId="3" xfId="52" applyFont="1" applyFill="1" applyBorder="1" applyAlignment="1">
      <alignment horizontal="center"/>
    </xf>
    <xf numFmtId="17" fontId="105" fillId="8" borderId="3" xfId="52" applyNumberFormat="1" applyFont="1" applyFill="1" applyBorder="1" applyAlignment="1" applyProtection="1">
      <alignment horizontal="center"/>
      <protection locked="0"/>
    </xf>
    <xf numFmtId="0" fontId="105" fillId="8" borderId="3" xfId="52" applyFont="1" applyFill="1" applyBorder="1" applyAlignment="1" applyProtection="1">
      <alignment horizontal="center"/>
      <protection locked="0"/>
    </xf>
    <xf numFmtId="49" fontId="113" fillId="0" borderId="3" xfId="52" applyNumberFormat="1" applyFont="1" applyBorder="1" applyAlignment="1">
      <alignment horizontal="center"/>
    </xf>
    <xf numFmtId="3" fontId="113" fillId="0" borderId="3" xfId="52" applyNumberFormat="1" applyFont="1" applyBorder="1"/>
    <xf numFmtId="166" fontId="113" fillId="0" borderId="3" xfId="52" applyNumberFormat="1" applyFont="1" applyBorder="1" applyAlignment="1">
      <alignment horizontal="center"/>
    </xf>
    <xf numFmtId="0" fontId="113" fillId="0" borderId="3" xfId="52" applyFont="1" applyBorder="1"/>
    <xf numFmtId="164" fontId="113" fillId="0" borderId="3" xfId="53" applyFont="1" applyBorder="1" applyAlignment="1" applyProtection="1">
      <alignment horizontal="center"/>
      <protection locked="0"/>
    </xf>
    <xf numFmtId="17" fontId="114" fillId="0" borderId="0" xfId="54" applyNumberFormat="1" applyFont="1"/>
    <xf numFmtId="0" fontId="115" fillId="0" borderId="0" xfId="54" applyFont="1" applyAlignment="1">
      <alignment horizontal="center"/>
    </xf>
    <xf numFmtId="0" fontId="116" fillId="0" borderId="0" xfId="54" applyFont="1" applyAlignment="1">
      <alignment horizontal="right" wrapText="1"/>
    </xf>
    <xf numFmtId="1" fontId="116" fillId="0" borderId="0" xfId="54" applyNumberFormat="1" applyFont="1"/>
    <xf numFmtId="0" fontId="116" fillId="0" borderId="0" xfId="54" applyFont="1"/>
    <xf numFmtId="0" fontId="6" fillId="0" borderId="0" xfId="54"/>
    <xf numFmtId="17" fontId="114" fillId="0" borderId="3" xfId="54" applyNumberFormat="1" applyFont="1" applyBorder="1"/>
    <xf numFmtId="0" fontId="116" fillId="0" borderId="3" xfId="54" applyFont="1" applyBorder="1" applyAlignment="1">
      <alignment horizontal="center"/>
    </xf>
    <xf numFmtId="0" fontId="116" fillId="0" borderId="1" xfId="54" applyFont="1" applyBorder="1" applyAlignment="1">
      <alignment horizontal="center"/>
    </xf>
    <xf numFmtId="0" fontId="116" fillId="0" borderId="3" xfId="54" applyFont="1" applyBorder="1"/>
    <xf numFmtId="0" fontId="115" fillId="0" borderId="3" xfId="54" applyFont="1" applyBorder="1" applyAlignment="1">
      <alignment horizontal="center"/>
    </xf>
    <xf numFmtId="1" fontId="116" fillId="0" borderId="3" xfId="54" applyNumberFormat="1" applyFont="1" applyBorder="1" applyAlignment="1">
      <alignment horizontal="center" wrapText="1"/>
    </xf>
    <xf numFmtId="1" fontId="116" fillId="0" borderId="3" xfId="54" applyNumberFormat="1" applyFont="1" applyBorder="1" applyAlignment="1">
      <alignment horizontal="center"/>
    </xf>
    <xf numFmtId="1" fontId="116" fillId="0" borderId="13" xfId="54" applyNumberFormat="1" applyFont="1" applyBorder="1" applyAlignment="1">
      <alignment horizontal="center"/>
    </xf>
    <xf numFmtId="1" fontId="116" fillId="0" borderId="3" xfId="54" applyNumberFormat="1" applyFont="1" applyBorder="1" applyAlignment="1">
      <alignment horizontal="center" vertical="center"/>
    </xf>
    <xf numFmtId="0" fontId="116" fillId="0" borderId="3" xfId="54" applyFont="1" applyBorder="1" applyAlignment="1">
      <alignment horizontal="right" wrapText="1"/>
    </xf>
    <xf numFmtId="166" fontId="115" fillId="0" borderId="3" xfId="54" applyNumberFormat="1" applyFont="1" applyBorder="1" applyAlignment="1">
      <alignment horizontal="center"/>
    </xf>
    <xf numFmtId="166" fontId="116" fillId="0" borderId="3" xfId="54" applyNumberFormat="1" applyFont="1" applyBorder="1" applyAlignment="1">
      <alignment horizontal="center" wrapText="1"/>
    </xf>
    <xf numFmtId="166" fontId="116" fillId="0" borderId="3" xfId="54" applyNumberFormat="1" applyFont="1" applyBorder="1" applyAlignment="1">
      <alignment horizontal="center"/>
    </xf>
    <xf numFmtId="166" fontId="116" fillId="0" borderId="13" xfId="54" applyNumberFormat="1" applyFont="1" applyBorder="1" applyAlignment="1">
      <alignment horizontal="center"/>
    </xf>
    <xf numFmtId="166" fontId="116" fillId="0" borderId="3" xfId="54" applyNumberFormat="1" applyFont="1" applyBorder="1" applyAlignment="1">
      <alignment horizontal="center" vertical="center"/>
    </xf>
    <xf numFmtId="0" fontId="117" fillId="0" borderId="0" xfId="54" applyFont="1"/>
    <xf numFmtId="0" fontId="118" fillId="0" borderId="0" xfId="49" applyFont="1"/>
    <xf numFmtId="0" fontId="118" fillId="0" borderId="0" xfId="49" applyFont="1" applyAlignment="1">
      <alignment horizontal="center" vertical="center"/>
    </xf>
    <xf numFmtId="0" fontId="119" fillId="0" borderId="3" xfId="55" applyFont="1" applyBorder="1" applyAlignment="1">
      <alignment vertical="center"/>
    </xf>
    <xf numFmtId="0" fontId="120" fillId="0" borderId="3" xfId="56" applyFont="1" applyBorder="1" applyAlignment="1">
      <alignment horizontal="center" vertical="center" wrapText="1"/>
    </xf>
    <xf numFmtId="17" fontId="121" fillId="0" borderId="3" xfId="56" applyNumberFormat="1" applyFont="1" applyBorder="1" applyAlignment="1">
      <alignment horizontal="center" vertical="center" wrapText="1"/>
    </xf>
    <xf numFmtId="0" fontId="123" fillId="0" borderId="0" xfId="56" applyFont="1" applyAlignment="1">
      <alignment vertical="center" wrapText="1"/>
    </xf>
    <xf numFmtId="0" fontId="119" fillId="0" borderId="3" xfId="56" applyFont="1" applyBorder="1" applyAlignment="1">
      <alignment vertical="center" wrapText="1"/>
    </xf>
    <xf numFmtId="3" fontId="120" fillId="0" borderId="3" xfId="56" applyNumberFormat="1" applyFont="1" applyBorder="1" applyAlignment="1">
      <alignment horizontal="center" vertical="center" wrapText="1"/>
    </xf>
    <xf numFmtId="4" fontId="120" fillId="0" borderId="3" xfId="56" applyNumberFormat="1" applyFont="1" applyBorder="1" applyAlignment="1">
      <alignment horizontal="center" vertical="center" wrapText="1"/>
    </xf>
    <xf numFmtId="168" fontId="124" fillId="0" borderId="3" xfId="56" applyNumberFormat="1" applyFont="1" applyBorder="1" applyAlignment="1">
      <alignment horizontal="center" vertical="center" wrapText="1"/>
    </xf>
    <xf numFmtId="3" fontId="125" fillId="0" borderId="3" xfId="56" applyNumberFormat="1" applyFont="1" applyBorder="1" applyAlignment="1">
      <alignment horizontal="center" vertical="center" wrapText="1"/>
    </xf>
    <xf numFmtId="4" fontId="125" fillId="0" borderId="3" xfId="56" applyNumberFormat="1" applyFont="1" applyBorder="1" applyAlignment="1">
      <alignment horizontal="center" vertical="center" wrapText="1"/>
    </xf>
    <xf numFmtId="168" fontId="126" fillId="0" borderId="3" xfId="56" applyNumberFormat="1" applyFont="1" applyBorder="1" applyAlignment="1">
      <alignment horizontal="center" vertical="center" wrapText="1"/>
    </xf>
    <xf numFmtId="0" fontId="119" fillId="0" borderId="3" xfId="56" applyFont="1" applyBorder="1" applyAlignment="1">
      <alignment horizontal="center" vertical="center" wrapText="1"/>
    </xf>
    <xf numFmtId="3" fontId="119" fillId="0" borderId="3" xfId="56" applyNumberFormat="1" applyFont="1" applyBorder="1" applyAlignment="1">
      <alignment horizontal="center" wrapText="1"/>
    </xf>
    <xf numFmtId="4" fontId="119" fillId="0" borderId="3" xfId="56" applyNumberFormat="1" applyFont="1" applyBorder="1" applyAlignment="1">
      <alignment horizontal="center" wrapText="1"/>
    </xf>
    <xf numFmtId="168" fontId="121" fillId="0" borderId="3" xfId="56" applyNumberFormat="1" applyFont="1" applyBorder="1" applyAlignment="1">
      <alignment horizontal="center" wrapText="1"/>
    </xf>
    <xf numFmtId="0" fontId="127" fillId="0" borderId="0" xfId="49" applyFont="1"/>
    <xf numFmtId="0" fontId="127" fillId="0" borderId="0" xfId="49" applyFont="1" applyAlignment="1">
      <alignment horizontal="center" vertical="center"/>
    </xf>
    <xf numFmtId="165" fontId="69" fillId="7" borderId="0" xfId="28" applyNumberFormat="1" applyFont="1" applyFill="1" applyAlignment="1">
      <alignment horizontal="center" vertical="center"/>
    </xf>
    <xf numFmtId="165" fontId="69" fillId="7" borderId="0" xfId="28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8" fillId="4" borderId="32" xfId="0" applyFont="1" applyFill="1" applyBorder="1" applyAlignment="1">
      <alignment horizontal="center" vertical="center"/>
    </xf>
    <xf numFmtId="0" fontId="68" fillId="4" borderId="21" xfId="0" applyFont="1" applyFill="1" applyBorder="1" applyAlignment="1">
      <alignment horizontal="center" vertical="center"/>
    </xf>
    <xf numFmtId="0" fontId="45" fillId="0" borderId="7" xfId="20" applyFont="1" applyBorder="1" applyAlignment="1">
      <alignment horizontal="center"/>
    </xf>
    <xf numFmtId="0" fontId="45" fillId="0" borderId="0" xfId="20" applyFont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165" fontId="69" fillId="7" borderId="0" xfId="31" applyNumberFormat="1" applyFont="1" applyFill="1" applyAlignment="1">
      <alignment horizontal="center" vertical="center"/>
    </xf>
    <xf numFmtId="165" fontId="69" fillId="7" borderId="0" xfId="31" applyNumberFormat="1" applyFont="1" applyFill="1" applyAlignment="1">
      <alignment horizontal="center" vertical="center" wrapText="1"/>
    </xf>
    <xf numFmtId="0" fontId="114" fillId="0" borderId="3" xfId="54" applyFont="1" applyBorder="1" applyAlignment="1">
      <alignment horizontal="center"/>
    </xf>
    <xf numFmtId="0" fontId="114" fillId="0" borderId="3" xfId="54" applyFont="1" applyBorder="1" applyAlignment="1">
      <alignment horizontal="center" wrapText="1"/>
    </xf>
    <xf numFmtId="178" fontId="69" fillId="6" borderId="0" xfId="27" applyFont="1" applyFill="1" applyAlignment="1">
      <alignment horizontal="center" vertical="center"/>
    </xf>
    <xf numFmtId="0" fontId="83" fillId="4" borderId="1" xfId="0" applyFont="1" applyFill="1" applyBorder="1" applyAlignment="1">
      <alignment horizontal="center" vertical="center"/>
    </xf>
    <xf numFmtId="0" fontId="83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85" fillId="4" borderId="29" xfId="0" applyFont="1" applyFill="1" applyBorder="1" applyAlignment="1">
      <alignment horizontal="center" vertical="center"/>
    </xf>
    <xf numFmtId="0" fontId="85" fillId="4" borderId="2" xfId="0" applyFont="1" applyFill="1" applyBorder="1" applyAlignment="1">
      <alignment horizontal="center" vertical="center"/>
    </xf>
    <xf numFmtId="0" fontId="68" fillId="4" borderId="29" xfId="0" applyFont="1" applyFill="1" applyBorder="1" applyAlignment="1">
      <alignment horizontal="center" vertical="center"/>
    </xf>
    <xf numFmtId="0" fontId="68" fillId="4" borderId="2" xfId="0" applyFont="1" applyFill="1" applyBorder="1" applyAlignment="1">
      <alignment horizontal="center" vertical="center"/>
    </xf>
    <xf numFmtId="0" fontId="83" fillId="4" borderId="5" xfId="0" applyFont="1" applyFill="1" applyBorder="1" applyAlignment="1">
      <alignment horizontal="center" vertical="center"/>
    </xf>
    <xf numFmtId="0" fontId="68" fillId="4" borderId="1" xfId="0" applyFont="1" applyFill="1" applyBorder="1" applyAlignment="1">
      <alignment horizontal="center" vertical="center"/>
    </xf>
    <xf numFmtId="0" fontId="68" fillId="4" borderId="5" xfId="0" applyFont="1" applyFill="1" applyBorder="1" applyAlignment="1">
      <alignment horizontal="center" vertical="center"/>
    </xf>
    <xf numFmtId="0" fontId="13" fillId="0" borderId="0" xfId="23" applyFont="1" applyAlignment="1">
      <alignment horizontal="right" vertical="center"/>
    </xf>
    <xf numFmtId="165" fontId="93" fillId="0" borderId="0" xfId="29" applyFont="1" applyAlignment="1">
      <alignment horizontal="center" vertical="center"/>
    </xf>
    <xf numFmtId="165" fontId="94" fillId="0" borderId="0" xfId="29" applyFont="1" applyAlignment="1">
      <alignment horizontal="center" vertical="center"/>
    </xf>
    <xf numFmtId="165" fontId="69" fillId="0" borderId="0" xfId="29" applyFont="1" applyAlignment="1">
      <alignment horizontal="center" vertical="center"/>
    </xf>
    <xf numFmtId="165" fontId="92" fillId="0" borderId="0" xfId="29" applyFont="1" applyAlignment="1">
      <alignment horizontal="center" vertical="center"/>
    </xf>
    <xf numFmtId="1" fontId="18" fillId="0" borderId="0" xfId="3" applyNumberFormat="1" applyFont="1" applyAlignment="1">
      <alignment horizontal="right"/>
    </xf>
    <xf numFmtId="0" fontId="60" fillId="0" borderId="0" xfId="0" applyFont="1" applyAlignment="1">
      <alignment horizontal="center" vertical="center"/>
    </xf>
    <xf numFmtId="165" fontId="97" fillId="0" borderId="0" xfId="42" applyFont="1" applyAlignment="1">
      <alignment horizontal="center" vertical="center"/>
    </xf>
    <xf numFmtId="165" fontId="98" fillId="0" borderId="0" xfId="42" applyFont="1" applyAlignment="1">
      <alignment horizontal="center" vertical="center"/>
    </xf>
    <xf numFmtId="165" fontId="99" fillId="0" borderId="0" xfId="42" applyFont="1" applyAlignment="1">
      <alignment horizontal="center" vertical="center"/>
    </xf>
    <xf numFmtId="165" fontId="37" fillId="4" borderId="3" xfId="43" applyNumberFormat="1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/>
    </xf>
    <xf numFmtId="0" fontId="80" fillId="4" borderId="3" xfId="43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165" fontId="92" fillId="0" borderId="0" xfId="28" applyNumberFormat="1" applyFont="1" applyAlignment="1">
      <alignment horizontal="center" vertical="center"/>
    </xf>
    <xf numFmtId="165" fontId="69" fillId="0" borderId="0" xfId="28" applyNumberFormat="1" applyFon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0" xfId="0" applyBorder="1" applyAlignment="1">
      <alignment horizontal="center"/>
    </xf>
    <xf numFmtId="0" fontId="103" fillId="4" borderId="22" xfId="0" applyFont="1" applyFill="1" applyBorder="1" applyAlignment="1">
      <alignment horizontal="center" vertical="center"/>
    </xf>
    <xf numFmtId="0" fontId="103" fillId="4" borderId="17" xfId="0" applyFont="1" applyFill="1" applyBorder="1" applyAlignment="1">
      <alignment horizontal="center" vertical="center"/>
    </xf>
    <xf numFmtId="177" fontId="53" fillId="3" borderId="0" xfId="26" applyFont="1" applyFill="1" applyAlignment="1">
      <alignment horizontal="center" vertical="center"/>
    </xf>
    <xf numFmtId="177" fontId="97" fillId="0" borderId="0" xfId="26" applyFont="1" applyAlignment="1">
      <alignment horizontal="center" vertical="center"/>
    </xf>
    <xf numFmtId="177" fontId="98" fillId="0" borderId="0" xfId="26" applyFont="1" applyAlignment="1">
      <alignment horizontal="center" vertical="center"/>
    </xf>
    <xf numFmtId="177" fontId="99" fillId="0" borderId="0" xfId="26" applyFont="1" applyAlignment="1">
      <alignment horizontal="center" vertical="center"/>
    </xf>
    <xf numFmtId="0" fontId="37" fillId="4" borderId="13" xfId="49" applyFont="1" applyFill="1" applyBorder="1" applyAlignment="1">
      <alignment horizontal="center"/>
    </xf>
    <xf numFmtId="0" fontId="37" fillId="4" borderId="14" xfId="49" applyFont="1" applyFill="1" applyBorder="1" applyAlignment="1">
      <alignment horizontal="center"/>
    </xf>
  </cellXfs>
  <cellStyles count="57">
    <cellStyle name="Milliers" xfId="16" builtinId="3"/>
    <cellStyle name="Milliers 13 2" xfId="38" xr:uid="{3DD4AC44-E994-4133-BD61-7A52A2959A7C}"/>
    <cellStyle name="Milliers 2" xfId="53" xr:uid="{118A11E2-C6F2-4D6E-89B1-C02275B45706}"/>
    <cellStyle name="Milliers 2 2" xfId="47" xr:uid="{DFBE3536-2F75-41DF-BBB5-701D29D5949A}"/>
    <cellStyle name="Milliers 2 3" xfId="14" xr:uid="{00000000-0005-0000-0000-000001000000}"/>
    <cellStyle name="Milliers 3" xfId="34" xr:uid="{9AB661FC-1F50-4D50-A5E9-BF6736F4FDD5}"/>
    <cellStyle name="Milliers 4" xfId="48" xr:uid="{F952E21A-3446-46AC-83A1-B8FAFF06CDD4}"/>
    <cellStyle name="Milliers 7 2" xfId="15" xr:uid="{00000000-0005-0000-0000-000002000000}"/>
    <cellStyle name="Milliers_Feuil1" xfId="46" xr:uid="{EAA16E63-C92E-4AC8-977D-9914D5191763}"/>
    <cellStyle name="Milliers_Feuil1 3" xfId="21" xr:uid="{00000000-0005-0000-0000-000003000000}"/>
    <cellStyle name="Normal" xfId="0" builtinId="0"/>
    <cellStyle name="Normal 10 2" xfId="41" xr:uid="{CCB04F07-F117-486E-B5E2-FBBF7F7199AA}"/>
    <cellStyle name="Normal 14" xfId="24" xr:uid="{00000000-0005-0000-0000-000005000000}"/>
    <cellStyle name="Normal 18 2" xfId="37" xr:uid="{8C7828ED-382B-403C-BD95-EB565106D526}"/>
    <cellStyle name="Normal 19" xfId="36" xr:uid="{41BA464D-38EB-45BC-819F-0E9ED78BFEC7}"/>
    <cellStyle name="Normal 2" xfId="28" xr:uid="{00000000-0005-0000-0000-000006000000}"/>
    <cellStyle name="Normal 2 2" xfId="31" xr:uid="{EF562AB9-61C2-4799-9E0D-7A5F24DC2A79}"/>
    <cellStyle name="Normal 2 2 2" xfId="5" xr:uid="{00000000-0005-0000-0000-000007000000}"/>
    <cellStyle name="Normal 2 2 3" xfId="49" xr:uid="{E8E78DC5-7332-4CED-8201-7C59EE0A977E}"/>
    <cellStyle name="Normal 2 2 4" xfId="26" xr:uid="{00000000-0005-0000-0000-000008000000}"/>
    <cellStyle name="Normal 2 2 5" xfId="55" xr:uid="{D6A22180-43D6-49E2-87D2-3BBBC6F17241}"/>
    <cellStyle name="Normal 2 3" xfId="27" xr:uid="{00000000-0005-0000-0000-000009000000}"/>
    <cellStyle name="Normal 2 4" xfId="33" xr:uid="{79569ACF-08EB-40DB-AEA2-03C179A553EB}"/>
    <cellStyle name="Normal 2 5" xfId="42" xr:uid="{0C2A6318-DCC7-49BC-B76E-C9604477C5D9}"/>
    <cellStyle name="Normal 2 6" xfId="30" xr:uid="{00000000-0005-0000-0000-00000A000000}"/>
    <cellStyle name="Normal 3" xfId="51" xr:uid="{17F48DE1-4AAF-4207-8B7D-D08E9B6517A3}"/>
    <cellStyle name="Normal 3 2 2" xfId="11" xr:uid="{00000000-0005-0000-0000-00000B000000}"/>
    <cellStyle name="Normal 3 3" xfId="29" xr:uid="{00000000-0005-0000-0000-00000C000000}"/>
    <cellStyle name="Normal 4 2" xfId="56" xr:uid="{A7D9911D-8B55-401C-BBC5-F04998700263}"/>
    <cellStyle name="Normal 5" xfId="9" xr:uid="{00000000-0005-0000-0000-00000D000000}"/>
    <cellStyle name="Normal 5 2" xfId="54" xr:uid="{52C3DE33-D5D4-455C-827F-109C74BD19A7}"/>
    <cellStyle name="Normal 59" xfId="40" xr:uid="{DA6CE24B-3770-4898-A286-BABE9DEDD366}"/>
    <cellStyle name="Normal 6 2" xfId="52" xr:uid="{691939EE-FB20-4B42-A24B-4FB00C64B497}"/>
    <cellStyle name="Normal 60 2" xfId="35" xr:uid="{8DAEC7DE-C8BB-4C94-8DC8-A739939A9AC3}"/>
    <cellStyle name="Normal 7" xfId="2" xr:uid="{00000000-0005-0000-0000-00000E000000}"/>
    <cellStyle name="Normal 8" xfId="10" xr:uid="{00000000-0005-0000-0000-00000F000000}"/>
    <cellStyle name="Normal_Annuaire 95-05 Commerce extérieur" xfId="7" xr:uid="{00000000-0005-0000-0000-000010000000}"/>
    <cellStyle name="Normal_Annuaire Bilingue 2003 ONS" xfId="3" xr:uid="{00000000-0005-0000-0000-000011000000}"/>
    <cellStyle name="Normal_Annuaire Bilingue 2003 ONS 3" xfId="43" xr:uid="{0F21A71F-6B9B-4FD9-A237-5A05F85A40D8}"/>
    <cellStyle name="Normal_Autres données" xfId="45" xr:uid="{1AC609AE-11CC-438D-BC9A-BEE98DAECDE6}"/>
    <cellStyle name="Normal_base de données mensuelle modif" xfId="25" xr:uid="{00000000-0005-0000-0000-000012000000}"/>
    <cellStyle name="Normal_Comptes Nationaux 2003 - 2007" xfId="39" xr:uid="{C066328F-4527-4C62-B83F-5FC11D7C9B25}"/>
    <cellStyle name="Normal_cours du cacao sur le marché international" xfId="8" xr:uid="{00000000-0005-0000-0000-000013000000}"/>
    <cellStyle name="Normal_cours mensuel du brent en $" xfId="6" xr:uid="{00000000-0005-0000-0000-000014000000}"/>
    <cellStyle name="Normal_évolution prix marché international" xfId="1" xr:uid="{00000000-0005-0000-0000-000015000000}"/>
    <cellStyle name="Normal_GUINEE 2 2" xfId="32" xr:uid="{839D372B-9C58-4D1D-8835-10483C6FD7AD}"/>
    <cellStyle name="Normal_Importation et exports par type de bien" xfId="12" xr:uid="{00000000-0005-0000-0000-000016000000}"/>
    <cellStyle name="Normal_Importations selon l'origine 92-2004" xfId="18" xr:uid="{00000000-0005-0000-0000-000017000000}"/>
    <cellStyle name="Normal_Industrie" xfId="19" xr:uid="{00000000-0005-0000-0000-000018000000}"/>
    <cellStyle name="Normal_Masse_montaire_et_contreparties_95_2005 2" xfId="4" xr:uid="{00000000-0005-0000-0000-000019000000}"/>
    <cellStyle name="Normal_Pêche annuaire" xfId="23" xr:uid="{00000000-0005-0000-0000-00001A000000}"/>
    <cellStyle name="Normal_peche oumar" xfId="22" xr:uid="{00000000-0005-0000-0000-00001B000000}"/>
    <cellStyle name="Normal_Prix_moy_mensuel_variete" xfId="44" xr:uid="{0FA85B4B-E365-4D2F-8AFA-DE93F7D144BB}"/>
    <cellStyle name="Normal_produits concurrenciels" xfId="13" xr:uid="{00000000-0005-0000-0000-00001C000000}"/>
    <cellStyle name="Normal_STATISTIQUES_SNIM" xfId="20" xr:uid="{00000000-0005-0000-0000-00001E000000}"/>
    <cellStyle name="Pourcentage" xfId="17" builtinId="5"/>
    <cellStyle name="Pourcentage 2 3" xfId="50" xr:uid="{7B7FFDB5-C01E-4BB3-8A61-0E591AD81F8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4.xml"/><Relationship Id="rId63" Type="http://schemas.openxmlformats.org/officeDocument/2006/relationships/externalLink" Target="externalLinks/externalLink12.xml"/><Relationship Id="rId68" Type="http://schemas.openxmlformats.org/officeDocument/2006/relationships/externalLink" Target="externalLinks/externalLink17.xml"/><Relationship Id="rId76" Type="http://schemas.openxmlformats.org/officeDocument/2006/relationships/externalLink" Target="externalLinks/externalLink25.xml"/><Relationship Id="rId84" Type="http://schemas.openxmlformats.org/officeDocument/2006/relationships/externalLink" Target="externalLinks/externalLink33.xml"/><Relationship Id="rId89" Type="http://schemas.openxmlformats.org/officeDocument/2006/relationships/externalLink" Target="externalLinks/externalLink3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0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8" Type="http://schemas.openxmlformats.org/officeDocument/2006/relationships/externalLink" Target="externalLinks/externalLink7.xml"/><Relationship Id="rId66" Type="http://schemas.openxmlformats.org/officeDocument/2006/relationships/externalLink" Target="externalLinks/externalLink15.xml"/><Relationship Id="rId74" Type="http://schemas.openxmlformats.org/officeDocument/2006/relationships/externalLink" Target="externalLinks/externalLink23.xml"/><Relationship Id="rId79" Type="http://schemas.openxmlformats.org/officeDocument/2006/relationships/externalLink" Target="externalLinks/externalLink28.xml"/><Relationship Id="rId87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0.xml"/><Relationship Id="rId82" Type="http://schemas.openxmlformats.org/officeDocument/2006/relationships/externalLink" Target="externalLinks/externalLink31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5.xml"/><Relationship Id="rId64" Type="http://schemas.openxmlformats.org/officeDocument/2006/relationships/externalLink" Target="externalLinks/externalLink13.xml"/><Relationship Id="rId69" Type="http://schemas.openxmlformats.org/officeDocument/2006/relationships/externalLink" Target="externalLinks/externalLink18.xml"/><Relationship Id="rId77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21.xml"/><Relationship Id="rId80" Type="http://schemas.openxmlformats.org/officeDocument/2006/relationships/externalLink" Target="externalLinks/externalLink29.xml"/><Relationship Id="rId85" Type="http://schemas.openxmlformats.org/officeDocument/2006/relationships/externalLink" Target="externalLinks/externalLink34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8.xml"/><Relationship Id="rId67" Type="http://schemas.openxmlformats.org/officeDocument/2006/relationships/externalLink" Target="externalLinks/externalLink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3.xml"/><Relationship Id="rId62" Type="http://schemas.openxmlformats.org/officeDocument/2006/relationships/externalLink" Target="externalLinks/externalLink11.xml"/><Relationship Id="rId70" Type="http://schemas.openxmlformats.org/officeDocument/2006/relationships/externalLink" Target="externalLinks/externalLink19.xml"/><Relationship Id="rId75" Type="http://schemas.openxmlformats.org/officeDocument/2006/relationships/externalLink" Target="externalLinks/externalLink24.xml"/><Relationship Id="rId83" Type="http://schemas.openxmlformats.org/officeDocument/2006/relationships/externalLink" Target="externalLinks/externalLink32.xml"/><Relationship Id="rId88" Type="http://schemas.openxmlformats.org/officeDocument/2006/relationships/externalLink" Target="externalLinks/externalLink37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60" Type="http://schemas.openxmlformats.org/officeDocument/2006/relationships/externalLink" Target="externalLinks/externalLink9.xml"/><Relationship Id="rId65" Type="http://schemas.openxmlformats.org/officeDocument/2006/relationships/externalLink" Target="externalLinks/externalLink14.xml"/><Relationship Id="rId73" Type="http://schemas.openxmlformats.org/officeDocument/2006/relationships/externalLink" Target="externalLinks/externalLink22.xml"/><Relationship Id="rId78" Type="http://schemas.openxmlformats.org/officeDocument/2006/relationships/externalLink" Target="externalLinks/externalLink27.xml"/><Relationship Id="rId81" Type="http://schemas.openxmlformats.org/officeDocument/2006/relationships/externalLink" Target="externalLinks/externalLink30.xml"/><Relationship Id="rId86" Type="http://schemas.openxmlformats.org/officeDocument/2006/relationships/externalLink" Target="externalLinks/externalLink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principale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x_+/Collecte/CONJONCTUR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IGITECH\Downloads\CMOHistoricalDataMonthl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GITECH/Downloads/CMOHistoricalDataMonthly(1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%20mesuell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SOURCE/Bulletin%20de%20conjoncture%20No%2064-2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princi"/>
    </sheetNames>
    <sheetDataSet>
      <sheetData sheetId="0">
        <row r="15">
          <cell r="B15">
            <v>63.6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ne-saisie-IPI"/>
      <sheetName val="Présent-prod -Eau-Elect"/>
      <sheetName val="Cons-Eau-lect "/>
      <sheetName val="transports_air_présent."/>
      <sheetName val="Pres_Cons_Carburant"/>
      <sheetName val="Changes prés _Dollar"/>
      <sheetName val="Changes prés_UM"/>
      <sheetName val="Cours-prem- prés"/>
      <sheetName val="Cours-alim-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E18">
            <v>2.5522033511230098</v>
          </cell>
        </row>
        <row r="19">
          <cell r="E19">
            <v>2.3517372742681601</v>
          </cell>
        </row>
        <row r="20">
          <cell r="E20">
            <v>2.3128862265107002</v>
          </cell>
        </row>
        <row r="21">
          <cell r="E21">
            <v>2.5375545113356801</v>
          </cell>
        </row>
        <row r="22">
          <cell r="E22">
            <v>2.5748771625797899</v>
          </cell>
        </row>
        <row r="23">
          <cell r="E23">
            <v>2.6481127369038902</v>
          </cell>
        </row>
        <row r="24">
          <cell r="E24">
            <v>2.7724328782335199</v>
          </cell>
        </row>
        <row r="25">
          <cell r="E25">
            <v>2.77523548897525</v>
          </cell>
        </row>
        <row r="26">
          <cell r="E26">
            <v>2.7907128300317101</v>
          </cell>
        </row>
        <row r="27">
          <cell r="E27">
            <v>2.88826862987524</v>
          </cell>
        </row>
        <row r="28">
          <cell r="E28">
            <v>3.0343618636381602</v>
          </cell>
        </row>
        <row r="29">
          <cell r="E29">
            <v>2.9808206027214301</v>
          </cell>
        </row>
        <row r="30">
          <cell r="E30">
            <v>3.0441348482868702</v>
          </cell>
        </row>
        <row r="31">
          <cell r="E31">
            <v>2.96014713217826</v>
          </cell>
        </row>
        <row r="32">
          <cell r="E32">
            <v>2.8743858089438201</v>
          </cell>
        </row>
        <row r="33">
          <cell r="E33">
            <v>3.0341561189117301</v>
          </cell>
        </row>
        <row r="34">
          <cell r="E34">
            <v>3.1980497770578298</v>
          </cell>
        </row>
        <row r="35">
          <cell r="E35">
            <v>3.2376042981167701</v>
          </cell>
        </row>
        <row r="36">
          <cell r="E36">
            <v>3.2258837908628499</v>
          </cell>
        </row>
        <row r="37">
          <cell r="E37">
            <v>3.26449979064998</v>
          </cell>
        </row>
        <row r="38">
          <cell r="E38">
            <v>3.28176302309121</v>
          </cell>
        </row>
        <row r="39">
          <cell r="E39">
            <v>3.29433559266807</v>
          </cell>
        </row>
        <row r="40">
          <cell r="E40">
            <v>3.23464256332228</v>
          </cell>
        </row>
        <row r="41">
          <cell r="E41">
            <v>3.1321481661288</v>
          </cell>
        </row>
        <row r="42">
          <cell r="E42">
            <v>3.1022047415588001</v>
          </cell>
        </row>
        <row r="43">
          <cell r="B43">
            <v>190.56002135400001</v>
          </cell>
          <cell r="C43">
            <v>407.8</v>
          </cell>
          <cell r="D43">
            <v>298.94647200000003</v>
          </cell>
          <cell r="E43">
            <v>2.9995987059361</v>
          </cell>
        </row>
        <row r="44">
          <cell r="B44">
            <v>198.860416407</v>
          </cell>
          <cell r="C44">
            <v>403.5</v>
          </cell>
          <cell r="D44">
            <v>275.13657600000005</v>
          </cell>
          <cell r="E44">
            <v>2.8355024763901402</v>
          </cell>
        </row>
        <row r="45">
          <cell r="B45">
            <v>198.79427780099999</v>
          </cell>
          <cell r="C45">
            <v>430.24</v>
          </cell>
          <cell r="D45">
            <v>265.21578600000004</v>
          </cell>
          <cell r="E45">
            <v>2.9478436449794998</v>
          </cell>
        </row>
        <row r="46">
          <cell r="B46">
            <v>209.94965601300001</v>
          </cell>
          <cell r="C46">
            <v>431.76</v>
          </cell>
          <cell r="D46">
            <v>272.27056999999996</v>
          </cell>
          <cell r="E46">
            <v>3.02045236587084</v>
          </cell>
        </row>
        <row r="47">
          <cell r="B47">
            <v>206.003385855</v>
          </cell>
          <cell r="C47">
            <v>408.6</v>
          </cell>
          <cell r="D47">
            <v>275.57749999999999</v>
          </cell>
          <cell r="E47">
            <v>2.86780302043418</v>
          </cell>
        </row>
        <row r="48">
          <cell r="B48">
            <v>206.933000706</v>
          </cell>
          <cell r="C48">
            <v>382.73</v>
          </cell>
          <cell r="D48">
            <v>258.38146399999999</v>
          </cell>
          <cell r="E48">
            <v>2.8885424474263401</v>
          </cell>
        </row>
        <row r="49">
          <cell r="B49">
            <v>217.43801595900001</v>
          </cell>
          <cell r="C49">
            <v>393.5</v>
          </cell>
          <cell r="D49">
            <v>244.492358</v>
          </cell>
          <cell r="E49">
            <v>2.7741047282267099</v>
          </cell>
        </row>
        <row r="50">
          <cell r="B50">
            <v>202.049766963</v>
          </cell>
          <cell r="C50">
            <v>395.35</v>
          </cell>
          <cell r="D50">
            <v>250.66529399999999</v>
          </cell>
          <cell r="E50">
            <v>2.6716127127390599</v>
          </cell>
        </row>
        <row r="51">
          <cell r="B51">
            <v>209.104551603</v>
          </cell>
          <cell r="C51">
            <v>390.39</v>
          </cell>
          <cell r="D51">
            <v>292.77353599999998</v>
          </cell>
          <cell r="E51">
            <v>2.7366844304027298</v>
          </cell>
        </row>
        <row r="52">
          <cell r="B52">
            <v>210.84620156099999</v>
          </cell>
          <cell r="C52">
            <v>378.81</v>
          </cell>
          <cell r="D52">
            <v>284.39598000000001</v>
          </cell>
          <cell r="E52">
            <v>2.7017389015605202</v>
          </cell>
        </row>
        <row r="53">
          <cell r="B53">
            <v>217.809127026</v>
          </cell>
          <cell r="C53">
            <v>379.33</v>
          </cell>
          <cell r="D53">
            <v>278.88443000000001</v>
          </cell>
          <cell r="E53">
            <v>2.6235660911196801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alimen"/>
    </sheetNames>
    <sheetDataSet>
      <sheetData sheetId="0">
        <row r="15">
          <cell r="B15">
            <v>248</v>
          </cell>
          <cell r="C15">
            <v>426</v>
          </cell>
          <cell r="D15">
            <v>312</v>
          </cell>
          <cell r="E15">
            <v>2.5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68">
          <cell r="AX668">
            <v>0.338188708</v>
          </cell>
        </row>
        <row r="669">
          <cell r="AX669">
            <v>0.32165405800000002</v>
          </cell>
        </row>
        <row r="670">
          <cell r="AX670">
            <v>0.290127992</v>
          </cell>
        </row>
        <row r="671">
          <cell r="AX671">
            <v>0.28836429600000002</v>
          </cell>
        </row>
        <row r="672">
          <cell r="AX672">
            <v>0.29409630799999997</v>
          </cell>
        </row>
        <row r="673">
          <cell r="AX673">
            <v>0.27469565200000001</v>
          </cell>
        </row>
        <row r="674">
          <cell r="AX674">
            <v>0.28285274599999999</v>
          </cell>
        </row>
        <row r="675">
          <cell r="AX675">
            <v>0.25353130000000001</v>
          </cell>
        </row>
        <row r="676">
          <cell r="AX676">
            <v>0.26146793200000001</v>
          </cell>
        </row>
        <row r="677">
          <cell r="AX677">
            <v>0.30666264199999999</v>
          </cell>
        </row>
        <row r="678">
          <cell r="AX678">
            <v>0.32077221</v>
          </cell>
        </row>
        <row r="679">
          <cell r="AX679">
            <v>0.32275636800000002</v>
          </cell>
        </row>
      </sheetData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80">
          <cell r="AM680">
            <v>191.72847006000001</v>
          </cell>
        </row>
        <row r="681">
          <cell r="AM681">
            <v>188.43256286100001</v>
          </cell>
          <cell r="AX681">
            <v>0.292773536</v>
          </cell>
        </row>
        <row r="682">
          <cell r="AM682">
            <v>189.68919637499999</v>
          </cell>
          <cell r="AX682">
            <v>0.340393328</v>
          </cell>
        </row>
        <row r="683">
          <cell r="AM683">
            <v>192.76096718700001</v>
          </cell>
          <cell r="AX683">
            <v>0.33576362599999998</v>
          </cell>
        </row>
        <row r="684">
          <cell r="AM684">
            <v>189.850868523</v>
          </cell>
          <cell r="AX684">
            <v>0.37500586200000002</v>
          </cell>
        </row>
        <row r="685">
          <cell r="AM685">
            <v>187.01425719900001</v>
          </cell>
          <cell r="AX685">
            <v>0.42879858999999998</v>
          </cell>
        </row>
        <row r="686">
          <cell r="AM686">
            <v>166.514963706</v>
          </cell>
          <cell r="AX686">
            <v>0.43210552000000002</v>
          </cell>
        </row>
        <row r="687">
          <cell r="AM687">
            <v>159.280135083</v>
          </cell>
          <cell r="AX687">
            <v>0.44379000600000001</v>
          </cell>
        </row>
        <row r="688">
          <cell r="AM688">
            <v>157.56053132700001</v>
          </cell>
          <cell r="AX688">
            <v>0.47465468599999999</v>
          </cell>
        </row>
        <row r="689">
          <cell r="AM689">
            <v>164.36913337799999</v>
          </cell>
          <cell r="AX689">
            <v>0.489866564</v>
          </cell>
        </row>
        <row r="690">
          <cell r="AM690">
            <v>167.27555767499999</v>
          </cell>
          <cell r="AX690">
            <v>0.44621508799999998</v>
          </cell>
        </row>
        <row r="691">
          <cell r="AM691">
            <v>161.16508535400001</v>
          </cell>
          <cell r="AX691">
            <v>0.40763423799999998</v>
          </cell>
        </row>
      </sheetData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uminum"/>
      <sheetName val="Banana"/>
      <sheetName val="Coal"/>
      <sheetName val="Cocoa"/>
      <sheetName val="Coconutoil and Palmkerneloil"/>
      <sheetName val="Coffee"/>
      <sheetName val="Copper"/>
      <sheetName val="Cotton"/>
      <sheetName val="Crude oil"/>
      <sheetName val="DAP and Potassium chloride"/>
      <sheetName val="Gold"/>
      <sheetName val="Iron ore"/>
      <sheetName val="Lead"/>
      <sheetName val="Maize"/>
      <sheetName val="Natural gas"/>
      <sheetName val="Nickel"/>
      <sheetName val="Nitrogen"/>
      <sheetName val="Palmoil and Soybeanoil"/>
      <sheetName val="Platinum"/>
      <sheetName val="Rice"/>
      <sheetName val="Rubber"/>
      <sheetName val="Silver"/>
      <sheetName val="Soybeans"/>
      <sheetName val="Sugar"/>
      <sheetName val="Sawnwood"/>
      <sheetName val="Tea"/>
      <sheetName val="Tin"/>
      <sheetName val="Wheat"/>
      <sheetName val="Woodpulp"/>
      <sheetName val="Zi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82">
          <cell r="B182">
            <v>171.78620480000001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2"/>
    </sheetNames>
    <sheetDataSet>
      <sheetData sheetId="0" refreshError="1">
        <row r="14">
          <cell r="C14">
            <v>34.42</v>
          </cell>
          <cell r="D14">
            <v>25.55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E54B-662D-4F86-9C1E-38A6137F67F4}">
  <dimension ref="A1:I63"/>
  <sheetViews>
    <sheetView showGridLines="0" view="pageLayout" topLeftCell="B13" workbookViewId="0">
      <selection activeCell="A34" sqref="A34:I34"/>
    </sheetView>
  </sheetViews>
  <sheetFormatPr baseColWidth="10" defaultColWidth="14.44140625" defaultRowHeight="15" customHeight="1"/>
  <cols>
    <col min="1" max="1" width="4.5546875" style="304" hidden="1" customWidth="1"/>
    <col min="2" max="2" width="21.5546875" style="304" customWidth="1"/>
    <col min="3" max="5" width="14.6640625" style="304" customWidth="1"/>
    <col min="6" max="6" width="4.6640625" style="304" customWidth="1"/>
    <col min="7" max="7" width="18.6640625" style="304" customWidth="1"/>
    <col min="8" max="8" width="14.44140625" style="304"/>
    <col min="9" max="9" width="13" style="304" customWidth="1"/>
    <col min="10" max="16384" width="14.44140625" style="304"/>
  </cols>
  <sheetData>
    <row r="1" spans="1:7" ht="12.75" customHeight="1">
      <c r="A1" s="305"/>
      <c r="B1" s="305"/>
      <c r="C1" s="305"/>
      <c r="D1" s="305"/>
      <c r="E1" s="305"/>
      <c r="F1" s="305"/>
      <c r="G1" s="305"/>
    </row>
    <row r="2" spans="1:7" ht="12.75" customHeight="1">
      <c r="A2" s="305"/>
      <c r="B2" s="305"/>
      <c r="C2" s="305"/>
      <c r="D2" s="305"/>
      <c r="E2" s="305"/>
      <c r="F2" s="305"/>
      <c r="G2" s="305"/>
    </row>
    <row r="3" spans="1:7" ht="12.75" customHeight="1">
      <c r="A3" s="305"/>
      <c r="B3" s="305"/>
      <c r="C3" s="305"/>
      <c r="D3" s="305"/>
      <c r="E3" s="305"/>
      <c r="F3" s="305"/>
      <c r="G3" s="305"/>
    </row>
    <row r="4" spans="1:7" ht="12.75" customHeight="1">
      <c r="A4" s="305"/>
      <c r="B4" s="305"/>
      <c r="C4" s="305"/>
      <c r="D4" s="305"/>
      <c r="E4" s="305"/>
      <c r="F4" s="305"/>
      <c r="G4" s="305"/>
    </row>
    <row r="5" spans="1:7" ht="12.75" customHeight="1">
      <c r="A5" s="305"/>
      <c r="B5" s="305"/>
      <c r="C5" s="305"/>
      <c r="D5" s="305"/>
      <c r="E5" s="305"/>
      <c r="F5" s="305"/>
      <c r="G5" s="305"/>
    </row>
    <row r="6" spans="1:7" ht="12.75" customHeight="1">
      <c r="A6" s="305"/>
      <c r="B6" s="305"/>
      <c r="C6" s="305"/>
      <c r="D6" s="305"/>
      <c r="E6" s="305"/>
      <c r="F6" s="305"/>
      <c r="G6" s="305"/>
    </row>
    <row r="7" spans="1:7" ht="12.75" customHeight="1">
      <c r="A7" s="305"/>
      <c r="B7" s="305"/>
      <c r="C7" s="305"/>
      <c r="D7" s="305"/>
      <c r="E7" s="305"/>
      <c r="F7" s="305"/>
      <c r="G7" s="305"/>
    </row>
    <row r="8" spans="1:7" ht="12.75" customHeight="1">
      <c r="A8" s="305"/>
      <c r="B8" s="305"/>
      <c r="C8" s="305"/>
      <c r="D8" s="305"/>
      <c r="E8" s="305"/>
      <c r="F8" s="305"/>
      <c r="G8" s="305"/>
    </row>
    <row r="9" spans="1:7" ht="12.75" customHeight="1">
      <c r="A9" s="305"/>
      <c r="B9" s="305"/>
      <c r="C9" s="305"/>
      <c r="D9" s="305"/>
      <c r="E9" s="305"/>
      <c r="F9" s="305"/>
      <c r="G9" s="305"/>
    </row>
    <row r="10" spans="1:7" ht="12.75" customHeight="1">
      <c r="A10" s="305"/>
      <c r="B10" s="305"/>
      <c r="C10" s="305"/>
      <c r="D10" s="305"/>
      <c r="E10" s="305"/>
      <c r="F10" s="305"/>
      <c r="G10" s="305"/>
    </row>
    <row r="11" spans="1:7" ht="12.75" customHeight="1">
      <c r="A11" s="305"/>
      <c r="B11" s="305"/>
      <c r="C11" s="305"/>
      <c r="D11" s="305"/>
      <c r="E11" s="305"/>
      <c r="F11" s="305"/>
      <c r="G11" s="305"/>
    </row>
    <row r="12" spans="1:7" ht="12.75" customHeight="1">
      <c r="A12" s="305"/>
      <c r="B12" s="305"/>
      <c r="C12" s="305"/>
      <c r="D12" s="305"/>
      <c r="E12" s="305"/>
      <c r="F12" s="305"/>
      <c r="G12" s="305"/>
    </row>
    <row r="13" spans="1:7" ht="12.75" customHeight="1">
      <c r="A13" s="305"/>
      <c r="B13" s="305"/>
      <c r="C13" s="305"/>
      <c r="D13" s="305"/>
      <c r="E13" s="305"/>
      <c r="F13" s="305"/>
      <c r="G13" s="305"/>
    </row>
    <row r="14" spans="1:7" ht="12.75" customHeight="1">
      <c r="A14" s="305"/>
      <c r="B14" s="305"/>
      <c r="C14" s="305"/>
      <c r="D14" s="305"/>
      <c r="E14" s="305"/>
      <c r="F14" s="305"/>
      <c r="G14" s="305"/>
    </row>
    <row r="15" spans="1:7" ht="12.75" customHeight="1">
      <c r="A15" s="305"/>
      <c r="B15" s="305"/>
      <c r="C15" s="305"/>
      <c r="D15" s="305"/>
      <c r="E15" s="305"/>
      <c r="F15" s="305"/>
      <c r="G15" s="305"/>
    </row>
    <row r="16" spans="1:7" ht="12.75" customHeight="1">
      <c r="A16" s="305"/>
      <c r="B16" s="305"/>
      <c r="C16" s="305"/>
      <c r="D16" s="305"/>
      <c r="E16" s="305"/>
      <c r="F16" s="305"/>
      <c r="G16" s="305"/>
    </row>
    <row r="17" spans="1:7" ht="12.75" customHeight="1">
      <c r="A17" s="305"/>
      <c r="B17" s="305"/>
      <c r="C17" s="305"/>
      <c r="D17" s="305"/>
      <c r="E17" s="305"/>
      <c r="F17" s="305"/>
      <c r="G17" s="305"/>
    </row>
    <row r="18" spans="1:7" ht="12.75" customHeight="1">
      <c r="A18" s="305"/>
      <c r="B18" s="305"/>
      <c r="C18" s="305"/>
      <c r="D18" s="305"/>
      <c r="E18" s="305"/>
      <c r="F18" s="305"/>
      <c r="G18" s="305"/>
    </row>
    <row r="19" spans="1:7" ht="12.75" customHeight="1">
      <c r="A19" s="305"/>
      <c r="B19" s="305"/>
      <c r="C19" s="305"/>
      <c r="D19" s="305"/>
      <c r="E19" s="305"/>
      <c r="F19" s="305"/>
      <c r="G19" s="305"/>
    </row>
    <row r="20" spans="1:7" ht="12.75" customHeight="1">
      <c r="A20" s="305"/>
      <c r="B20" s="305"/>
      <c r="C20" s="305"/>
      <c r="D20" s="305"/>
      <c r="E20" s="305"/>
      <c r="F20" s="305"/>
      <c r="G20" s="305"/>
    </row>
    <row r="21" spans="1:7" ht="12.75" hidden="1" customHeight="1">
      <c r="A21" s="305"/>
      <c r="B21" s="305"/>
      <c r="C21" s="305"/>
      <c r="D21" s="305"/>
      <c r="E21" s="305"/>
      <c r="F21" s="305"/>
      <c r="G21" s="305"/>
    </row>
    <row r="22" spans="1:7" ht="12.75" hidden="1" customHeight="1">
      <c r="A22" s="305"/>
      <c r="B22" s="305"/>
      <c r="C22" s="305"/>
      <c r="D22" s="305"/>
      <c r="E22" s="305"/>
      <c r="F22" s="305"/>
      <c r="G22" s="305"/>
    </row>
    <row r="23" spans="1:7" ht="12.75" hidden="1" customHeight="1">
      <c r="A23" s="305"/>
      <c r="B23" s="305"/>
      <c r="C23" s="305"/>
      <c r="D23" s="305"/>
      <c r="E23" s="305"/>
      <c r="F23" s="305"/>
      <c r="G23" s="305"/>
    </row>
    <row r="24" spans="1:7" ht="12.75" hidden="1" customHeight="1">
      <c r="A24" s="305"/>
      <c r="B24" s="305"/>
      <c r="C24" s="305"/>
      <c r="D24" s="305"/>
      <c r="E24" s="305"/>
      <c r="F24" s="305"/>
      <c r="G24" s="305"/>
    </row>
    <row r="25" spans="1:7" ht="12.75" hidden="1" customHeight="1">
      <c r="A25" s="305"/>
      <c r="B25" s="305"/>
      <c r="C25" s="305"/>
      <c r="D25" s="305"/>
      <c r="E25" s="305"/>
      <c r="F25" s="305"/>
      <c r="G25" s="305"/>
    </row>
    <row r="26" spans="1:7" ht="12.75" hidden="1" customHeight="1">
      <c r="A26" s="305"/>
      <c r="B26" s="305"/>
      <c r="C26" s="305"/>
      <c r="D26" s="305"/>
      <c r="E26" s="305"/>
      <c r="F26" s="305"/>
      <c r="G26" s="305"/>
    </row>
    <row r="27" spans="1:7" ht="12.75" hidden="1" customHeight="1">
      <c r="A27" s="305"/>
      <c r="B27" s="305"/>
      <c r="C27" s="305"/>
      <c r="D27" s="305"/>
      <c r="E27" s="305"/>
      <c r="F27" s="305"/>
      <c r="G27" s="305"/>
    </row>
    <row r="28" spans="1:7" ht="12.75" hidden="1" customHeight="1">
      <c r="A28" s="305"/>
      <c r="B28" s="305"/>
      <c r="C28" s="305"/>
      <c r="D28" s="305"/>
      <c r="E28" s="305"/>
      <c r="F28" s="305"/>
      <c r="G28" s="305"/>
    </row>
    <row r="29" spans="1:7" ht="12.75" hidden="1" customHeight="1">
      <c r="A29" s="305"/>
      <c r="B29" s="305"/>
      <c r="C29" s="305"/>
      <c r="D29" s="305"/>
      <c r="E29" s="305"/>
      <c r="F29" s="305"/>
      <c r="G29" s="305"/>
    </row>
    <row r="30" spans="1:7" ht="12.75" hidden="1" customHeight="1">
      <c r="A30" s="305"/>
      <c r="B30" s="305"/>
      <c r="C30" s="305"/>
      <c r="D30" s="305"/>
      <c r="E30" s="305"/>
      <c r="F30" s="305"/>
      <c r="G30" s="305"/>
    </row>
    <row r="31" spans="1:7" ht="12.75" hidden="1" customHeight="1">
      <c r="A31" s="305"/>
      <c r="B31" s="305"/>
      <c r="C31" s="305"/>
      <c r="D31" s="305"/>
      <c r="E31" s="305"/>
      <c r="F31" s="305"/>
      <c r="G31" s="305"/>
    </row>
    <row r="32" spans="1:7" ht="12.75" hidden="1" customHeight="1">
      <c r="A32" s="305"/>
      <c r="B32" s="305"/>
      <c r="C32" s="305"/>
      <c r="D32" s="305"/>
      <c r="E32" s="305"/>
      <c r="F32" s="305"/>
      <c r="G32" s="305"/>
    </row>
    <row r="33" spans="1:9" ht="12.75" hidden="1" customHeight="1">
      <c r="A33" s="305"/>
      <c r="B33" s="305"/>
      <c r="C33" s="305"/>
      <c r="D33" s="305"/>
      <c r="E33" s="305"/>
      <c r="F33" s="305"/>
      <c r="G33" s="305"/>
    </row>
    <row r="34" spans="1:9" ht="37.5" customHeight="1">
      <c r="A34" s="828" t="s">
        <v>987</v>
      </c>
      <c r="B34" s="828"/>
      <c r="C34" s="828"/>
      <c r="D34" s="828"/>
      <c r="E34" s="828"/>
      <c r="F34" s="828"/>
      <c r="G34" s="828"/>
      <c r="H34" s="828"/>
      <c r="I34" s="828"/>
    </row>
    <row r="35" spans="1:9" ht="12" customHeight="1">
      <c r="A35" s="305"/>
      <c r="B35" s="305"/>
      <c r="C35" s="305"/>
      <c r="D35" s="305"/>
      <c r="E35" s="305"/>
      <c r="F35" s="305"/>
      <c r="G35" s="305"/>
    </row>
    <row r="36" spans="1:9" ht="49.5" customHeight="1">
      <c r="A36" s="828" t="s">
        <v>889</v>
      </c>
      <c r="B36" s="828"/>
      <c r="C36" s="828"/>
      <c r="D36" s="828"/>
      <c r="E36" s="828"/>
      <c r="F36" s="828"/>
      <c r="G36" s="828"/>
      <c r="H36" s="828"/>
      <c r="I36" s="828"/>
    </row>
    <row r="37" spans="1:9" ht="12" customHeight="1">
      <c r="A37" s="305"/>
      <c r="B37" s="305"/>
      <c r="C37" s="305"/>
      <c r="D37" s="305"/>
      <c r="E37" s="305"/>
      <c r="F37" s="305"/>
      <c r="G37" s="305"/>
    </row>
    <row r="38" spans="1:9" ht="12" customHeight="1">
      <c r="A38" s="305"/>
      <c r="B38" s="305"/>
      <c r="C38" s="305"/>
      <c r="D38" s="305"/>
      <c r="E38" s="305"/>
      <c r="F38" s="305"/>
      <c r="G38" s="305"/>
    </row>
    <row r="39" spans="1:9" ht="25.5" customHeight="1">
      <c r="A39" s="828" t="s">
        <v>986</v>
      </c>
      <c r="B39" s="828"/>
      <c r="C39" s="828"/>
      <c r="D39" s="828"/>
      <c r="E39" s="828"/>
      <c r="F39" s="828"/>
      <c r="G39" s="828"/>
      <c r="H39" s="828"/>
      <c r="I39" s="828"/>
    </row>
    <row r="40" spans="1:9" ht="12" customHeight="1">
      <c r="A40" s="305"/>
      <c r="B40" s="305"/>
      <c r="C40" s="305"/>
      <c r="D40" s="305"/>
      <c r="E40" s="305"/>
      <c r="F40" s="305"/>
      <c r="G40" s="305"/>
    </row>
    <row r="41" spans="1:9" ht="123" customHeight="1">
      <c r="A41" s="829" t="s">
        <v>890</v>
      </c>
      <c r="B41" s="829"/>
      <c r="C41" s="829"/>
      <c r="D41" s="829"/>
      <c r="E41" s="829"/>
      <c r="F41" s="829"/>
      <c r="G41" s="829"/>
      <c r="H41" s="829"/>
      <c r="I41" s="829"/>
    </row>
    <row r="42" spans="1:9" ht="12.75" customHeight="1">
      <c r="A42" s="305"/>
      <c r="B42" s="305"/>
      <c r="C42" s="305"/>
      <c r="D42" s="305"/>
      <c r="E42" s="305"/>
      <c r="F42" s="305"/>
      <c r="G42" s="305"/>
    </row>
    <row r="43" spans="1:9" ht="12.75" customHeight="1">
      <c r="A43" s="305"/>
      <c r="B43" s="305"/>
      <c r="C43" s="305"/>
      <c r="D43" s="305"/>
      <c r="E43" s="305"/>
      <c r="F43" s="305"/>
      <c r="G43" s="305"/>
    </row>
    <row r="44" spans="1:9" ht="12.75" customHeight="1">
      <c r="A44" s="305"/>
      <c r="B44" s="305"/>
      <c r="C44" s="305"/>
      <c r="D44" s="305"/>
      <c r="E44" s="305"/>
      <c r="F44" s="305"/>
      <c r="G44" s="305"/>
    </row>
    <row r="45" spans="1:9" ht="12.75" customHeight="1">
      <c r="A45" s="305"/>
      <c r="B45" s="305"/>
      <c r="C45" s="305"/>
      <c r="D45" s="305"/>
      <c r="E45" s="305"/>
      <c r="F45" s="305"/>
      <c r="G45" s="305"/>
    </row>
    <row r="46" spans="1:9" ht="12.75" customHeight="1">
      <c r="A46" s="305"/>
      <c r="B46" s="305"/>
      <c r="C46" s="305"/>
      <c r="D46" s="305"/>
      <c r="E46" s="305"/>
      <c r="F46" s="305"/>
      <c r="G46" s="305"/>
    </row>
    <row r="47" spans="1:9" ht="12.75" customHeight="1">
      <c r="A47" s="305"/>
      <c r="B47" s="305"/>
      <c r="C47" s="305"/>
      <c r="D47" s="305"/>
      <c r="E47" s="305"/>
      <c r="F47" s="305"/>
      <c r="G47" s="305"/>
    </row>
    <row r="48" spans="1:9" ht="12.75" customHeight="1">
      <c r="A48" s="305"/>
      <c r="B48" s="305"/>
      <c r="C48" s="305"/>
      <c r="D48" s="305"/>
      <c r="E48" s="305"/>
      <c r="F48" s="305"/>
      <c r="G48" s="305"/>
    </row>
    <row r="49" spans="1:7" ht="12.75" customHeight="1">
      <c r="A49" s="305"/>
      <c r="B49" s="305"/>
      <c r="C49" s="305"/>
      <c r="D49" s="305"/>
      <c r="E49" s="305"/>
      <c r="F49" s="305"/>
      <c r="G49" s="305"/>
    </row>
    <row r="50" spans="1:7" ht="12.75" customHeight="1">
      <c r="A50" s="305"/>
      <c r="B50" s="305"/>
      <c r="C50" s="305"/>
      <c r="D50" s="305"/>
      <c r="E50" s="305"/>
      <c r="F50" s="305"/>
      <c r="G50" s="305"/>
    </row>
    <row r="51" spans="1:7" ht="12.75" customHeight="1">
      <c r="A51" s="305"/>
      <c r="B51" s="305"/>
      <c r="C51" s="305"/>
      <c r="D51" s="305"/>
      <c r="E51" s="305"/>
      <c r="F51" s="305"/>
      <c r="G51" s="305"/>
    </row>
    <row r="52" spans="1:7" ht="12.75" customHeight="1">
      <c r="A52" s="305"/>
      <c r="B52" s="305"/>
      <c r="C52" s="305"/>
      <c r="D52" s="305"/>
      <c r="E52" s="305"/>
      <c r="F52" s="305"/>
      <c r="G52" s="305"/>
    </row>
    <row r="53" spans="1:7" ht="12.75" customHeight="1">
      <c r="A53" s="305"/>
      <c r="B53" s="305"/>
      <c r="C53" s="305"/>
      <c r="D53" s="305"/>
      <c r="E53" s="305"/>
      <c r="F53" s="305"/>
      <c r="G53" s="305"/>
    </row>
    <row r="54" spans="1:7" ht="12.75" customHeight="1">
      <c r="A54" s="305"/>
      <c r="B54" s="305"/>
      <c r="C54" s="305"/>
      <c r="D54" s="305"/>
      <c r="E54" s="305"/>
      <c r="F54" s="305"/>
      <c r="G54" s="305"/>
    </row>
    <row r="55" spans="1:7" ht="12.75" customHeight="1">
      <c r="A55" s="305"/>
      <c r="B55" s="305"/>
      <c r="C55" s="305"/>
      <c r="D55" s="305"/>
      <c r="E55" s="305"/>
      <c r="F55" s="305"/>
      <c r="G55" s="305"/>
    </row>
    <row r="56" spans="1:7" ht="12.75" customHeight="1">
      <c r="A56" s="305"/>
      <c r="B56" s="305"/>
      <c r="C56" s="305"/>
      <c r="D56" s="305"/>
      <c r="E56" s="305"/>
      <c r="F56" s="305"/>
      <c r="G56" s="305"/>
    </row>
    <row r="57" spans="1:7" ht="12.75" customHeight="1">
      <c r="A57" s="305"/>
      <c r="B57" s="305"/>
      <c r="C57" s="305"/>
      <c r="D57" s="305"/>
      <c r="E57" s="305"/>
      <c r="F57" s="305"/>
      <c r="G57" s="305"/>
    </row>
    <row r="58" spans="1:7" ht="12.75" customHeight="1">
      <c r="A58" s="305"/>
      <c r="B58" s="305"/>
      <c r="C58" s="305"/>
      <c r="D58" s="305"/>
      <c r="E58" s="305"/>
      <c r="F58" s="305"/>
      <c r="G58" s="305"/>
    </row>
    <row r="59" spans="1:7" ht="12.75" customHeight="1">
      <c r="A59" s="305"/>
      <c r="B59" s="305"/>
      <c r="C59" s="305"/>
      <c r="D59" s="305"/>
      <c r="E59" s="305"/>
      <c r="F59" s="305"/>
      <c r="G59" s="305"/>
    </row>
    <row r="60" spans="1:7" ht="12.75" customHeight="1">
      <c r="A60" s="305"/>
      <c r="B60" s="305"/>
      <c r="C60" s="305"/>
      <c r="D60" s="305"/>
      <c r="E60" s="305"/>
      <c r="F60" s="305"/>
      <c r="G60" s="305"/>
    </row>
    <row r="61" spans="1:7" ht="12.75" customHeight="1">
      <c r="A61" s="305"/>
      <c r="B61" s="305"/>
      <c r="C61" s="305"/>
      <c r="D61" s="305"/>
      <c r="E61" s="305"/>
      <c r="F61" s="305"/>
      <c r="G61" s="305"/>
    </row>
    <row r="62" spans="1:7" ht="12.75" customHeight="1">
      <c r="A62" s="305"/>
      <c r="B62" s="305"/>
      <c r="C62" s="305"/>
      <c r="D62" s="305"/>
      <c r="E62" s="305"/>
      <c r="F62" s="305"/>
      <c r="G62" s="305"/>
    </row>
    <row r="63" spans="1:7" ht="12.75" customHeight="1">
      <c r="A63" s="305"/>
      <c r="B63" s="305"/>
      <c r="C63" s="305"/>
      <c r="D63" s="305"/>
      <c r="E63" s="305"/>
      <c r="F63" s="305"/>
      <c r="G63" s="305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6E5D-0B9C-4B3F-9442-FC52FB73DD50}">
  <dimension ref="A1:I63"/>
  <sheetViews>
    <sheetView showGridLines="0" view="pageLayout" topLeftCell="B16" workbookViewId="0">
      <selection activeCell="C19" sqref="C19"/>
    </sheetView>
  </sheetViews>
  <sheetFormatPr baseColWidth="10" defaultColWidth="14.44140625" defaultRowHeight="15" customHeight="1"/>
  <cols>
    <col min="1" max="1" width="4.5546875" style="304" hidden="1" customWidth="1"/>
    <col min="2" max="2" width="21.5546875" style="304" customWidth="1"/>
    <col min="3" max="5" width="14.6640625" style="304" customWidth="1"/>
    <col min="6" max="6" width="4.6640625" style="304" customWidth="1"/>
    <col min="7" max="7" width="18.6640625" style="304" customWidth="1"/>
    <col min="8" max="8" width="14.44140625" style="304"/>
    <col min="9" max="9" width="13" style="304" customWidth="1"/>
    <col min="10" max="16384" width="14.44140625" style="304"/>
  </cols>
  <sheetData>
    <row r="1" spans="1:7" ht="12.75" customHeight="1">
      <c r="A1" s="305"/>
      <c r="B1" s="305"/>
      <c r="C1" s="305"/>
      <c r="D1" s="305"/>
      <c r="E1" s="305"/>
      <c r="F1" s="305"/>
      <c r="G1" s="305"/>
    </row>
    <row r="2" spans="1:7" ht="12.75" customHeight="1">
      <c r="A2" s="305"/>
      <c r="B2" s="305"/>
      <c r="C2" s="305"/>
      <c r="D2" s="305"/>
      <c r="E2" s="305"/>
      <c r="F2" s="305"/>
      <c r="G2" s="305"/>
    </row>
    <row r="3" spans="1:7" ht="12.75" customHeight="1">
      <c r="A3" s="305"/>
      <c r="B3" s="305"/>
      <c r="C3" s="305"/>
      <c r="D3" s="305"/>
      <c r="E3" s="305"/>
      <c r="F3" s="305"/>
      <c r="G3" s="305"/>
    </row>
    <row r="4" spans="1:7" ht="12.75" customHeight="1">
      <c r="A4" s="305"/>
      <c r="B4" s="305"/>
      <c r="C4" s="305"/>
      <c r="D4" s="305"/>
      <c r="E4" s="305"/>
      <c r="F4" s="305"/>
      <c r="G4" s="305"/>
    </row>
    <row r="5" spans="1:7" ht="12.75" customHeight="1">
      <c r="A5" s="305"/>
      <c r="B5" s="305"/>
      <c r="C5" s="305"/>
      <c r="D5" s="305"/>
      <c r="E5" s="305"/>
      <c r="F5" s="305"/>
      <c r="G5" s="305"/>
    </row>
    <row r="6" spans="1:7" ht="12.75" customHeight="1">
      <c r="A6" s="305"/>
      <c r="B6" s="305"/>
      <c r="C6" s="305"/>
      <c r="D6" s="305"/>
      <c r="E6" s="305"/>
      <c r="F6" s="305"/>
      <c r="G6" s="305"/>
    </row>
    <row r="7" spans="1:7" ht="12.75" customHeight="1">
      <c r="A7" s="305"/>
      <c r="B7" s="305"/>
      <c r="C7" s="305"/>
      <c r="D7" s="305"/>
      <c r="E7" s="305"/>
      <c r="F7" s="305"/>
      <c r="G7" s="305"/>
    </row>
    <row r="8" spans="1:7" ht="12.75" customHeight="1">
      <c r="A8" s="305"/>
      <c r="B8" s="305"/>
      <c r="C8" s="305"/>
      <c r="D8" s="305"/>
      <c r="E8" s="305"/>
      <c r="F8" s="305"/>
      <c r="G8" s="305"/>
    </row>
    <row r="9" spans="1:7" ht="12.75" customHeight="1">
      <c r="A9" s="305"/>
      <c r="B9" s="305"/>
      <c r="C9" s="305"/>
      <c r="D9" s="305"/>
      <c r="E9" s="305"/>
      <c r="F9" s="305"/>
      <c r="G9" s="305"/>
    </row>
    <row r="10" spans="1:7" ht="12.75" customHeight="1">
      <c r="A10" s="305"/>
      <c r="B10" s="305"/>
      <c r="C10" s="305"/>
      <c r="D10" s="305"/>
      <c r="E10" s="305"/>
      <c r="F10" s="305"/>
      <c r="G10" s="305"/>
    </row>
    <row r="11" spans="1:7" ht="12.75" customHeight="1">
      <c r="A11" s="305"/>
      <c r="B11" s="305"/>
      <c r="C11" s="305"/>
      <c r="D11" s="305"/>
      <c r="E11" s="305"/>
      <c r="F11" s="305"/>
      <c r="G11" s="305"/>
    </row>
    <row r="12" spans="1:7" ht="12.75" customHeight="1">
      <c r="A12" s="305"/>
      <c r="B12" s="305"/>
      <c r="C12" s="305"/>
      <c r="D12" s="305"/>
      <c r="E12" s="305"/>
      <c r="F12" s="305"/>
      <c r="G12" s="305"/>
    </row>
    <row r="13" spans="1:7" ht="12.75" customHeight="1">
      <c r="A13" s="305"/>
      <c r="B13" s="305"/>
      <c r="C13" s="305"/>
      <c r="D13" s="305"/>
      <c r="E13" s="305"/>
      <c r="F13" s="305"/>
      <c r="G13" s="305"/>
    </row>
    <row r="14" spans="1:7" ht="12.75" customHeight="1">
      <c r="A14" s="305"/>
      <c r="B14" s="305"/>
      <c r="C14" s="305"/>
      <c r="D14" s="305"/>
      <c r="E14" s="305"/>
      <c r="F14" s="305"/>
      <c r="G14" s="305"/>
    </row>
    <row r="15" spans="1:7" ht="12.75" customHeight="1">
      <c r="A15" s="305"/>
      <c r="B15" s="305"/>
      <c r="C15" s="305"/>
      <c r="D15" s="305"/>
      <c r="E15" s="305"/>
      <c r="F15" s="305"/>
      <c r="G15" s="305"/>
    </row>
    <row r="16" spans="1:7" ht="12.75" customHeight="1">
      <c r="A16" s="305"/>
      <c r="B16" s="305"/>
      <c r="C16" s="305"/>
      <c r="D16" s="305"/>
      <c r="E16" s="305"/>
      <c r="F16" s="305"/>
      <c r="G16" s="305"/>
    </row>
    <row r="17" spans="1:7" ht="12.75" customHeight="1">
      <c r="A17" s="305"/>
      <c r="B17" s="305"/>
      <c r="C17" s="305"/>
      <c r="D17" s="305"/>
      <c r="E17" s="305"/>
      <c r="F17" s="305"/>
      <c r="G17" s="305"/>
    </row>
    <row r="18" spans="1:7" ht="12.75" customHeight="1">
      <c r="A18" s="305"/>
      <c r="B18" s="305"/>
      <c r="C18" s="305"/>
      <c r="D18" s="305"/>
      <c r="E18" s="305"/>
      <c r="F18" s="305"/>
      <c r="G18" s="305"/>
    </row>
    <row r="19" spans="1:7" ht="12.75" customHeight="1">
      <c r="A19" s="305"/>
      <c r="B19" s="305"/>
      <c r="C19" s="305"/>
      <c r="D19" s="305"/>
      <c r="E19" s="305"/>
      <c r="F19" s="305"/>
      <c r="G19" s="305"/>
    </row>
    <row r="20" spans="1:7" ht="12.75" customHeight="1">
      <c r="A20" s="305"/>
      <c r="B20" s="305"/>
      <c r="C20" s="305"/>
      <c r="D20" s="305"/>
      <c r="E20" s="305"/>
      <c r="F20" s="305"/>
      <c r="G20" s="305"/>
    </row>
    <row r="21" spans="1:7" ht="12.75" hidden="1" customHeight="1">
      <c r="A21" s="305"/>
      <c r="B21" s="305"/>
      <c r="C21" s="305"/>
      <c r="D21" s="305"/>
      <c r="E21" s="305"/>
      <c r="F21" s="305"/>
      <c r="G21" s="305"/>
    </row>
    <row r="22" spans="1:7" ht="12.75" hidden="1" customHeight="1">
      <c r="A22" s="305"/>
      <c r="B22" s="305"/>
      <c r="C22" s="305"/>
      <c r="D22" s="305"/>
      <c r="E22" s="305"/>
      <c r="F22" s="305"/>
      <c r="G22" s="305"/>
    </row>
    <row r="23" spans="1:7" ht="12.75" hidden="1" customHeight="1">
      <c r="A23" s="305"/>
      <c r="B23" s="305"/>
      <c r="C23" s="305"/>
      <c r="D23" s="305"/>
      <c r="E23" s="305"/>
      <c r="F23" s="305"/>
      <c r="G23" s="305"/>
    </row>
    <row r="24" spans="1:7" ht="12.75" hidden="1" customHeight="1">
      <c r="A24" s="305"/>
      <c r="B24" s="305"/>
      <c r="C24" s="305"/>
      <c r="D24" s="305"/>
      <c r="E24" s="305"/>
      <c r="F24" s="305"/>
      <c r="G24" s="305"/>
    </row>
    <row r="25" spans="1:7" ht="12.75" hidden="1" customHeight="1">
      <c r="A25" s="305"/>
      <c r="B25" s="305"/>
      <c r="C25" s="305"/>
      <c r="D25" s="305"/>
      <c r="E25" s="305"/>
      <c r="F25" s="305"/>
      <c r="G25" s="305"/>
    </row>
    <row r="26" spans="1:7" ht="12.75" hidden="1" customHeight="1">
      <c r="A26" s="305"/>
      <c r="B26" s="305"/>
      <c r="C26" s="305"/>
      <c r="D26" s="305"/>
      <c r="E26" s="305"/>
      <c r="F26" s="305"/>
      <c r="G26" s="305"/>
    </row>
    <row r="27" spans="1:7" ht="12.75" hidden="1" customHeight="1">
      <c r="A27" s="305"/>
      <c r="B27" s="305"/>
      <c r="C27" s="305"/>
      <c r="D27" s="305"/>
      <c r="E27" s="305"/>
      <c r="F27" s="305"/>
      <c r="G27" s="305"/>
    </row>
    <row r="28" spans="1:7" ht="12.75" hidden="1" customHeight="1">
      <c r="A28" s="305"/>
      <c r="B28" s="305"/>
      <c r="C28" s="305"/>
      <c r="D28" s="305"/>
      <c r="E28" s="305"/>
      <c r="F28" s="305"/>
      <c r="G28" s="305"/>
    </row>
    <row r="29" spans="1:7" ht="12.75" hidden="1" customHeight="1">
      <c r="A29" s="305"/>
      <c r="B29" s="305"/>
      <c r="C29" s="305"/>
      <c r="D29" s="305"/>
      <c r="E29" s="305"/>
      <c r="F29" s="305"/>
      <c r="G29" s="305"/>
    </row>
    <row r="30" spans="1:7" ht="12.75" hidden="1" customHeight="1">
      <c r="A30" s="305"/>
      <c r="B30" s="305"/>
      <c r="C30" s="305"/>
      <c r="D30" s="305"/>
      <c r="E30" s="305"/>
      <c r="F30" s="305"/>
      <c r="G30" s="305"/>
    </row>
    <row r="31" spans="1:7" ht="12.75" hidden="1" customHeight="1">
      <c r="A31" s="305"/>
      <c r="B31" s="305"/>
      <c r="C31" s="305"/>
      <c r="D31" s="305"/>
      <c r="E31" s="305"/>
      <c r="F31" s="305"/>
      <c r="G31" s="305"/>
    </row>
    <row r="32" spans="1:7" ht="12.75" hidden="1" customHeight="1">
      <c r="A32" s="305"/>
      <c r="B32" s="305"/>
      <c r="C32" s="305"/>
      <c r="D32" s="305"/>
      <c r="E32" s="305"/>
      <c r="F32" s="305"/>
      <c r="G32" s="305"/>
    </row>
    <row r="33" spans="1:9" ht="12.75" hidden="1" customHeight="1">
      <c r="A33" s="305"/>
      <c r="B33" s="305"/>
      <c r="C33" s="305"/>
      <c r="D33" s="305"/>
      <c r="E33" s="305"/>
      <c r="F33" s="305"/>
      <c r="G33" s="305"/>
    </row>
    <row r="34" spans="1:9" ht="37.5" customHeight="1">
      <c r="A34" s="836" t="s">
        <v>1010</v>
      </c>
      <c r="B34" s="836"/>
      <c r="C34" s="836"/>
      <c r="D34" s="836"/>
      <c r="E34" s="836"/>
      <c r="F34" s="836"/>
      <c r="G34" s="836"/>
      <c r="H34" s="836"/>
      <c r="I34" s="836"/>
    </row>
    <row r="35" spans="1:9" ht="12" customHeight="1">
      <c r="A35" s="422"/>
      <c r="B35" s="422"/>
      <c r="C35" s="422"/>
      <c r="D35" s="422"/>
      <c r="E35" s="422"/>
      <c r="F35" s="422"/>
      <c r="G35" s="422"/>
      <c r="H35" s="423"/>
      <c r="I35" s="423"/>
    </row>
    <row r="36" spans="1:9" ht="49.5" customHeight="1">
      <c r="A36" s="836" t="s">
        <v>1011</v>
      </c>
      <c r="B36" s="836"/>
      <c r="C36" s="836"/>
      <c r="D36" s="836"/>
      <c r="E36" s="836"/>
      <c r="F36" s="836"/>
      <c r="G36" s="836"/>
      <c r="H36" s="836"/>
      <c r="I36" s="836"/>
    </row>
    <row r="37" spans="1:9" ht="12" customHeight="1">
      <c r="A37" s="422"/>
      <c r="B37" s="422"/>
      <c r="C37" s="422"/>
      <c r="D37" s="422"/>
      <c r="E37" s="422"/>
      <c r="F37" s="422"/>
      <c r="G37" s="422"/>
      <c r="H37" s="423"/>
      <c r="I37" s="423"/>
    </row>
    <row r="38" spans="1:9" ht="12" customHeight="1">
      <c r="A38" s="422"/>
      <c r="B38" s="422"/>
      <c r="C38" s="422"/>
      <c r="D38" s="422"/>
      <c r="E38" s="422"/>
      <c r="F38" s="422"/>
      <c r="G38" s="422"/>
      <c r="H38" s="423"/>
      <c r="I38" s="423"/>
    </row>
    <row r="39" spans="1:9" ht="25.5" customHeight="1">
      <c r="A39" s="836" t="s">
        <v>1012</v>
      </c>
      <c r="B39" s="836"/>
      <c r="C39" s="836"/>
      <c r="D39" s="836"/>
      <c r="E39" s="836"/>
      <c r="F39" s="836"/>
      <c r="G39" s="836"/>
      <c r="H39" s="836"/>
      <c r="I39" s="836"/>
    </row>
    <row r="40" spans="1:9" ht="12" customHeight="1">
      <c r="A40" s="422"/>
      <c r="B40" s="422"/>
      <c r="C40" s="422"/>
      <c r="D40" s="422"/>
      <c r="E40" s="422"/>
      <c r="F40" s="422"/>
      <c r="G40" s="422"/>
      <c r="H40" s="423"/>
      <c r="I40" s="423"/>
    </row>
    <row r="41" spans="1:9" ht="123" customHeight="1">
      <c r="A41" s="837" t="s">
        <v>1013</v>
      </c>
      <c r="B41" s="837"/>
      <c r="C41" s="837"/>
      <c r="D41" s="837"/>
      <c r="E41" s="837"/>
      <c r="F41" s="837"/>
      <c r="G41" s="837"/>
      <c r="H41" s="837"/>
      <c r="I41" s="837"/>
    </row>
    <row r="42" spans="1:9" ht="12.75" customHeight="1">
      <c r="A42" s="305"/>
      <c r="B42" s="305"/>
      <c r="C42" s="305"/>
      <c r="D42" s="305"/>
      <c r="E42" s="305"/>
      <c r="F42" s="305"/>
      <c r="G42" s="305"/>
    </row>
    <row r="43" spans="1:9" ht="12.75" customHeight="1">
      <c r="A43" s="305"/>
      <c r="B43" s="305"/>
      <c r="C43" s="305"/>
      <c r="D43" s="305"/>
      <c r="E43" s="305"/>
      <c r="F43" s="305"/>
      <c r="G43" s="305"/>
    </row>
    <row r="44" spans="1:9" ht="12.75" customHeight="1">
      <c r="A44" s="305"/>
      <c r="B44" s="305"/>
      <c r="C44" s="305"/>
      <c r="D44" s="305"/>
      <c r="E44" s="305"/>
      <c r="F44" s="305"/>
      <c r="G44" s="305"/>
    </row>
    <row r="45" spans="1:9" ht="12.75" customHeight="1">
      <c r="A45" s="305"/>
      <c r="B45" s="305"/>
      <c r="C45" s="305"/>
      <c r="D45" s="305"/>
      <c r="E45" s="305"/>
      <c r="F45" s="305"/>
      <c r="G45" s="305"/>
    </row>
    <row r="46" spans="1:9" ht="12.75" customHeight="1">
      <c r="A46" s="305"/>
      <c r="B46" s="305"/>
      <c r="C46" s="305"/>
      <c r="D46" s="305"/>
      <c r="E46" s="305"/>
      <c r="F46" s="305"/>
      <c r="G46" s="305"/>
    </row>
    <row r="47" spans="1:9" ht="12.75" customHeight="1">
      <c r="A47" s="305"/>
      <c r="B47" s="305"/>
      <c r="C47" s="305"/>
      <c r="D47" s="305"/>
      <c r="E47" s="305"/>
      <c r="F47" s="305"/>
      <c r="G47" s="305"/>
    </row>
    <row r="48" spans="1:9" ht="12.75" customHeight="1">
      <c r="A48" s="305"/>
      <c r="B48" s="305"/>
      <c r="C48" s="305"/>
      <c r="D48" s="305"/>
      <c r="E48" s="305"/>
      <c r="F48" s="305"/>
      <c r="G48" s="305"/>
    </row>
    <row r="49" spans="1:7" ht="12.75" customHeight="1">
      <c r="A49" s="305"/>
      <c r="B49" s="305"/>
      <c r="C49" s="305"/>
      <c r="D49" s="305"/>
      <c r="E49" s="305"/>
      <c r="F49" s="305"/>
      <c r="G49" s="305"/>
    </row>
    <row r="50" spans="1:7" ht="12.75" customHeight="1">
      <c r="A50" s="305"/>
      <c r="B50" s="305"/>
      <c r="C50" s="305"/>
      <c r="D50" s="305"/>
      <c r="E50" s="305"/>
      <c r="F50" s="305"/>
      <c r="G50" s="305"/>
    </row>
    <row r="51" spans="1:7" ht="12.75" customHeight="1">
      <c r="A51" s="305"/>
      <c r="B51" s="305"/>
      <c r="C51" s="305"/>
      <c r="D51" s="305"/>
      <c r="E51" s="305"/>
      <c r="F51" s="305"/>
      <c r="G51" s="305"/>
    </row>
    <row r="52" spans="1:7" ht="12.75" customHeight="1">
      <c r="A52" s="305"/>
      <c r="B52" s="305"/>
      <c r="C52" s="305"/>
      <c r="D52" s="305"/>
      <c r="E52" s="305"/>
      <c r="F52" s="305"/>
      <c r="G52" s="305"/>
    </row>
    <row r="53" spans="1:7" ht="12.75" customHeight="1">
      <c r="A53" s="305"/>
      <c r="B53" s="305"/>
      <c r="C53" s="305"/>
      <c r="D53" s="305"/>
      <c r="E53" s="305"/>
      <c r="F53" s="305"/>
      <c r="G53" s="305"/>
    </row>
    <row r="54" spans="1:7" ht="12.75" customHeight="1">
      <c r="A54" s="305"/>
      <c r="B54" s="305"/>
      <c r="C54" s="305"/>
      <c r="D54" s="305"/>
      <c r="E54" s="305"/>
      <c r="F54" s="305"/>
      <c r="G54" s="305"/>
    </row>
    <row r="55" spans="1:7" ht="12.75" customHeight="1">
      <c r="A55" s="305"/>
      <c r="B55" s="305"/>
      <c r="C55" s="305"/>
      <c r="D55" s="305"/>
      <c r="E55" s="305"/>
      <c r="F55" s="305"/>
      <c r="G55" s="305"/>
    </row>
    <row r="56" spans="1:7" ht="12.75" customHeight="1">
      <c r="A56" s="305"/>
      <c r="B56" s="305"/>
      <c r="C56" s="305"/>
      <c r="D56" s="305"/>
      <c r="E56" s="305"/>
      <c r="F56" s="305"/>
      <c r="G56" s="305"/>
    </row>
    <row r="57" spans="1:7" ht="12.75" customHeight="1">
      <c r="A57" s="305"/>
      <c r="B57" s="305"/>
      <c r="C57" s="305"/>
      <c r="D57" s="305"/>
      <c r="E57" s="305"/>
      <c r="F57" s="305"/>
      <c r="G57" s="305"/>
    </row>
    <row r="58" spans="1:7" ht="12.75" customHeight="1">
      <c r="A58" s="305"/>
      <c r="B58" s="305"/>
      <c r="C58" s="305"/>
      <c r="D58" s="305"/>
      <c r="E58" s="305"/>
      <c r="F58" s="305"/>
      <c r="G58" s="305"/>
    </row>
    <row r="59" spans="1:7" ht="12.75" customHeight="1">
      <c r="A59" s="305"/>
      <c r="B59" s="305"/>
      <c r="C59" s="305"/>
      <c r="D59" s="305"/>
      <c r="E59" s="305"/>
      <c r="F59" s="305"/>
      <c r="G59" s="305"/>
    </row>
    <row r="60" spans="1:7" ht="12.75" customHeight="1">
      <c r="A60" s="305"/>
      <c r="B60" s="305"/>
      <c r="C60" s="305"/>
      <c r="D60" s="305"/>
      <c r="E60" s="305"/>
      <c r="F60" s="305"/>
      <c r="G60" s="305"/>
    </row>
    <row r="61" spans="1:7" ht="12.75" customHeight="1">
      <c r="A61" s="305"/>
      <c r="B61" s="305"/>
      <c r="C61" s="305"/>
      <c r="D61" s="305"/>
      <c r="E61" s="305"/>
      <c r="F61" s="305"/>
      <c r="G61" s="305"/>
    </row>
    <row r="62" spans="1:7" ht="12.75" customHeight="1">
      <c r="A62" s="305"/>
      <c r="B62" s="305"/>
      <c r="C62" s="305"/>
      <c r="D62" s="305"/>
      <c r="E62" s="305"/>
      <c r="F62" s="305"/>
      <c r="G62" s="305"/>
    </row>
    <row r="63" spans="1:7" ht="12.75" customHeight="1">
      <c r="A63" s="305"/>
      <c r="B63" s="305"/>
      <c r="C63" s="305"/>
      <c r="D63" s="305"/>
      <c r="E63" s="305"/>
      <c r="F63" s="305"/>
      <c r="G63" s="305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829D-9A59-4C61-AB29-1206EE1A7DB4}">
  <sheetPr>
    <tabColor theme="6"/>
  </sheetPr>
  <dimension ref="A1:DA16"/>
  <sheetViews>
    <sheetView workbookViewId="0">
      <selection activeCell="E5" sqref="E5"/>
    </sheetView>
  </sheetViews>
  <sheetFormatPr baseColWidth="10" defaultColWidth="12.21875" defaultRowHeight="13.2"/>
  <cols>
    <col min="1" max="1" width="45.21875" style="778" customWidth="1"/>
    <col min="2" max="2" width="7.77734375" style="778" bestFit="1" customWidth="1"/>
    <col min="3" max="3" width="8" style="778" bestFit="1" customWidth="1"/>
    <col min="4" max="4" width="6.6640625" style="778" bestFit="1" customWidth="1"/>
    <col min="5" max="6" width="6.88671875" style="778" bestFit="1" customWidth="1"/>
    <col min="7" max="7" width="6.33203125" style="778" bestFit="1" customWidth="1"/>
    <col min="8" max="8" width="7.6640625" style="778" bestFit="1" customWidth="1"/>
    <col min="9" max="9" width="7.44140625" style="778" bestFit="1" customWidth="1"/>
    <col min="10" max="10" width="6.6640625" style="778" bestFit="1" customWidth="1"/>
    <col min="11" max="12" width="7.109375" style="778" bestFit="1" customWidth="1"/>
    <col min="13" max="13" width="7.44140625" style="778" bestFit="1" customWidth="1"/>
    <col min="14" max="14" width="7.21875" style="778" bestFit="1" customWidth="1"/>
    <col min="15" max="15" width="8" style="778" bestFit="1" customWidth="1"/>
    <col min="16" max="16" width="6.6640625" style="778" bestFit="1" customWidth="1"/>
    <col min="17" max="18" width="6.88671875" style="778" bestFit="1" customWidth="1"/>
    <col min="19" max="19" width="6.33203125" style="778" bestFit="1" customWidth="1"/>
    <col min="20" max="20" width="7.6640625" style="778" bestFit="1" customWidth="1"/>
    <col min="21" max="21" width="7.44140625" style="778" bestFit="1" customWidth="1"/>
    <col min="22" max="22" width="6.6640625" style="778" bestFit="1" customWidth="1"/>
    <col min="23" max="24" width="7.109375" style="778" bestFit="1" customWidth="1"/>
    <col min="25" max="25" width="7.44140625" style="778" bestFit="1" customWidth="1"/>
    <col min="26" max="26" width="7.21875" style="778" bestFit="1" customWidth="1"/>
    <col min="27" max="27" width="8" style="778" bestFit="1" customWidth="1"/>
    <col min="28" max="28" width="6.6640625" style="778" bestFit="1" customWidth="1"/>
    <col min="29" max="30" width="6.88671875" style="778" bestFit="1" customWidth="1"/>
    <col min="31" max="31" width="6.33203125" style="778" bestFit="1" customWidth="1"/>
    <col min="32" max="32" width="7.6640625" style="778" bestFit="1" customWidth="1"/>
    <col min="33" max="33" width="7.44140625" style="778" bestFit="1" customWidth="1"/>
    <col min="34" max="34" width="6.6640625" style="778" bestFit="1" customWidth="1"/>
    <col min="35" max="36" width="7.109375" style="778" bestFit="1" customWidth="1"/>
    <col min="37" max="37" width="7.44140625" style="778" bestFit="1" customWidth="1"/>
    <col min="38" max="38" width="7.21875" style="778" bestFit="1" customWidth="1"/>
    <col min="39" max="39" width="8" style="778" bestFit="1" customWidth="1"/>
    <col min="40" max="40" width="6.6640625" style="778" bestFit="1" customWidth="1"/>
    <col min="41" max="42" width="6.88671875" style="778" bestFit="1" customWidth="1"/>
    <col min="43" max="43" width="6.33203125" style="778" bestFit="1" customWidth="1"/>
    <col min="44" max="44" width="7.6640625" style="778" bestFit="1" customWidth="1"/>
    <col min="45" max="45" width="7.44140625" style="778" bestFit="1" customWidth="1"/>
    <col min="46" max="46" width="6.6640625" style="778" bestFit="1" customWidth="1"/>
    <col min="47" max="48" width="7.109375" style="778" bestFit="1" customWidth="1"/>
    <col min="49" max="49" width="7.44140625" style="778" bestFit="1" customWidth="1"/>
    <col min="50" max="50" width="7.21875" style="778" bestFit="1" customWidth="1"/>
    <col min="51" max="51" width="8" style="778" bestFit="1" customWidth="1"/>
    <col min="52" max="52" width="6.6640625" style="778" bestFit="1" customWidth="1"/>
    <col min="53" max="54" width="6.88671875" style="778" bestFit="1" customWidth="1"/>
    <col min="55" max="55" width="6.33203125" style="778" bestFit="1" customWidth="1"/>
    <col min="56" max="56" width="7.6640625" style="778" bestFit="1" customWidth="1"/>
    <col min="57" max="57" width="7.44140625" style="778" bestFit="1" customWidth="1"/>
    <col min="58" max="58" width="6.6640625" style="778" bestFit="1" customWidth="1"/>
    <col min="59" max="60" width="7.109375" style="778" bestFit="1" customWidth="1"/>
    <col min="61" max="61" width="7.44140625" style="778" bestFit="1" customWidth="1"/>
    <col min="62" max="62" width="7.21875" style="778" bestFit="1" customWidth="1"/>
    <col min="63" max="63" width="8" style="778" bestFit="1" customWidth="1"/>
    <col min="64" max="64" width="6.6640625" style="778" bestFit="1" customWidth="1"/>
    <col min="65" max="66" width="6.88671875" style="778" bestFit="1" customWidth="1"/>
    <col min="67" max="67" width="6.33203125" style="778" bestFit="1" customWidth="1"/>
    <col min="68" max="68" width="7.6640625" style="778" bestFit="1" customWidth="1"/>
    <col min="69" max="69" width="7.44140625" style="778" bestFit="1" customWidth="1"/>
    <col min="70" max="70" width="6.6640625" style="778" bestFit="1" customWidth="1"/>
    <col min="71" max="72" width="7.109375" style="778" bestFit="1" customWidth="1"/>
    <col min="73" max="73" width="7.44140625" style="778" bestFit="1" customWidth="1"/>
    <col min="74" max="74" width="7.21875" style="778" bestFit="1" customWidth="1"/>
    <col min="75" max="75" width="8" style="778" bestFit="1" customWidth="1"/>
    <col min="76" max="76" width="6.6640625" style="778" bestFit="1" customWidth="1"/>
    <col min="77" max="78" width="6.88671875" style="778" bestFit="1" customWidth="1"/>
    <col min="79" max="79" width="6.33203125" style="778" bestFit="1" customWidth="1"/>
    <col min="80" max="80" width="7.6640625" style="778" bestFit="1" customWidth="1"/>
    <col min="81" max="81" width="7.44140625" style="778" bestFit="1" customWidth="1"/>
    <col min="82" max="82" width="6.6640625" style="778" bestFit="1" customWidth="1"/>
    <col min="83" max="84" width="7.109375" style="778" bestFit="1" customWidth="1"/>
    <col min="85" max="85" width="7.44140625" style="778" bestFit="1" customWidth="1"/>
    <col min="86" max="86" width="7.21875" style="778" bestFit="1" customWidth="1"/>
    <col min="87" max="87" width="8" style="778" bestFit="1" customWidth="1"/>
    <col min="88" max="88" width="6.6640625" style="778" bestFit="1" customWidth="1"/>
    <col min="89" max="90" width="6.88671875" style="778" bestFit="1" customWidth="1"/>
    <col min="91" max="91" width="6.33203125" style="778" bestFit="1" customWidth="1"/>
    <col min="92" max="92" width="7.6640625" style="778" bestFit="1" customWidth="1"/>
    <col min="93" max="93" width="7.44140625" style="778" bestFit="1" customWidth="1"/>
    <col min="94" max="94" width="6.6640625" style="778" bestFit="1" customWidth="1"/>
    <col min="95" max="96" width="7.109375" style="778" bestFit="1" customWidth="1"/>
    <col min="97" max="97" width="7.44140625" style="778" bestFit="1" customWidth="1"/>
    <col min="98" max="98" width="9.109375" style="778" customWidth="1"/>
    <col min="99" max="99" width="8.33203125" style="778" bestFit="1" customWidth="1"/>
    <col min="100" max="100" width="8.6640625" style="778" customWidth="1"/>
    <col min="101" max="101" width="9.21875" style="778" customWidth="1"/>
    <col min="102" max="102" width="8.88671875" style="778" customWidth="1"/>
    <col min="103" max="103" width="8.6640625" style="778" customWidth="1"/>
    <col min="104" max="104" width="8.5546875" style="778" customWidth="1"/>
    <col min="105" max="105" width="8.77734375" style="778" customWidth="1"/>
    <col min="106" max="16384" width="12.21875" style="778"/>
  </cols>
  <sheetData>
    <row r="1" spans="1:105" ht="13.8">
      <c r="A1" s="777" t="s">
        <v>1597</v>
      </c>
    </row>
    <row r="3" spans="1:105" ht="18">
      <c r="A3" s="779" t="s">
        <v>1598</v>
      </c>
      <c r="B3" s="779" t="s">
        <v>1599</v>
      </c>
      <c r="C3" s="780">
        <v>42430</v>
      </c>
      <c r="D3" s="780">
        <v>42461</v>
      </c>
      <c r="E3" s="780">
        <v>42491</v>
      </c>
      <c r="F3" s="780">
        <v>42522</v>
      </c>
      <c r="G3" s="780">
        <v>42552</v>
      </c>
      <c r="H3" s="780">
        <v>42583</v>
      </c>
      <c r="I3" s="780">
        <v>42614</v>
      </c>
      <c r="J3" s="780">
        <v>42644</v>
      </c>
      <c r="K3" s="780">
        <v>42675</v>
      </c>
      <c r="L3" s="780">
        <v>42705</v>
      </c>
      <c r="M3" s="780">
        <v>42736</v>
      </c>
      <c r="N3" s="780">
        <v>42767</v>
      </c>
      <c r="O3" s="780">
        <v>42795</v>
      </c>
      <c r="P3" s="780">
        <v>42826</v>
      </c>
      <c r="Q3" s="780">
        <v>42856</v>
      </c>
      <c r="R3" s="780">
        <v>42887</v>
      </c>
      <c r="S3" s="780">
        <v>42917</v>
      </c>
      <c r="T3" s="780">
        <v>42948</v>
      </c>
      <c r="U3" s="780">
        <v>42979</v>
      </c>
      <c r="V3" s="780">
        <v>43009</v>
      </c>
      <c r="W3" s="780">
        <v>43040</v>
      </c>
      <c r="X3" s="780">
        <v>43070</v>
      </c>
      <c r="Y3" s="780">
        <v>43101</v>
      </c>
      <c r="Z3" s="780">
        <v>43132</v>
      </c>
      <c r="AA3" s="780">
        <v>43160</v>
      </c>
      <c r="AB3" s="780">
        <v>43191</v>
      </c>
      <c r="AC3" s="779">
        <v>43221</v>
      </c>
      <c r="AD3" s="779">
        <v>43252</v>
      </c>
      <c r="AE3" s="781">
        <v>43282</v>
      </c>
      <c r="AF3" s="780">
        <v>43313</v>
      </c>
      <c r="AG3" s="780">
        <v>43344</v>
      </c>
      <c r="AH3" s="780">
        <v>43374</v>
      </c>
      <c r="AI3" s="780">
        <v>43405</v>
      </c>
      <c r="AJ3" s="780">
        <v>43435</v>
      </c>
      <c r="AK3" s="780">
        <v>43466</v>
      </c>
      <c r="AL3" s="780">
        <v>43497</v>
      </c>
      <c r="AM3" s="780">
        <v>43525</v>
      </c>
      <c r="AN3" s="780">
        <v>43556</v>
      </c>
      <c r="AO3" s="780">
        <v>43586</v>
      </c>
      <c r="AP3" s="780">
        <v>43617</v>
      </c>
      <c r="AQ3" s="780">
        <v>43647</v>
      </c>
      <c r="AR3" s="780">
        <v>43678</v>
      </c>
      <c r="AS3" s="780">
        <v>43709</v>
      </c>
      <c r="AT3" s="780">
        <v>43739</v>
      </c>
      <c r="AU3" s="780">
        <v>43770</v>
      </c>
      <c r="AV3" s="780">
        <v>43800</v>
      </c>
      <c r="AW3" s="780">
        <v>43831</v>
      </c>
      <c r="AX3" s="780">
        <v>43862</v>
      </c>
      <c r="AY3" s="780">
        <v>43891</v>
      </c>
      <c r="AZ3" s="780">
        <v>43922</v>
      </c>
      <c r="BA3" s="780">
        <v>43952</v>
      </c>
      <c r="BB3" s="780">
        <v>43983</v>
      </c>
      <c r="BC3" s="780">
        <v>44013</v>
      </c>
      <c r="BD3" s="780">
        <v>44044</v>
      </c>
      <c r="BE3" s="780">
        <v>44075</v>
      </c>
      <c r="BF3" s="779">
        <v>44105</v>
      </c>
      <c r="BG3" s="779">
        <v>44136</v>
      </c>
      <c r="BH3" s="781">
        <v>44166</v>
      </c>
      <c r="BI3" s="780">
        <v>44197</v>
      </c>
      <c r="BJ3" s="780">
        <v>44228</v>
      </c>
      <c r="BK3" s="780">
        <v>44256</v>
      </c>
      <c r="BL3" s="780">
        <v>44287</v>
      </c>
      <c r="BM3" s="780">
        <v>44317</v>
      </c>
      <c r="BN3" s="780">
        <v>44348</v>
      </c>
      <c r="BO3" s="780">
        <v>44378</v>
      </c>
      <c r="BP3" s="780">
        <v>44409</v>
      </c>
      <c r="BQ3" s="780">
        <v>44440</v>
      </c>
      <c r="BR3" s="780">
        <v>44470</v>
      </c>
      <c r="BS3" s="780">
        <v>44501</v>
      </c>
      <c r="BT3" s="780">
        <v>44531</v>
      </c>
      <c r="BU3" s="780">
        <v>44562</v>
      </c>
      <c r="BV3" s="780">
        <v>44593</v>
      </c>
      <c r="BW3" s="780">
        <v>44621</v>
      </c>
      <c r="BX3" s="780">
        <v>44652</v>
      </c>
      <c r="BY3" s="780">
        <v>44682</v>
      </c>
      <c r="BZ3" s="780">
        <v>44713</v>
      </c>
      <c r="CA3" s="780">
        <v>44743</v>
      </c>
      <c r="CB3" s="780">
        <v>44774</v>
      </c>
      <c r="CC3" s="780">
        <v>44805</v>
      </c>
      <c r="CD3" s="780">
        <v>44835</v>
      </c>
      <c r="CE3" s="780">
        <v>44866</v>
      </c>
      <c r="CF3" s="780">
        <v>44896</v>
      </c>
      <c r="CG3" s="780">
        <v>44927</v>
      </c>
      <c r="CH3" s="780">
        <v>44958</v>
      </c>
      <c r="CI3" s="779">
        <v>44986</v>
      </c>
      <c r="CJ3" s="779">
        <v>45017</v>
      </c>
      <c r="CK3" s="781">
        <v>45047</v>
      </c>
      <c r="CL3" s="780">
        <v>45078</v>
      </c>
      <c r="CM3" s="780">
        <v>45108</v>
      </c>
      <c r="CN3" s="780">
        <v>45139</v>
      </c>
      <c r="CO3" s="780">
        <v>45170</v>
      </c>
      <c r="CP3" s="780">
        <v>45200</v>
      </c>
      <c r="CQ3" s="780">
        <v>45231</v>
      </c>
      <c r="CR3" s="780">
        <v>45261</v>
      </c>
      <c r="CS3" s="780">
        <v>45292</v>
      </c>
      <c r="CT3" s="780">
        <v>45323</v>
      </c>
      <c r="CU3" s="780">
        <v>45352</v>
      </c>
      <c r="CV3" s="780">
        <v>45383</v>
      </c>
      <c r="CW3" s="780">
        <v>45413</v>
      </c>
      <c r="CX3" s="780">
        <v>45444</v>
      </c>
      <c r="CY3" s="780">
        <v>45474</v>
      </c>
      <c r="CZ3" s="780">
        <v>45505</v>
      </c>
      <c r="DA3" s="780">
        <v>45536</v>
      </c>
    </row>
    <row r="4" spans="1:105" ht="18">
      <c r="A4" s="782" t="s">
        <v>1600</v>
      </c>
      <c r="B4" s="783">
        <v>5030</v>
      </c>
      <c r="C4" s="784">
        <v>88.513295819116834</v>
      </c>
      <c r="D4" s="784">
        <v>88.584841738527373</v>
      </c>
      <c r="E4" s="784">
        <v>89.286021172653108</v>
      </c>
      <c r="F4" s="784">
        <v>89.829495401187344</v>
      </c>
      <c r="G4" s="784">
        <v>90.487237209158963</v>
      </c>
      <c r="H4" s="784">
        <v>91.430286046693567</v>
      </c>
      <c r="I4" s="784">
        <v>93.299045706208489</v>
      </c>
      <c r="J4" s="784">
        <v>93.803632418168391</v>
      </c>
      <c r="K4" s="784">
        <v>92.99134720183244</v>
      </c>
      <c r="L4" s="784">
        <v>92.792586244741244</v>
      </c>
      <c r="M4" s="784">
        <v>92.281548476936393</v>
      </c>
      <c r="N4" s="784">
        <v>91.723728702365534</v>
      </c>
      <c r="O4" s="784">
        <v>91.754837272685634</v>
      </c>
      <c r="P4" s="784">
        <v>92.04024960429156</v>
      </c>
      <c r="Q4" s="784">
        <v>92.828769502297931</v>
      </c>
      <c r="R4" s="784">
        <v>92.55811202488465</v>
      </c>
      <c r="S4" s="784">
        <v>93.159845133597742</v>
      </c>
      <c r="T4" s="784">
        <v>94.577691893444424</v>
      </c>
      <c r="U4" s="784">
        <v>95.177405481033503</v>
      </c>
      <c r="V4" s="784">
        <v>95.379921890177442</v>
      </c>
      <c r="W4" s="784">
        <v>95.186357116352696</v>
      </c>
      <c r="X4" s="784">
        <v>94.458350728427021</v>
      </c>
      <c r="Y4" s="784">
        <v>95.102975149614508</v>
      </c>
      <c r="Z4" s="784">
        <v>95.243898005984207</v>
      </c>
      <c r="AA4" s="784">
        <v>95.977317044139994</v>
      </c>
      <c r="AB4" s="784">
        <v>96.149438398159276</v>
      </c>
      <c r="AC4" s="782">
        <v>96.585496596873398</v>
      </c>
      <c r="AD4" s="785">
        <v>97.108303648150013</v>
      </c>
      <c r="AE4" s="786">
        <v>97.628020166861674</v>
      </c>
      <c r="AF4" s="784">
        <v>98.284599313805288</v>
      </c>
      <c r="AG4" s="784">
        <v>99.340042201367638</v>
      </c>
      <c r="AH4" s="784">
        <v>98.838741283958342</v>
      </c>
      <c r="AI4" s="784">
        <v>98.871505792008904</v>
      </c>
      <c r="AJ4" s="784">
        <v>99.08744340220025</v>
      </c>
      <c r="AK4" s="784">
        <v>98.735824317665447</v>
      </c>
      <c r="AL4" s="784">
        <v>98.273996607724797</v>
      </c>
      <c r="AM4" s="784">
        <v>98.447823240666921</v>
      </c>
      <c r="AN4" s="784">
        <v>98.393509628488204</v>
      </c>
      <c r="AO4" s="784">
        <v>98.77602384788122</v>
      </c>
      <c r="AP4" s="784">
        <v>99.014023809631112</v>
      </c>
      <c r="AQ4" s="784">
        <v>100.34007236554059</v>
      </c>
      <c r="AR4" s="784">
        <v>101.25099251415767</v>
      </c>
      <c r="AS4" s="784">
        <v>101.2626625232738</v>
      </c>
      <c r="AT4" s="784">
        <v>101.87218628357186</v>
      </c>
      <c r="AU4" s="784">
        <v>102.05884691603706</v>
      </c>
      <c r="AV4" s="784">
        <v>101.57403794536107</v>
      </c>
      <c r="AW4" s="784">
        <v>101.06289626571909</v>
      </c>
      <c r="AX4" s="784">
        <v>101.04962849345678</v>
      </c>
      <c r="AY4" s="784">
        <v>101.25411174563394</v>
      </c>
      <c r="AZ4" s="784">
        <v>101.24874148348088</v>
      </c>
      <c r="BA4" s="784">
        <v>101.35501238470567</v>
      </c>
      <c r="BB4" s="784">
        <v>101.447923677896</v>
      </c>
      <c r="BC4" s="784">
        <v>101.35180563508918</v>
      </c>
      <c r="BD4" s="784">
        <v>101.89152418999552</v>
      </c>
      <c r="BE4" s="784">
        <v>103.0165714812025</v>
      </c>
      <c r="BF4" s="782">
        <v>103.30869624899169</v>
      </c>
      <c r="BG4" s="785">
        <v>104.98258880544267</v>
      </c>
      <c r="BH4" s="786">
        <v>104.23198820582631</v>
      </c>
      <c r="BI4" s="784">
        <v>104.78329670130226</v>
      </c>
      <c r="BJ4" s="784">
        <v>105.4408542985804</v>
      </c>
      <c r="BK4" s="784">
        <v>105.21310478752189</v>
      </c>
      <c r="BL4" s="784">
        <v>105.46268942528749</v>
      </c>
      <c r="BM4" s="784">
        <v>105.94107851497303</v>
      </c>
      <c r="BN4" s="784">
        <v>106.71888634103</v>
      </c>
      <c r="BO4" s="784">
        <v>107.54171548644577</v>
      </c>
      <c r="BP4" s="784">
        <v>109.28988287257062</v>
      </c>
      <c r="BQ4" s="784">
        <v>110.64246802554828</v>
      </c>
      <c r="BR4" s="784">
        <v>110.79488257177229</v>
      </c>
      <c r="BS4" s="784">
        <v>112.01275641424583</v>
      </c>
      <c r="BT4" s="784">
        <v>113.51098670589883</v>
      </c>
      <c r="BU4" s="784">
        <v>114.67361459831378</v>
      </c>
      <c r="BV4" s="784">
        <v>115.57555803002985</v>
      </c>
      <c r="BW4" s="784">
        <v>117.20958336510729</v>
      </c>
      <c r="BX4" s="784">
        <v>119.57488351072131</v>
      </c>
      <c r="BY4" s="784">
        <v>121.62154427049691</v>
      </c>
      <c r="BZ4" s="784">
        <v>123.74886465838235</v>
      </c>
      <c r="CA4" s="784">
        <v>126.24662670056961</v>
      </c>
      <c r="CB4" s="784">
        <v>129.12797414456199</v>
      </c>
      <c r="CC4" s="784">
        <v>130.25604653714601</v>
      </c>
      <c r="CD4" s="784">
        <v>132.861626120257</v>
      </c>
      <c r="CE4" s="784">
        <v>133.60100324090399</v>
      </c>
      <c r="CF4" s="784">
        <v>133.21246243267501</v>
      </c>
      <c r="CG4" s="784">
        <v>132.46872508809901</v>
      </c>
      <c r="CH4" s="784">
        <v>131.15392622237101</v>
      </c>
      <c r="CI4" s="782">
        <v>130.70053936570201</v>
      </c>
      <c r="CJ4" s="785">
        <v>129.78839223136799</v>
      </c>
      <c r="CK4" s="786">
        <v>130.191962673962</v>
      </c>
      <c r="CL4" s="784">
        <v>129.900684647422</v>
      </c>
      <c r="CM4" s="784">
        <v>130.70455948474401</v>
      </c>
      <c r="CN4" s="784">
        <v>132.558513775043</v>
      </c>
      <c r="CO4" s="784">
        <v>132.96350720381901</v>
      </c>
      <c r="CP4" s="784">
        <v>132.64940573715899</v>
      </c>
      <c r="CQ4" s="784">
        <v>132.58924488764899</v>
      </c>
      <c r="CR4" s="784">
        <v>132.45686560955201</v>
      </c>
      <c r="CS4" s="784">
        <v>132.067238481777</v>
      </c>
      <c r="CT4" s="784">
        <v>132.17588093816801</v>
      </c>
      <c r="CU4" s="784">
        <v>132.36269525182101</v>
      </c>
      <c r="CV4" s="784">
        <v>132.86283419608</v>
      </c>
      <c r="CW4" s="784">
        <v>132.874279632065</v>
      </c>
      <c r="CX4" s="784">
        <v>133.77705384872499</v>
      </c>
      <c r="CY4" s="784">
        <v>134.63530650184401</v>
      </c>
      <c r="CZ4" s="784">
        <v>136.30073261610301</v>
      </c>
      <c r="DA4" s="784">
        <v>136.944614257268</v>
      </c>
    </row>
    <row r="5" spans="1:105" ht="18">
      <c r="A5" s="782" t="s">
        <v>1601</v>
      </c>
      <c r="B5" s="785">
        <v>19</v>
      </c>
      <c r="C5" s="784">
        <v>42.575268795797896</v>
      </c>
      <c r="D5" s="784">
        <v>43.808625238635585</v>
      </c>
      <c r="E5" s="784">
        <v>43.274037712399775</v>
      </c>
      <c r="F5" s="784">
        <v>44.244715136213678</v>
      </c>
      <c r="G5" s="784">
        <v>43.776131257548691</v>
      </c>
      <c r="H5" s="784">
        <v>43.494488962095559</v>
      </c>
      <c r="I5" s="784">
        <v>43.281567684902747</v>
      </c>
      <c r="J5" s="784">
        <v>43.376312458111549</v>
      </c>
      <c r="K5" s="784">
        <v>43.098452487432532</v>
      </c>
      <c r="L5" s="784">
        <v>43.147636161516836</v>
      </c>
      <c r="M5" s="784">
        <v>43.658298692991004</v>
      </c>
      <c r="N5" s="784">
        <v>42.697374943458172</v>
      </c>
      <c r="O5" s="784">
        <v>42.556657924768004</v>
      </c>
      <c r="P5" s="784">
        <v>43.026359658970691</v>
      </c>
      <c r="Q5" s="784">
        <v>43.603035676673173</v>
      </c>
      <c r="R5" s="784">
        <v>43.355748639242897</v>
      </c>
      <c r="S5" s="784">
        <v>44.197530725876454</v>
      </c>
      <c r="T5" s="784">
        <v>43.416558793680416</v>
      </c>
      <c r="U5" s="784">
        <v>53.608465874567798</v>
      </c>
      <c r="V5" s="784">
        <v>46.49870668252435</v>
      </c>
      <c r="W5" s="784">
        <v>45.800442451358172</v>
      </c>
      <c r="X5" s="784">
        <v>48.807902838347744</v>
      </c>
      <c r="Y5" s="784">
        <v>66.899858060915577</v>
      </c>
      <c r="Z5" s="784">
        <v>77.252296669709892</v>
      </c>
      <c r="AA5" s="784">
        <v>80.273602658553273</v>
      </c>
      <c r="AB5" s="784">
        <v>76.487751368026125</v>
      </c>
      <c r="AC5" s="782">
        <v>76.505659691273337</v>
      </c>
      <c r="AD5" s="785">
        <v>74.355132012050888</v>
      </c>
      <c r="AE5" s="786">
        <v>73.059672274087845</v>
      </c>
      <c r="AF5" s="784">
        <v>72.344336697677676</v>
      </c>
      <c r="AG5" s="784">
        <v>74.140011557504394</v>
      </c>
      <c r="AH5" s="784">
        <v>77.234122405960576</v>
      </c>
      <c r="AI5" s="784">
        <v>74.225919077375849</v>
      </c>
      <c r="AJ5" s="784">
        <v>70.754013831820473</v>
      </c>
      <c r="AK5" s="784">
        <v>68.432332279523692</v>
      </c>
      <c r="AL5" s="784">
        <v>70.27280607788812</v>
      </c>
      <c r="AM5" s="784">
        <v>71.438733689782666</v>
      </c>
      <c r="AN5" s="784">
        <v>71.296430181179346</v>
      </c>
      <c r="AO5" s="784">
        <v>71.70684254429041</v>
      </c>
      <c r="AP5" s="784">
        <v>74.095563742083911</v>
      </c>
      <c r="AQ5" s="784">
        <v>78.026845088261084</v>
      </c>
      <c r="AR5" s="784">
        <v>82.070030322385534</v>
      </c>
      <c r="AS5" s="784">
        <v>141.16229276619177</v>
      </c>
      <c r="AT5" s="784">
        <v>148.72640986727137</v>
      </c>
      <c r="AU5" s="784">
        <v>158.02386443397427</v>
      </c>
      <c r="AV5" s="784">
        <v>164.74784900716784</v>
      </c>
      <c r="AW5" s="784">
        <v>168.64237090176672</v>
      </c>
      <c r="AX5" s="784">
        <v>169.65260757189736</v>
      </c>
      <c r="AY5" s="784">
        <v>170.94495802282526</v>
      </c>
      <c r="AZ5" s="784">
        <v>172.42999503396783</v>
      </c>
      <c r="BA5" s="784">
        <v>174.28339057465541</v>
      </c>
      <c r="BB5" s="784">
        <v>174.14234666896965</v>
      </c>
      <c r="BC5" s="784">
        <v>171.05272232360605</v>
      </c>
      <c r="BD5" s="784">
        <v>108.77009897574661</v>
      </c>
      <c r="BE5" s="784">
        <v>89.154297673420032</v>
      </c>
      <c r="BF5" s="782">
        <v>80.931821574148572</v>
      </c>
      <c r="BG5" s="785">
        <v>77.09095717743179</v>
      </c>
      <c r="BH5" s="786">
        <v>78.468239523726325</v>
      </c>
      <c r="BI5" s="784">
        <v>74.179838852791036</v>
      </c>
      <c r="BJ5" s="784">
        <v>71.321591104200465</v>
      </c>
      <c r="BK5" s="784">
        <v>70.504350906830936</v>
      </c>
      <c r="BL5" s="784">
        <v>62.985597483409151</v>
      </c>
      <c r="BM5" s="784">
        <v>60.414803595524589</v>
      </c>
      <c r="BN5" s="784">
        <v>60.174909850768152</v>
      </c>
      <c r="BO5" s="784">
        <v>57.926712088422704</v>
      </c>
      <c r="BP5" s="784">
        <v>57.386094419498278</v>
      </c>
      <c r="BQ5" s="784">
        <v>58.444841774259295</v>
      </c>
      <c r="BR5" s="784">
        <v>57.608267423331682</v>
      </c>
      <c r="BS5" s="784">
        <v>62.149115381067162</v>
      </c>
      <c r="BT5" s="784">
        <v>62.234987816578915</v>
      </c>
      <c r="BU5" s="784">
        <v>64.437388822189789</v>
      </c>
      <c r="BV5" s="784">
        <v>64.329615485815324</v>
      </c>
      <c r="BW5" s="784">
        <v>64.252402419025486</v>
      </c>
      <c r="BX5" s="784">
        <v>65.142662231692583</v>
      </c>
      <c r="BY5" s="784">
        <v>64.641625174730123</v>
      </c>
      <c r="BZ5" s="784">
        <v>65.181210974700477</v>
      </c>
      <c r="CA5" s="784">
        <v>66.627141446531724</v>
      </c>
      <c r="CB5" s="784">
        <v>75.653015604190799</v>
      </c>
      <c r="CC5" s="784">
        <v>75.512022228736896</v>
      </c>
      <c r="CD5" s="784">
        <v>73.716179709798197</v>
      </c>
      <c r="CE5" s="784">
        <v>75.423547884165004</v>
      </c>
      <c r="CF5" s="784">
        <v>76.319153430255298</v>
      </c>
      <c r="CG5" s="784">
        <v>76.514684018653</v>
      </c>
      <c r="CH5" s="784">
        <v>76.850967550173195</v>
      </c>
      <c r="CI5" s="782">
        <v>75.891581806211803</v>
      </c>
      <c r="CJ5" s="785">
        <v>74.749431680811497</v>
      </c>
      <c r="CK5" s="786">
        <v>74.376261760841601</v>
      </c>
      <c r="CL5" s="784">
        <v>74.716773381318205</v>
      </c>
      <c r="CM5" s="784">
        <v>77.09220558442</v>
      </c>
      <c r="CN5" s="784">
        <v>76.891027178457705</v>
      </c>
      <c r="CO5" s="784">
        <v>77.921166803674296</v>
      </c>
      <c r="CP5" s="784">
        <v>78.031158630431605</v>
      </c>
      <c r="CQ5" s="784">
        <v>76.9895019974051</v>
      </c>
      <c r="CR5" s="784">
        <v>79.521334507643402</v>
      </c>
      <c r="CS5" s="784">
        <v>78.6648101800928</v>
      </c>
      <c r="CT5" s="784">
        <v>78.042693915776695</v>
      </c>
      <c r="CU5" s="784">
        <v>76.257577906607395</v>
      </c>
      <c r="CV5" s="784">
        <v>76.617065286745898</v>
      </c>
      <c r="CW5" s="784">
        <v>76.1258542145126</v>
      </c>
      <c r="CX5" s="784">
        <v>76.969978154535397</v>
      </c>
      <c r="CY5" s="784">
        <v>77.323157183293006</v>
      </c>
      <c r="CZ5" s="784">
        <v>79.567843994822894</v>
      </c>
      <c r="DA5" s="784">
        <v>77.130873970716394</v>
      </c>
    </row>
    <row r="6" spans="1:105" ht="18">
      <c r="A6" s="782" t="s">
        <v>1602</v>
      </c>
      <c r="B6" s="785">
        <v>437</v>
      </c>
      <c r="C6" s="784">
        <v>94.93319408577706</v>
      </c>
      <c r="D6" s="784">
        <v>95.035979476715866</v>
      </c>
      <c r="E6" s="784">
        <v>94.854575036330118</v>
      </c>
      <c r="F6" s="784">
        <v>95.087057814001284</v>
      </c>
      <c r="G6" s="784">
        <v>95.007615393657787</v>
      </c>
      <c r="H6" s="784">
        <v>95.220545580291244</v>
      </c>
      <c r="I6" s="784">
        <v>96.708654519545249</v>
      </c>
      <c r="J6" s="784">
        <v>96.192099734794468</v>
      </c>
      <c r="K6" s="784">
        <v>96.668376777258203</v>
      </c>
      <c r="L6" s="784">
        <v>97.886353525868799</v>
      </c>
      <c r="M6" s="784">
        <v>96.96437764275808</v>
      </c>
      <c r="N6" s="784">
        <v>97.489161941639921</v>
      </c>
      <c r="O6" s="784">
        <v>97.168317696166937</v>
      </c>
      <c r="P6" s="784">
        <v>97.513766353729835</v>
      </c>
      <c r="Q6" s="784">
        <v>97.688093740311487</v>
      </c>
      <c r="R6" s="784">
        <v>97.863661123826944</v>
      </c>
      <c r="S6" s="784">
        <v>97.916121287390581</v>
      </c>
      <c r="T6" s="784">
        <v>98.59015999440831</v>
      </c>
      <c r="U6" s="784">
        <v>98.420150629797746</v>
      </c>
      <c r="V6" s="784">
        <v>98.438747017916427</v>
      </c>
      <c r="W6" s="784">
        <v>98.376516939412085</v>
      </c>
      <c r="X6" s="784">
        <v>98.694497810220966</v>
      </c>
      <c r="Y6" s="784">
        <v>98.54343861346095</v>
      </c>
      <c r="Z6" s="784">
        <v>98.859444801142587</v>
      </c>
      <c r="AA6" s="784">
        <v>98.626758869126192</v>
      </c>
      <c r="AB6" s="784">
        <v>98.700766330134428</v>
      </c>
      <c r="AC6" s="782">
        <v>98.702407403279423</v>
      </c>
      <c r="AD6" s="785">
        <v>99.027466095969174</v>
      </c>
      <c r="AE6" s="786">
        <v>98.997574128408417</v>
      </c>
      <c r="AF6" s="784">
        <v>99.508534494218495</v>
      </c>
      <c r="AG6" s="784">
        <v>99.913344963780901</v>
      </c>
      <c r="AH6" s="784">
        <v>99.647451952340532</v>
      </c>
      <c r="AI6" s="784">
        <v>99.628565621586063</v>
      </c>
      <c r="AJ6" s="784">
        <v>99.398291338004242</v>
      </c>
      <c r="AK6" s="784">
        <v>99.558366244474229</v>
      </c>
      <c r="AL6" s="784">
        <v>99.722104735584224</v>
      </c>
      <c r="AM6" s="784">
        <v>99.831399623175471</v>
      </c>
      <c r="AN6" s="784">
        <v>99.851725402562636</v>
      </c>
      <c r="AO6" s="784">
        <v>99.675817514998812</v>
      </c>
      <c r="AP6" s="784">
        <v>99.92969182462808</v>
      </c>
      <c r="AQ6" s="784">
        <v>99.970678395021324</v>
      </c>
      <c r="AR6" s="784">
        <v>100.31268638175541</v>
      </c>
      <c r="AS6" s="784">
        <v>100.28652069317022</v>
      </c>
      <c r="AT6" s="784">
        <v>100.11330705777566</v>
      </c>
      <c r="AU6" s="784">
        <v>100.30585306178266</v>
      </c>
      <c r="AV6" s="784">
        <v>100.44184906507122</v>
      </c>
      <c r="AW6" s="784">
        <v>100.18281729667383</v>
      </c>
      <c r="AX6" s="784">
        <v>100.5840425454555</v>
      </c>
      <c r="AY6" s="784">
        <v>100.82865171647958</v>
      </c>
      <c r="AZ6" s="784">
        <v>100.83030357756815</v>
      </c>
      <c r="BA6" s="784">
        <v>100.89048781749726</v>
      </c>
      <c r="BB6" s="784">
        <v>100.96005468729648</v>
      </c>
      <c r="BC6" s="784">
        <v>100.9338106026799</v>
      </c>
      <c r="BD6" s="784">
        <v>101.07952458527383</v>
      </c>
      <c r="BE6" s="784">
        <v>100.86547689725346</v>
      </c>
      <c r="BF6" s="782">
        <v>101.0272994297344</v>
      </c>
      <c r="BG6" s="785">
        <v>101.04249871425357</v>
      </c>
      <c r="BH6" s="786">
        <v>100.9663117086685</v>
      </c>
      <c r="BI6" s="784">
        <v>101.02314751584846</v>
      </c>
      <c r="BJ6" s="784">
        <v>101.00810200230536</v>
      </c>
      <c r="BK6" s="784">
        <v>101.3551359539737</v>
      </c>
      <c r="BL6" s="784">
        <v>101.62224399645635</v>
      </c>
      <c r="BM6" s="784">
        <v>101.67813553692457</v>
      </c>
      <c r="BN6" s="784">
        <v>101.60090781473302</v>
      </c>
      <c r="BO6" s="784">
        <v>101.70237893353672</v>
      </c>
      <c r="BP6" s="784">
        <v>101.93123218397101</v>
      </c>
      <c r="BQ6" s="784">
        <v>101.73239819385971</v>
      </c>
      <c r="BR6" s="784">
        <v>101.86647870376261</v>
      </c>
      <c r="BS6" s="784">
        <v>101.80587238380483</v>
      </c>
      <c r="BT6" s="784">
        <v>101.91369554068133</v>
      </c>
      <c r="BU6" s="784">
        <v>101.99117751946939</v>
      </c>
      <c r="BV6" s="784">
        <v>102.04811198736712</v>
      </c>
      <c r="BW6" s="784">
        <v>102.29127662888054</v>
      </c>
      <c r="BX6" s="784">
        <v>104.31510943914638</v>
      </c>
      <c r="BY6" s="784">
        <v>103.90829531911905</v>
      </c>
      <c r="BZ6" s="784">
        <v>102.9560769493133</v>
      </c>
      <c r="CA6" s="784">
        <v>102.97968872198625</v>
      </c>
      <c r="CB6" s="784">
        <v>103.10844301315301</v>
      </c>
      <c r="CC6" s="784">
        <v>103.190392298277</v>
      </c>
      <c r="CD6" s="784">
        <v>103.45194078884199</v>
      </c>
      <c r="CE6" s="784">
        <v>103.765712338361</v>
      </c>
      <c r="CF6" s="784">
        <v>103.61671174068</v>
      </c>
      <c r="CG6" s="784">
        <v>104.08924494664301</v>
      </c>
      <c r="CH6" s="784">
        <v>103.98987442692599</v>
      </c>
      <c r="CI6" s="782">
        <v>104.480040144627</v>
      </c>
      <c r="CJ6" s="785">
        <v>105.057085620398</v>
      </c>
      <c r="CK6" s="786">
        <v>104.91741232313299</v>
      </c>
      <c r="CL6" s="784">
        <v>104.852251636275</v>
      </c>
      <c r="CM6" s="784">
        <v>105.164672922257</v>
      </c>
      <c r="CN6" s="784">
        <v>105.34218668349</v>
      </c>
      <c r="CO6" s="784">
        <v>105.599497790859</v>
      </c>
      <c r="CP6" s="784">
        <v>105.90626942741901</v>
      </c>
      <c r="CQ6" s="784">
        <v>105.955303354127</v>
      </c>
      <c r="CR6" s="784">
        <v>106.02127002274401</v>
      </c>
      <c r="CS6" s="784">
        <v>106.403697617586</v>
      </c>
      <c r="CT6" s="784">
        <v>106.36907627341</v>
      </c>
      <c r="CU6" s="784">
        <v>106.422757952099</v>
      </c>
      <c r="CV6" s="784">
        <v>106.45678194863901</v>
      </c>
      <c r="CW6" s="784">
        <v>106.940301882509</v>
      </c>
      <c r="CX6" s="784">
        <v>106.947456122285</v>
      </c>
      <c r="CY6" s="784">
        <v>107.05562921855</v>
      </c>
      <c r="CZ6" s="784">
        <v>107.15971212393499</v>
      </c>
      <c r="DA6" s="784">
        <v>107.151310821728</v>
      </c>
    </row>
    <row r="7" spans="1:105" ht="18">
      <c r="A7" s="782" t="s">
        <v>1603</v>
      </c>
      <c r="B7" s="783">
        <v>1482</v>
      </c>
      <c r="C7" s="784">
        <v>100.03058985410816</v>
      </c>
      <c r="D7" s="784">
        <v>100.08154053281375</v>
      </c>
      <c r="E7" s="784">
        <v>99.760307656330937</v>
      </c>
      <c r="F7" s="784">
        <v>100.52995866813437</v>
      </c>
      <c r="G7" s="784">
        <v>100.04650825130999</v>
      </c>
      <c r="H7" s="784">
        <v>100.37981261049288</v>
      </c>
      <c r="I7" s="784">
        <v>100.38965484937597</v>
      </c>
      <c r="J7" s="784">
        <v>100.54779371542899</v>
      </c>
      <c r="K7" s="784">
        <v>100.57767938610853</v>
      </c>
      <c r="L7" s="784">
        <v>99.898084072113178</v>
      </c>
      <c r="M7" s="784">
        <v>99.739738339593998</v>
      </c>
      <c r="N7" s="784">
        <v>99.150353972615093</v>
      </c>
      <c r="O7" s="784">
        <v>98.737637615755673</v>
      </c>
      <c r="P7" s="784">
        <v>99.273384334927115</v>
      </c>
      <c r="Q7" s="784">
        <v>99.607773910409989</v>
      </c>
      <c r="R7" s="784">
        <v>99.66471104734326</v>
      </c>
      <c r="S7" s="784">
        <v>99.791498407309589</v>
      </c>
      <c r="T7" s="784">
        <v>99.808166519613195</v>
      </c>
      <c r="U7" s="784">
        <v>99.811124269980382</v>
      </c>
      <c r="V7" s="784">
        <v>99.975359718217106</v>
      </c>
      <c r="W7" s="784">
        <v>99.833618966514592</v>
      </c>
      <c r="X7" s="784">
        <v>100.15521802358674</v>
      </c>
      <c r="Y7" s="784">
        <v>99.744622109815182</v>
      </c>
      <c r="Z7" s="784">
        <v>99.721653912630856</v>
      </c>
      <c r="AA7" s="784">
        <v>99.904380687336953</v>
      </c>
      <c r="AB7" s="784">
        <v>99.832182820827384</v>
      </c>
      <c r="AC7" s="782">
        <v>99.939855997318716</v>
      </c>
      <c r="AD7" s="785">
        <v>99.847332537872305</v>
      </c>
      <c r="AE7" s="786">
        <v>99.96162456717272</v>
      </c>
      <c r="AF7" s="784">
        <v>100.02098332297714</v>
      </c>
      <c r="AG7" s="784">
        <v>100.5819936635271</v>
      </c>
      <c r="AH7" s="784">
        <v>100.87263798668376</v>
      </c>
      <c r="AI7" s="784">
        <v>100.71621776654584</v>
      </c>
      <c r="AJ7" s="784">
        <v>100.48819206432077</v>
      </c>
      <c r="AK7" s="784">
        <v>99.698200835034228</v>
      </c>
      <c r="AL7" s="784">
        <v>99.684952375601</v>
      </c>
      <c r="AM7" s="784">
        <v>99.507200575264264</v>
      </c>
      <c r="AN7" s="784">
        <v>99.599874306262194</v>
      </c>
      <c r="AO7" s="784">
        <v>99.883710026679807</v>
      </c>
      <c r="AP7" s="784">
        <v>99.715896824728219</v>
      </c>
      <c r="AQ7" s="784">
        <v>100.48964753441159</v>
      </c>
      <c r="AR7" s="784">
        <v>100.03080186464858</v>
      </c>
      <c r="AS7" s="784">
        <v>100.26037514580149</v>
      </c>
      <c r="AT7" s="784">
        <v>100.20275549532342</v>
      </c>
      <c r="AU7" s="784">
        <v>100.54647754392902</v>
      </c>
      <c r="AV7" s="784">
        <v>100.38010747231644</v>
      </c>
      <c r="AW7" s="784">
        <v>100.63830661923926</v>
      </c>
      <c r="AX7" s="784">
        <v>100.87542820941994</v>
      </c>
      <c r="AY7" s="784">
        <v>100.36069925227986</v>
      </c>
      <c r="AZ7" s="784">
        <v>100.3691869141946</v>
      </c>
      <c r="BA7" s="784">
        <v>100.43533061439196</v>
      </c>
      <c r="BB7" s="784">
        <v>100.41713723259335</v>
      </c>
      <c r="BC7" s="784">
        <v>100.34896238530355</v>
      </c>
      <c r="BD7" s="784">
        <v>100.45183457879361</v>
      </c>
      <c r="BE7" s="784">
        <v>100.6075960308255</v>
      </c>
      <c r="BF7" s="782">
        <v>101.12174070821698</v>
      </c>
      <c r="BG7" s="785">
        <v>101.28063620931454</v>
      </c>
      <c r="BH7" s="786">
        <v>101.62171340168362</v>
      </c>
      <c r="BI7" s="784">
        <v>101.82233008132022</v>
      </c>
      <c r="BJ7" s="784">
        <v>102.43831617928583</v>
      </c>
      <c r="BK7" s="784">
        <v>102.3979518963742</v>
      </c>
      <c r="BL7" s="784">
        <v>102.58393300613852</v>
      </c>
      <c r="BM7" s="784">
        <v>102.54283131454443</v>
      </c>
      <c r="BN7" s="784">
        <v>102.52462618165964</v>
      </c>
      <c r="BO7" s="784">
        <v>102.60750948521658</v>
      </c>
      <c r="BP7" s="784">
        <v>102.75435890643308</v>
      </c>
      <c r="BQ7" s="784">
        <v>103.35113888551822</v>
      </c>
      <c r="BR7" s="784">
        <v>103.90022291363218</v>
      </c>
      <c r="BS7" s="784">
        <v>104.85253192258087</v>
      </c>
      <c r="BT7" s="784">
        <v>104.76064605148053</v>
      </c>
      <c r="BU7" s="784">
        <v>104.45953406971876</v>
      </c>
      <c r="BV7" s="784">
        <v>104.8357666318297</v>
      </c>
      <c r="BW7" s="784">
        <v>104.21099169283413</v>
      </c>
      <c r="BX7" s="784">
        <v>104.58278085447645</v>
      </c>
      <c r="BY7" s="784">
        <v>104.68449269350137</v>
      </c>
      <c r="BZ7" s="784">
        <v>105.38036035344795</v>
      </c>
      <c r="CA7" s="784">
        <v>105.90169037699889</v>
      </c>
      <c r="CB7" s="784">
        <v>107.255887408817</v>
      </c>
      <c r="CC7" s="784">
        <v>108.66092840534399</v>
      </c>
      <c r="CD7" s="784">
        <v>110.96320103970599</v>
      </c>
      <c r="CE7" s="784">
        <v>111.697064001634</v>
      </c>
      <c r="CF7" s="784">
        <v>111.679078871504</v>
      </c>
      <c r="CG7" s="784">
        <v>112.130354198258</v>
      </c>
      <c r="CH7" s="784">
        <v>112.217127023874</v>
      </c>
      <c r="CI7" s="782">
        <v>112.524425461696</v>
      </c>
      <c r="CJ7" s="785">
        <v>112.572541334327</v>
      </c>
      <c r="CK7" s="786">
        <v>113.136843943435</v>
      </c>
      <c r="CL7" s="784">
        <v>113.374735198422</v>
      </c>
      <c r="CM7" s="784">
        <v>114.014609129937</v>
      </c>
      <c r="CN7" s="784">
        <v>115.739787124055</v>
      </c>
      <c r="CO7" s="784">
        <v>115.636326248846</v>
      </c>
      <c r="CP7" s="784">
        <v>115.70398123494699</v>
      </c>
      <c r="CQ7" s="784">
        <v>115.80054463158</v>
      </c>
      <c r="CR7" s="784">
        <v>115.791767721916</v>
      </c>
      <c r="CS7" s="784">
        <v>119.008103429255</v>
      </c>
      <c r="CT7" s="784">
        <v>119.418014522875</v>
      </c>
      <c r="CU7" s="784">
        <v>119.39105825836501</v>
      </c>
      <c r="CV7" s="784">
        <v>119.44744779471699</v>
      </c>
      <c r="CW7" s="784">
        <v>119.764438908035</v>
      </c>
      <c r="CX7" s="784">
        <v>119.80475894599699</v>
      </c>
      <c r="CY7" s="784">
        <v>119.685894187014</v>
      </c>
      <c r="CZ7" s="784">
        <v>119.46525301801501</v>
      </c>
      <c r="DA7" s="784">
        <v>118.902548013892</v>
      </c>
    </row>
    <row r="8" spans="1:105" ht="18">
      <c r="A8" s="782" t="s">
        <v>1604</v>
      </c>
      <c r="B8" s="785">
        <v>324</v>
      </c>
      <c r="C8" s="784">
        <v>95.685599786189599</v>
      </c>
      <c r="D8" s="784">
        <v>95.963562485734116</v>
      </c>
      <c r="E8" s="784">
        <v>95.573111062530316</v>
      </c>
      <c r="F8" s="784">
        <v>95.809164030572987</v>
      </c>
      <c r="G8" s="784">
        <v>95.753225614536376</v>
      </c>
      <c r="H8" s="784">
        <v>95.836008977669906</v>
      </c>
      <c r="I8" s="784">
        <v>96.388591924281869</v>
      </c>
      <c r="J8" s="784">
        <v>96.452424476199241</v>
      </c>
      <c r="K8" s="784">
        <v>96.435414167371036</v>
      </c>
      <c r="L8" s="784">
        <v>96.43966585450984</v>
      </c>
      <c r="M8" s="784">
        <v>97.06171992042151</v>
      </c>
      <c r="N8" s="784">
        <v>97.508529180958035</v>
      </c>
      <c r="O8" s="784">
        <v>97.306273131698731</v>
      </c>
      <c r="P8" s="784">
        <v>97.1701684339737</v>
      </c>
      <c r="Q8" s="784">
        <v>97.526589077477368</v>
      </c>
      <c r="R8" s="784">
        <v>97.62655531148576</v>
      </c>
      <c r="S8" s="784">
        <v>97.732792553119623</v>
      </c>
      <c r="T8" s="784">
        <v>98.040926361282942</v>
      </c>
      <c r="U8" s="784">
        <v>97.887064258941379</v>
      </c>
      <c r="V8" s="784">
        <v>97.976296079232114</v>
      </c>
      <c r="W8" s="784">
        <v>97.887428662313681</v>
      </c>
      <c r="X8" s="784">
        <v>98.165249080935467</v>
      </c>
      <c r="Y8" s="784">
        <v>98.332880762554723</v>
      </c>
      <c r="Z8" s="784">
        <v>98.295550256184029</v>
      </c>
      <c r="AA8" s="784">
        <v>98.481171033271721</v>
      </c>
      <c r="AB8" s="784">
        <v>98.986578126417967</v>
      </c>
      <c r="AC8" s="782">
        <v>98.801001905657742</v>
      </c>
      <c r="AD8" s="785">
        <v>98.751478084032527</v>
      </c>
      <c r="AE8" s="786">
        <v>98.704691582161885</v>
      </c>
      <c r="AF8" s="784">
        <v>98.980348809201985</v>
      </c>
      <c r="AG8" s="784">
        <v>98.978053181141846</v>
      </c>
      <c r="AH8" s="784">
        <v>99.075471323545415</v>
      </c>
      <c r="AI8" s="784">
        <v>99.250706253721447</v>
      </c>
      <c r="AJ8" s="784">
        <v>99.212243368176644</v>
      </c>
      <c r="AK8" s="784">
        <v>99.116523945264134</v>
      </c>
      <c r="AL8" s="784">
        <v>99.590088022014712</v>
      </c>
      <c r="AM8" s="784">
        <v>99.554658751858568</v>
      </c>
      <c r="AN8" s="784">
        <v>99.841081304439626</v>
      </c>
      <c r="AO8" s="784">
        <v>99.80767395322043</v>
      </c>
      <c r="AP8" s="784">
        <v>100.0759825001917</v>
      </c>
      <c r="AQ8" s="784">
        <v>100.14018196980201</v>
      </c>
      <c r="AR8" s="784">
        <v>100.41571928024871</v>
      </c>
      <c r="AS8" s="784">
        <v>100.34323419198782</v>
      </c>
      <c r="AT8" s="784">
        <v>100.09983443922341</v>
      </c>
      <c r="AU8" s="784">
        <v>100.73746375341904</v>
      </c>
      <c r="AV8" s="784">
        <v>100.27755788832999</v>
      </c>
      <c r="AW8" s="784">
        <v>100.60953707001148</v>
      </c>
      <c r="AX8" s="784">
        <v>100.68682860179051</v>
      </c>
      <c r="AY8" s="784">
        <v>100.47028542227655</v>
      </c>
      <c r="AZ8" s="784">
        <v>100.49120399210058</v>
      </c>
      <c r="BA8" s="784">
        <v>100.61972551433895</v>
      </c>
      <c r="BB8" s="784">
        <v>100.81148865787003</v>
      </c>
      <c r="BC8" s="784">
        <v>100.75103318991785</v>
      </c>
      <c r="BD8" s="784">
        <v>100.92804952072005</v>
      </c>
      <c r="BE8" s="784">
        <v>100.50243095441152</v>
      </c>
      <c r="BF8" s="782">
        <v>101.20737998974523</v>
      </c>
      <c r="BG8" s="785">
        <v>100.59803256662387</v>
      </c>
      <c r="BH8" s="786">
        <v>100.73183490847649</v>
      </c>
      <c r="BI8" s="784">
        <v>100.78941982150445</v>
      </c>
      <c r="BJ8" s="784">
        <v>100.98597282672475</v>
      </c>
      <c r="BK8" s="784">
        <v>101.13227867537481</v>
      </c>
      <c r="BL8" s="784">
        <v>101.60406817748418</v>
      </c>
      <c r="BM8" s="784">
        <v>101.39075156345868</v>
      </c>
      <c r="BN8" s="784">
        <v>101.53527865962953</v>
      </c>
      <c r="BO8" s="784">
        <v>101.87336275096189</v>
      </c>
      <c r="BP8" s="784">
        <v>102.46348781546797</v>
      </c>
      <c r="BQ8" s="784">
        <v>102.29058737476038</v>
      </c>
      <c r="BR8" s="784">
        <v>102.19736857898801</v>
      </c>
      <c r="BS8" s="784">
        <v>102.52724218568126</v>
      </c>
      <c r="BT8" s="784">
        <v>102.60011056763219</v>
      </c>
      <c r="BU8" s="784">
        <v>100.90096227119442</v>
      </c>
      <c r="BV8" s="784">
        <v>101.94882009679309</v>
      </c>
      <c r="BW8" s="784">
        <v>103.21895483039866</v>
      </c>
      <c r="BX8" s="784">
        <v>105.12736620942279</v>
      </c>
      <c r="BY8" s="784">
        <v>104.70711350695764</v>
      </c>
      <c r="BZ8" s="784">
        <v>104.63059329413488</v>
      </c>
      <c r="CA8" s="784">
        <v>106.43523692804112</v>
      </c>
      <c r="CB8" s="784">
        <v>106.222044734637</v>
      </c>
      <c r="CC8" s="784">
        <v>108.26407578465199</v>
      </c>
      <c r="CD8" s="784">
        <v>109.214477209545</v>
      </c>
      <c r="CE8" s="784">
        <v>109.42386560111601</v>
      </c>
      <c r="CF8" s="784">
        <v>110.07531217574601</v>
      </c>
      <c r="CG8" s="784">
        <v>112.488151687211</v>
      </c>
      <c r="CH8" s="784">
        <v>112.68745823248101</v>
      </c>
      <c r="CI8" s="782">
        <v>114.32260808417099</v>
      </c>
      <c r="CJ8" s="785">
        <v>116.448131759552</v>
      </c>
      <c r="CK8" s="786">
        <v>117.05945286537001</v>
      </c>
      <c r="CL8" s="784">
        <v>116.198104942847</v>
      </c>
      <c r="CM8" s="784">
        <v>117.091165336638</v>
      </c>
      <c r="CN8" s="784">
        <v>117.433991752303</v>
      </c>
      <c r="CO8" s="784">
        <v>118.246625127751</v>
      </c>
      <c r="CP8" s="784">
        <v>118.322743152939</v>
      </c>
      <c r="CQ8" s="784">
        <v>118.355771839076</v>
      </c>
      <c r="CR8" s="784">
        <v>120.321659315925</v>
      </c>
      <c r="CS8" s="784">
        <v>119.375108926645</v>
      </c>
      <c r="CT8" s="784">
        <v>120.50190569657801</v>
      </c>
      <c r="CU8" s="784">
        <v>119.98220300721199</v>
      </c>
      <c r="CV8" s="784">
        <v>121.223037429738</v>
      </c>
      <c r="CW8" s="784">
        <v>120.82373634136501</v>
      </c>
      <c r="CX8" s="784">
        <v>121.073567354769</v>
      </c>
      <c r="CY8" s="784">
        <v>120.914517296227</v>
      </c>
      <c r="CZ8" s="784">
        <v>121.564083131072</v>
      </c>
      <c r="DA8" s="784">
        <v>121.49130448912</v>
      </c>
    </row>
    <row r="9" spans="1:105" ht="18">
      <c r="A9" s="782" t="s">
        <v>1605</v>
      </c>
      <c r="B9" s="785">
        <v>447</v>
      </c>
      <c r="C9" s="784">
        <v>83.108379746646321</v>
      </c>
      <c r="D9" s="784">
        <v>83.71170342322236</v>
      </c>
      <c r="E9" s="784">
        <v>83.565884733946262</v>
      </c>
      <c r="F9" s="784">
        <v>84.457578233633967</v>
      </c>
      <c r="G9" s="784">
        <v>84.19025351072888</v>
      </c>
      <c r="H9" s="784">
        <v>94.107384648258289</v>
      </c>
      <c r="I9" s="784">
        <v>93.872168927193755</v>
      </c>
      <c r="J9" s="784">
        <v>93.291059945786458</v>
      </c>
      <c r="K9" s="784">
        <v>92.891920714333864</v>
      </c>
      <c r="L9" s="784">
        <v>93.245887321599312</v>
      </c>
      <c r="M9" s="784">
        <v>92.969394832461305</v>
      </c>
      <c r="N9" s="784">
        <v>93.444655723438387</v>
      </c>
      <c r="O9" s="784">
        <v>94.166294148309177</v>
      </c>
      <c r="P9" s="784">
        <v>94.057682260853241</v>
      </c>
      <c r="Q9" s="784">
        <v>93.827864416472977</v>
      </c>
      <c r="R9" s="784">
        <v>94.161329658540552</v>
      </c>
      <c r="S9" s="784">
        <v>94.521395627333234</v>
      </c>
      <c r="T9" s="784">
        <v>94.84634991077084</v>
      </c>
      <c r="U9" s="784">
        <v>95.042679087795378</v>
      </c>
      <c r="V9" s="784">
        <v>95.303964301148767</v>
      </c>
      <c r="W9" s="784">
        <v>95.384108036605085</v>
      </c>
      <c r="X9" s="784">
        <v>95.610232343316198</v>
      </c>
      <c r="Y9" s="784">
        <v>94.922450114601219</v>
      </c>
      <c r="Z9" s="784">
        <v>95.364469850618619</v>
      </c>
      <c r="AA9" s="784">
        <v>95.46304245944232</v>
      </c>
      <c r="AB9" s="784">
        <v>96.184631098998977</v>
      </c>
      <c r="AC9" s="782">
        <v>96.252361204535845</v>
      </c>
      <c r="AD9" s="785">
        <v>96.04423587172009</v>
      </c>
      <c r="AE9" s="786">
        <v>95.891035643981823</v>
      </c>
      <c r="AF9" s="784">
        <v>96.230274848075496</v>
      </c>
      <c r="AG9" s="784">
        <v>96.223560956075346</v>
      </c>
      <c r="AH9" s="784">
        <v>96.037375991450915</v>
      </c>
      <c r="AI9" s="784">
        <v>96.3714622853322</v>
      </c>
      <c r="AJ9" s="784">
        <v>96.565399995553292</v>
      </c>
      <c r="AK9" s="784">
        <v>96.714638242030233</v>
      </c>
      <c r="AL9" s="784">
        <v>97.858023786121805</v>
      </c>
      <c r="AM9" s="784">
        <v>98.110091968126028</v>
      </c>
      <c r="AN9" s="784">
        <v>98.428723629524015</v>
      </c>
      <c r="AO9" s="784">
        <v>99.511557806084184</v>
      </c>
      <c r="AP9" s="784">
        <v>100.3354695019664</v>
      </c>
      <c r="AQ9" s="784">
        <v>100.56145827838874</v>
      </c>
      <c r="AR9" s="784">
        <v>101.06738113336192</v>
      </c>
      <c r="AS9" s="784">
        <v>101.62781857716038</v>
      </c>
      <c r="AT9" s="784">
        <v>101.95754380062347</v>
      </c>
      <c r="AU9" s="784">
        <v>101.72368272056437</v>
      </c>
      <c r="AV9" s="784">
        <v>102.10361055604844</v>
      </c>
      <c r="AW9" s="784">
        <v>105.14685500661609</v>
      </c>
      <c r="AX9" s="784">
        <v>109.27060415072471</v>
      </c>
      <c r="AY9" s="784">
        <v>109.22178386224289</v>
      </c>
      <c r="AZ9" s="784">
        <v>109.13373003588009</v>
      </c>
      <c r="BA9" s="784">
        <v>109.24625186744714</v>
      </c>
      <c r="BB9" s="784">
        <v>109.40919870754374</v>
      </c>
      <c r="BC9" s="784">
        <v>109.22242385185535</v>
      </c>
      <c r="BD9" s="784">
        <v>109.55236916341553</v>
      </c>
      <c r="BE9" s="784">
        <v>109.55880651951402</v>
      </c>
      <c r="BF9" s="782">
        <v>109.8640558712099</v>
      </c>
      <c r="BG9" s="785">
        <v>109.98644995407754</v>
      </c>
      <c r="BH9" s="786">
        <v>111.53179063912599</v>
      </c>
      <c r="BI9" s="784">
        <v>111.8313246220859</v>
      </c>
      <c r="BJ9" s="784">
        <v>112.06781959475279</v>
      </c>
      <c r="BK9" s="784">
        <v>112.0329907182649</v>
      </c>
      <c r="BL9" s="784">
        <v>112.12460765598406</v>
      </c>
      <c r="BM9" s="784">
        <v>113.03147245408128</v>
      </c>
      <c r="BN9" s="784">
        <v>113.45098378173336</v>
      </c>
      <c r="BO9" s="784">
        <v>113.50129585588559</v>
      </c>
      <c r="BP9" s="784">
        <v>113.73774588885907</v>
      </c>
      <c r="BQ9" s="784">
        <v>114.19556071745626</v>
      </c>
      <c r="BR9" s="784">
        <v>114.16138336524455</v>
      </c>
      <c r="BS9" s="784">
        <v>114.99612215121287</v>
      </c>
      <c r="BT9" s="784">
        <v>115.36870066103974</v>
      </c>
      <c r="BU9" s="784">
        <v>116.06059596502291</v>
      </c>
      <c r="BV9" s="784">
        <v>116.75828398715407</v>
      </c>
      <c r="BW9" s="784">
        <v>114.97815362109161</v>
      </c>
      <c r="BX9" s="784">
        <v>114.95650412725954</v>
      </c>
      <c r="BY9" s="784">
        <v>115.09712068205275</v>
      </c>
      <c r="BZ9" s="784">
        <v>114.9767562301047</v>
      </c>
      <c r="CA9" s="784">
        <v>115.45585991747127</v>
      </c>
      <c r="CB9" s="784">
        <v>119.62971633454001</v>
      </c>
      <c r="CC9" s="784">
        <v>120.418749858323</v>
      </c>
      <c r="CD9" s="784">
        <v>120.91333543633399</v>
      </c>
      <c r="CE9" s="784">
        <v>120.98018280712201</v>
      </c>
      <c r="CF9" s="784">
        <v>120.48038644179699</v>
      </c>
      <c r="CG9" s="784">
        <v>120.49963049371399</v>
      </c>
      <c r="CH9" s="784">
        <v>119.48226746234</v>
      </c>
      <c r="CI9" s="782">
        <v>119.940663233951</v>
      </c>
      <c r="CJ9" s="785">
        <v>119.51128852839</v>
      </c>
      <c r="CK9" s="786">
        <v>119.93946810604101</v>
      </c>
      <c r="CL9" s="784">
        <v>119.713774240265</v>
      </c>
      <c r="CM9" s="784">
        <v>120.06005866447499</v>
      </c>
      <c r="CN9" s="784">
        <v>119.585356161028</v>
      </c>
      <c r="CO9" s="784">
        <v>119.60126510549701</v>
      </c>
      <c r="CP9" s="784">
        <v>119.927580274037</v>
      </c>
      <c r="CQ9" s="784">
        <v>119.381812271268</v>
      </c>
      <c r="CR9" s="784">
        <v>118.995411206361</v>
      </c>
      <c r="CS9" s="784">
        <v>119.243560779383</v>
      </c>
      <c r="CT9" s="784">
        <v>119.095858551614</v>
      </c>
      <c r="CU9" s="784">
        <v>118.9158192507</v>
      </c>
      <c r="CV9" s="784">
        <v>119.332247860021</v>
      </c>
      <c r="CW9" s="784">
        <v>119.16788328083901</v>
      </c>
      <c r="CX9" s="784">
        <v>119.47783686738001</v>
      </c>
      <c r="CY9" s="784">
        <v>120.007319034609</v>
      </c>
      <c r="CZ9" s="784">
        <v>120.066637240183</v>
      </c>
      <c r="DA9" s="784">
        <v>120.495841770086</v>
      </c>
    </row>
    <row r="10" spans="1:105" ht="18">
      <c r="A10" s="782" t="s">
        <v>1606</v>
      </c>
      <c r="B10" s="785">
        <v>604</v>
      </c>
      <c r="C10" s="784">
        <v>95.057526302160014</v>
      </c>
      <c r="D10" s="784">
        <v>95.358949709609405</v>
      </c>
      <c r="E10" s="784">
        <v>95.19594594146939</v>
      </c>
      <c r="F10" s="784">
        <v>95.667354549769797</v>
      </c>
      <c r="G10" s="784">
        <v>95.31974247802394</v>
      </c>
      <c r="H10" s="784">
        <v>95.404209993076137</v>
      </c>
      <c r="I10" s="784">
        <v>95.665648965395548</v>
      </c>
      <c r="J10" s="784">
        <v>95.936131897830933</v>
      </c>
      <c r="K10" s="784">
        <v>95.977212974490996</v>
      </c>
      <c r="L10" s="784">
        <v>96.036853612049342</v>
      </c>
      <c r="M10" s="784">
        <v>95.831311084823213</v>
      </c>
      <c r="N10" s="784">
        <v>95.844762472198838</v>
      </c>
      <c r="O10" s="784">
        <v>95.862250818320192</v>
      </c>
      <c r="P10" s="784">
        <v>95.879642823454873</v>
      </c>
      <c r="Q10" s="784">
        <v>95.942010740117496</v>
      </c>
      <c r="R10" s="784">
        <v>95.987526847305446</v>
      </c>
      <c r="S10" s="784">
        <v>96.282244415539395</v>
      </c>
      <c r="T10" s="784">
        <v>96.295805047281135</v>
      </c>
      <c r="U10" s="784">
        <v>95.892474760532679</v>
      </c>
      <c r="V10" s="784">
        <v>96.494533354843696</v>
      </c>
      <c r="W10" s="784">
        <v>95.571778070735078</v>
      </c>
      <c r="X10" s="784">
        <v>95.895335243144743</v>
      </c>
      <c r="Y10" s="784">
        <v>96.648638717839887</v>
      </c>
      <c r="Z10" s="784">
        <v>96.468088906872694</v>
      </c>
      <c r="AA10" s="784">
        <v>96.339105492463645</v>
      </c>
      <c r="AB10" s="784">
        <v>96.371582023741269</v>
      </c>
      <c r="AC10" s="782">
        <v>96.451984257432187</v>
      </c>
      <c r="AD10" s="785">
        <v>96.11643447773686</v>
      </c>
      <c r="AE10" s="786">
        <v>96.161187695400983</v>
      </c>
      <c r="AF10" s="784">
        <v>96.428615206456286</v>
      </c>
      <c r="AG10" s="784">
        <v>95.226072000123025</v>
      </c>
      <c r="AH10" s="784">
        <v>95.697734766827907</v>
      </c>
      <c r="AI10" s="784">
        <v>98.122638825082333</v>
      </c>
      <c r="AJ10" s="784">
        <v>99.489043311410583</v>
      </c>
      <c r="AK10" s="784">
        <v>99.790093209057929</v>
      </c>
      <c r="AL10" s="784">
        <v>99.43153090050599</v>
      </c>
      <c r="AM10" s="784">
        <v>99.554561812209116</v>
      </c>
      <c r="AN10" s="784">
        <v>99.692958558848275</v>
      </c>
      <c r="AO10" s="784">
        <v>99.739321161620552</v>
      </c>
      <c r="AP10" s="784">
        <v>100.12985117282705</v>
      </c>
      <c r="AQ10" s="784">
        <v>99.846325728823075</v>
      </c>
      <c r="AR10" s="784">
        <v>100.43908769127565</v>
      </c>
      <c r="AS10" s="784">
        <v>100.33176661546536</v>
      </c>
      <c r="AT10" s="784">
        <v>100.30298388527623</v>
      </c>
      <c r="AU10" s="784">
        <v>100.37685190634745</v>
      </c>
      <c r="AV10" s="784">
        <v>100.36466735774303</v>
      </c>
      <c r="AW10" s="784">
        <v>100.37827712772904</v>
      </c>
      <c r="AX10" s="784">
        <v>100.23636242173507</v>
      </c>
      <c r="AY10" s="784">
        <v>100.44768770097112</v>
      </c>
      <c r="AZ10" s="784">
        <v>100.44807958457561</v>
      </c>
      <c r="BA10" s="784">
        <v>100.45514588282094</v>
      </c>
      <c r="BB10" s="784">
        <v>100.4378770966685</v>
      </c>
      <c r="BC10" s="784">
        <v>100.45703413519242</v>
      </c>
      <c r="BD10" s="784">
        <v>100.28807818847967</v>
      </c>
      <c r="BE10" s="784">
        <v>100.92642302642035</v>
      </c>
      <c r="BF10" s="782">
        <v>101.10887387775877</v>
      </c>
      <c r="BG10" s="785">
        <v>101.14123865926543</v>
      </c>
      <c r="BH10" s="786">
        <v>101.50223959610103</v>
      </c>
      <c r="BI10" s="784">
        <v>101.46363356206066</v>
      </c>
      <c r="BJ10" s="784">
        <v>101.6323541776642</v>
      </c>
      <c r="BK10" s="784">
        <v>102.54823363552813</v>
      </c>
      <c r="BL10" s="784">
        <v>102.54504229733148</v>
      </c>
      <c r="BM10" s="784">
        <v>102.38713470627798</v>
      </c>
      <c r="BN10" s="784">
        <v>102.37187225472871</v>
      </c>
      <c r="BO10" s="784">
        <v>102.5919603903285</v>
      </c>
      <c r="BP10" s="784">
        <v>102.25272962303285</v>
      </c>
      <c r="BQ10" s="784">
        <v>102.7109044983075</v>
      </c>
      <c r="BR10" s="784">
        <v>102.93298827743851</v>
      </c>
      <c r="BS10" s="784">
        <v>103.01902047416293</v>
      </c>
      <c r="BT10" s="784">
        <v>102.94468902880098</v>
      </c>
      <c r="BU10" s="784">
        <v>103.11591168628239</v>
      </c>
      <c r="BV10" s="784">
        <v>103.029413018998</v>
      </c>
      <c r="BW10" s="784">
        <v>103.16946671481607</v>
      </c>
      <c r="BX10" s="784">
        <v>103.34193077153986</v>
      </c>
      <c r="BY10" s="784">
        <v>103.37245860504029</v>
      </c>
      <c r="BZ10" s="784">
        <v>103.09357524801844</v>
      </c>
      <c r="CA10" s="784">
        <v>106.34939621962599</v>
      </c>
      <c r="CB10" s="784">
        <v>110.05598128021199</v>
      </c>
      <c r="CC10" s="784">
        <v>112.15900107005</v>
      </c>
      <c r="CD10" s="784">
        <v>112.866496989376</v>
      </c>
      <c r="CE10" s="784">
        <v>112.430310658129</v>
      </c>
      <c r="CF10" s="784">
        <v>113.293203334569</v>
      </c>
      <c r="CG10" s="784">
        <v>114.62641615328</v>
      </c>
      <c r="CH10" s="784">
        <v>114.68488223691701</v>
      </c>
      <c r="CI10" s="782">
        <v>115.37963775010699</v>
      </c>
      <c r="CJ10" s="785">
        <v>118.39925130503801</v>
      </c>
      <c r="CK10" s="786">
        <v>119.981305992939</v>
      </c>
      <c r="CL10" s="784">
        <v>121.213766266793</v>
      </c>
      <c r="CM10" s="784">
        <v>122.045932928585</v>
      </c>
      <c r="CN10" s="784">
        <v>122.813938799794</v>
      </c>
      <c r="CO10" s="784">
        <v>123.31382187989099</v>
      </c>
      <c r="CP10" s="784">
        <v>123.76395210305201</v>
      </c>
      <c r="CQ10" s="784">
        <v>123.66568705840101</v>
      </c>
      <c r="CR10" s="784">
        <v>125.532634369691</v>
      </c>
      <c r="CS10" s="784">
        <v>125.520048973032</v>
      </c>
      <c r="CT10" s="784">
        <v>125.891192882973</v>
      </c>
      <c r="CU10" s="784">
        <v>125.91813984988001</v>
      </c>
      <c r="CV10" s="784">
        <v>126.14907691502199</v>
      </c>
      <c r="CW10" s="784">
        <v>126.087366089103</v>
      </c>
      <c r="CX10" s="784">
        <v>126.15101308239601</v>
      </c>
      <c r="CY10" s="784">
        <v>126.326969820448</v>
      </c>
      <c r="CZ10" s="784">
        <v>126.45145690334699</v>
      </c>
      <c r="DA10" s="784">
        <v>127.03009329571201</v>
      </c>
    </row>
    <row r="11" spans="1:105" ht="18">
      <c r="A11" s="782" t="s">
        <v>1607</v>
      </c>
      <c r="B11" s="785">
        <v>679</v>
      </c>
      <c r="C11" s="784">
        <v>100.77161201458182</v>
      </c>
      <c r="D11" s="784">
        <v>100.98468909102277</v>
      </c>
      <c r="E11" s="784">
        <v>100.24628337249301</v>
      </c>
      <c r="F11" s="784">
        <v>98.869205990362673</v>
      </c>
      <c r="G11" s="784">
        <v>100.11711417192548</v>
      </c>
      <c r="H11" s="784">
        <v>99.764070575218071</v>
      </c>
      <c r="I11" s="784">
        <v>97.269273562251158</v>
      </c>
      <c r="J11" s="784">
        <v>106.0066685417743</v>
      </c>
      <c r="K11" s="784">
        <v>111.1144124348121</v>
      </c>
      <c r="L11" s="784">
        <v>107.89153420964982</v>
      </c>
      <c r="M11" s="784">
        <v>99.874636887831031</v>
      </c>
      <c r="N11" s="784">
        <v>102.34846926849693</v>
      </c>
      <c r="O11" s="784">
        <v>102.40131831644604</v>
      </c>
      <c r="P11" s="784">
        <v>99.812155757479957</v>
      </c>
      <c r="Q11" s="784">
        <v>93.815076992136298</v>
      </c>
      <c r="R11" s="784">
        <v>97.47814273236159</v>
      </c>
      <c r="S11" s="784">
        <v>97.311624165822977</v>
      </c>
      <c r="T11" s="784">
        <v>97.762796595402236</v>
      </c>
      <c r="U11" s="784">
        <v>97.392718719956122</v>
      </c>
      <c r="V11" s="784">
        <v>92.749360810584392</v>
      </c>
      <c r="W11" s="784">
        <v>100.4812400146683</v>
      </c>
      <c r="X11" s="784">
        <v>101.62242062583935</v>
      </c>
      <c r="Y11" s="784">
        <v>102.33801485763561</v>
      </c>
      <c r="Z11" s="784">
        <v>99.224708727810608</v>
      </c>
      <c r="AA11" s="784">
        <v>101.29419952512153</v>
      </c>
      <c r="AB11" s="784">
        <v>101.25838419460726</v>
      </c>
      <c r="AC11" s="782">
        <v>99.71344519480165</v>
      </c>
      <c r="AD11" s="785">
        <v>101.953779476119</v>
      </c>
      <c r="AE11" s="786">
        <v>101.96843661553187</v>
      </c>
      <c r="AF11" s="784">
        <v>101.62409947094091</v>
      </c>
      <c r="AG11" s="784">
        <v>98.808031127369645</v>
      </c>
      <c r="AH11" s="784">
        <v>98.311028805788823</v>
      </c>
      <c r="AI11" s="784">
        <v>99.069325851485956</v>
      </c>
      <c r="AJ11" s="784">
        <v>98.699019562964708</v>
      </c>
      <c r="AK11" s="784">
        <v>100.30080446843513</v>
      </c>
      <c r="AL11" s="784">
        <v>100.66387963379853</v>
      </c>
      <c r="AM11" s="784">
        <v>100.01338731287484</v>
      </c>
      <c r="AN11" s="784">
        <v>100.03591101078258</v>
      </c>
      <c r="AO11" s="784">
        <v>97.87029939960189</v>
      </c>
      <c r="AP11" s="784">
        <v>100.40469536051936</v>
      </c>
      <c r="AQ11" s="784">
        <v>99.227298430301815</v>
      </c>
      <c r="AR11" s="784">
        <v>99.237344214488971</v>
      </c>
      <c r="AS11" s="784">
        <v>100.63921302088471</v>
      </c>
      <c r="AT11" s="784">
        <v>98.793221289351294</v>
      </c>
      <c r="AU11" s="784">
        <v>101.25236907283406</v>
      </c>
      <c r="AV11" s="784">
        <v>101.56157678612675</v>
      </c>
      <c r="AW11" s="784">
        <v>101.65677227284409</v>
      </c>
      <c r="AX11" s="784">
        <v>99.960047457765882</v>
      </c>
      <c r="AY11" s="784">
        <v>100.35960138989695</v>
      </c>
      <c r="AZ11" s="784">
        <v>101.03861823010043</v>
      </c>
      <c r="BA11" s="784">
        <v>100.79641096181287</v>
      </c>
      <c r="BB11" s="784">
        <v>102.42303737860081</v>
      </c>
      <c r="BC11" s="784">
        <v>102.41760214866872</v>
      </c>
      <c r="BD11" s="784">
        <v>103.90743336597433</v>
      </c>
      <c r="BE11" s="784">
        <v>102.34510384067939</v>
      </c>
      <c r="BF11" s="782">
        <v>102.75724976161381</v>
      </c>
      <c r="BG11" s="785">
        <v>102.38556070432629</v>
      </c>
      <c r="BH11" s="786">
        <v>101.52563241055807</v>
      </c>
      <c r="BI11" s="784">
        <v>102.73915230407982</v>
      </c>
      <c r="BJ11" s="784">
        <v>102.43009318037716</v>
      </c>
      <c r="BK11" s="784">
        <v>103.91035017378371</v>
      </c>
      <c r="BL11" s="784">
        <v>102.40081546169336</v>
      </c>
      <c r="BM11" s="784">
        <v>102.95103658505658</v>
      </c>
      <c r="BN11" s="784">
        <v>101.39322383490477</v>
      </c>
      <c r="BO11" s="784">
        <v>103.06827390480858</v>
      </c>
      <c r="BP11" s="784">
        <v>104.12089403427524</v>
      </c>
      <c r="BQ11" s="784">
        <v>102.4794083395166</v>
      </c>
      <c r="BR11" s="784">
        <v>101.7259875062967</v>
      </c>
      <c r="BS11" s="784">
        <v>102.16085986498757</v>
      </c>
      <c r="BT11" s="784">
        <v>102.16693603190836</v>
      </c>
      <c r="BU11" s="784">
        <v>103.70646388297361</v>
      </c>
      <c r="BV11" s="784">
        <v>101.81456010542448</v>
      </c>
      <c r="BW11" s="784">
        <v>103.71535272154428</v>
      </c>
      <c r="BX11" s="784">
        <v>104.41294902380692</v>
      </c>
      <c r="BY11" s="784">
        <v>104.43981453446027</v>
      </c>
      <c r="BZ11" s="784">
        <v>104.39179575839159</v>
      </c>
      <c r="CA11" s="784">
        <v>104.40997192642841</v>
      </c>
      <c r="CB11" s="784">
        <v>104.661382626875</v>
      </c>
      <c r="CC11" s="784">
        <v>104.669684385769</v>
      </c>
      <c r="CD11" s="784">
        <v>103.47110862832901</v>
      </c>
      <c r="CE11" s="784">
        <v>101.711258924361</v>
      </c>
      <c r="CF11" s="784">
        <v>100.281486144581</v>
      </c>
      <c r="CG11" s="784">
        <v>99.821849355966094</v>
      </c>
      <c r="CH11" s="784">
        <v>97.703530945655103</v>
      </c>
      <c r="CI11" s="782">
        <v>98.299547927493705</v>
      </c>
      <c r="CJ11" s="785">
        <v>98.2970649278856</v>
      </c>
      <c r="CK11" s="786">
        <v>99.360451200145704</v>
      </c>
      <c r="CL11" s="784">
        <v>101.776042858997</v>
      </c>
      <c r="CM11" s="784">
        <v>100.352280004642</v>
      </c>
      <c r="CN11" s="784">
        <v>100.685365778994</v>
      </c>
      <c r="CO11" s="784">
        <v>98.807472529518193</v>
      </c>
      <c r="CP11" s="784">
        <v>103.92299125669</v>
      </c>
      <c r="CQ11" s="784">
        <v>101.750014100719</v>
      </c>
      <c r="CR11" s="784">
        <v>102.202607726333</v>
      </c>
      <c r="CS11" s="784">
        <v>102.191080483551</v>
      </c>
      <c r="CT11" s="784">
        <v>101.750014100719</v>
      </c>
      <c r="CU11" s="784">
        <v>102.19988045564401</v>
      </c>
      <c r="CV11" s="784">
        <v>101.743500230599</v>
      </c>
      <c r="CW11" s="784">
        <v>102.20291015516101</v>
      </c>
      <c r="CX11" s="784">
        <v>101.751147774625</v>
      </c>
      <c r="CY11" s="784">
        <v>102.193834130388</v>
      </c>
      <c r="CZ11" s="784">
        <v>102.23050077870199</v>
      </c>
      <c r="DA11" s="784">
        <v>101.75349753165401</v>
      </c>
    </row>
    <row r="12" spans="1:105" ht="18">
      <c r="A12" s="782" t="s">
        <v>1608</v>
      </c>
      <c r="B12" s="785">
        <v>118</v>
      </c>
      <c r="C12" s="784">
        <v>93.371683083073819</v>
      </c>
      <c r="D12" s="784">
        <v>93.971833908709527</v>
      </c>
      <c r="E12" s="784">
        <v>93.184649244350425</v>
      </c>
      <c r="F12" s="784">
        <v>93.459968383357065</v>
      </c>
      <c r="G12" s="784">
        <v>93.28075663895342</v>
      </c>
      <c r="H12" s="784">
        <v>93.378880117976877</v>
      </c>
      <c r="I12" s="784">
        <v>93.381664743255172</v>
      </c>
      <c r="J12" s="784">
        <v>94.688685652224564</v>
      </c>
      <c r="K12" s="784">
        <v>94.026206328691472</v>
      </c>
      <c r="L12" s="784">
        <v>93.921999203168639</v>
      </c>
      <c r="M12" s="784">
        <v>94.304349495215163</v>
      </c>
      <c r="N12" s="784">
        <v>95.015448700860361</v>
      </c>
      <c r="O12" s="784">
        <v>94.778881060989406</v>
      </c>
      <c r="P12" s="784">
        <v>95.371955071319363</v>
      </c>
      <c r="Q12" s="784">
        <v>95.749087037360255</v>
      </c>
      <c r="R12" s="784">
        <v>95.528095030568991</v>
      </c>
      <c r="S12" s="784">
        <v>95.214454356060216</v>
      </c>
      <c r="T12" s="784">
        <v>95.710702341269368</v>
      </c>
      <c r="U12" s="784">
        <v>96.642458428486478</v>
      </c>
      <c r="V12" s="784">
        <v>97.216699144279588</v>
      </c>
      <c r="W12" s="784">
        <v>96.842568543557121</v>
      </c>
      <c r="X12" s="784">
        <v>96.471146356157064</v>
      </c>
      <c r="Y12" s="784">
        <v>97.35756595479701</v>
      </c>
      <c r="Z12" s="784">
        <v>97.6041110498021</v>
      </c>
      <c r="AA12" s="784">
        <v>97.302304501035053</v>
      </c>
      <c r="AB12" s="784">
        <v>97.74689415866662</v>
      </c>
      <c r="AC12" s="782">
        <v>97.112514868027105</v>
      </c>
      <c r="AD12" s="785">
        <v>97.118084916650432</v>
      </c>
      <c r="AE12" s="786">
        <v>97.868475568034725</v>
      </c>
      <c r="AF12" s="784">
        <v>98.466543155187281</v>
      </c>
      <c r="AG12" s="784">
        <v>99.262520083759156</v>
      </c>
      <c r="AH12" s="784">
        <v>99.634079451497627</v>
      </c>
      <c r="AI12" s="784">
        <v>99.652167525259642</v>
      </c>
      <c r="AJ12" s="784">
        <v>99.354091823126581</v>
      </c>
      <c r="AK12" s="784">
        <v>99.727925547062682</v>
      </c>
      <c r="AL12" s="784">
        <v>99.67315379600204</v>
      </c>
      <c r="AM12" s="784">
        <v>99.188828883958777</v>
      </c>
      <c r="AN12" s="784">
        <v>99.543947005147402</v>
      </c>
      <c r="AO12" s="784">
        <v>99.590549941699152</v>
      </c>
      <c r="AP12" s="784">
        <v>99.780470442702565</v>
      </c>
      <c r="AQ12" s="784">
        <v>99.726801973700987</v>
      </c>
      <c r="AR12" s="784">
        <v>99.821778850127345</v>
      </c>
      <c r="AS12" s="784">
        <v>99.980425704323977</v>
      </c>
      <c r="AT12" s="784">
        <v>101.22583249984912</v>
      </c>
      <c r="AU12" s="784">
        <v>100.97171347557602</v>
      </c>
      <c r="AV12" s="784">
        <v>100.76857187984999</v>
      </c>
      <c r="AW12" s="784">
        <v>100.47546900414534</v>
      </c>
      <c r="AX12" s="784">
        <v>100.43365708964555</v>
      </c>
      <c r="AY12" s="784">
        <v>101.00920287413628</v>
      </c>
      <c r="AZ12" s="784">
        <v>101.05072893712838</v>
      </c>
      <c r="BA12" s="784">
        <v>101.12795323216959</v>
      </c>
      <c r="BB12" s="784">
        <v>101.09109343504809</v>
      </c>
      <c r="BC12" s="784">
        <v>101.18134449541603</v>
      </c>
      <c r="BD12" s="784">
        <v>101.21629940329805</v>
      </c>
      <c r="BE12" s="784">
        <v>101.17131206829376</v>
      </c>
      <c r="BF12" s="782">
        <v>100.60166130735247</v>
      </c>
      <c r="BG12" s="785">
        <v>100.99985555853831</v>
      </c>
      <c r="BH12" s="786">
        <v>100.78315479108325</v>
      </c>
      <c r="BI12" s="784">
        <v>100.85973689134754</v>
      </c>
      <c r="BJ12" s="784">
        <v>100.28476012942316</v>
      </c>
      <c r="BK12" s="784">
        <v>102.46434063325712</v>
      </c>
      <c r="BL12" s="784">
        <v>102.54304902978156</v>
      </c>
      <c r="BM12" s="784">
        <v>102.81375730895459</v>
      </c>
      <c r="BN12" s="784">
        <v>103.12286434225052</v>
      </c>
      <c r="BO12" s="784">
        <v>103.02974490059459</v>
      </c>
      <c r="BP12" s="784">
        <v>103.59887084183359</v>
      </c>
      <c r="BQ12" s="784">
        <v>102.3416016021244</v>
      </c>
      <c r="BR12" s="784">
        <v>101.80333415445098</v>
      </c>
      <c r="BS12" s="784">
        <v>103.83126990292004</v>
      </c>
      <c r="BT12" s="784">
        <v>106.05798383923674</v>
      </c>
      <c r="BU12" s="784">
        <v>106.16993206040435</v>
      </c>
      <c r="BV12" s="784">
        <v>106.32589897114136</v>
      </c>
      <c r="BW12" s="784">
        <v>106.47850854845468</v>
      </c>
      <c r="BX12" s="784">
        <v>106.57016978967583</v>
      </c>
      <c r="BY12" s="784">
        <v>107.04745825314511</v>
      </c>
      <c r="BZ12" s="784">
        <v>106.46748950500827</v>
      </c>
      <c r="CA12" s="784">
        <v>106.43436349700073</v>
      </c>
      <c r="CB12" s="784">
        <v>103.366485981247</v>
      </c>
      <c r="CC12" s="784">
        <v>103.805517337076</v>
      </c>
      <c r="CD12" s="784">
        <v>103.972083427912</v>
      </c>
      <c r="CE12" s="784">
        <v>103.925223615946</v>
      </c>
      <c r="CF12" s="784">
        <v>104.753993223319</v>
      </c>
      <c r="CG12" s="784">
        <v>105.32417854254599</v>
      </c>
      <c r="CH12" s="784">
        <v>105.387802970306</v>
      </c>
      <c r="CI12" s="782">
        <v>106.071809913987</v>
      </c>
      <c r="CJ12" s="785">
        <v>106.525443032144</v>
      </c>
      <c r="CK12" s="786">
        <v>107.35287734435499</v>
      </c>
      <c r="CL12" s="784">
        <v>107.722479046131</v>
      </c>
      <c r="CM12" s="784">
        <v>108.52551734814401</v>
      </c>
      <c r="CN12" s="784">
        <v>108.84005388281</v>
      </c>
      <c r="CO12" s="784">
        <v>109.522201109029</v>
      </c>
      <c r="CP12" s="784">
        <v>110.460319361983</v>
      </c>
      <c r="CQ12" s="784">
        <v>111.273868705494</v>
      </c>
      <c r="CR12" s="784">
        <v>112.13529567272801</v>
      </c>
      <c r="CS12" s="784">
        <v>112.941126129279</v>
      </c>
      <c r="CT12" s="784">
        <v>113.797737217082</v>
      </c>
      <c r="CU12" s="784">
        <v>114.60435808941401</v>
      </c>
      <c r="CV12" s="784">
        <v>115.669589951541</v>
      </c>
      <c r="CW12" s="784">
        <v>117.085205240275</v>
      </c>
      <c r="CX12" s="784">
        <v>120.93012702405299</v>
      </c>
      <c r="CY12" s="784">
        <v>121.030269172857</v>
      </c>
      <c r="CZ12" s="784">
        <v>121.215062972281</v>
      </c>
      <c r="DA12" s="784">
        <v>121.176547510942</v>
      </c>
    </row>
    <row r="13" spans="1:105" ht="18">
      <c r="A13" s="782" t="s">
        <v>1609</v>
      </c>
      <c r="B13" s="785">
        <v>369</v>
      </c>
      <c r="C13" s="784">
        <v>90.550616095509213</v>
      </c>
      <c r="D13" s="784">
        <v>91.402909679486228</v>
      </c>
      <c r="E13" s="784">
        <v>91.449343841366115</v>
      </c>
      <c r="F13" s="784">
        <v>91.460377964839353</v>
      </c>
      <c r="G13" s="784">
        <v>91.520645721279365</v>
      </c>
      <c r="H13" s="784">
        <v>91.57572769984526</v>
      </c>
      <c r="I13" s="784">
        <v>91.572752947142732</v>
      </c>
      <c r="J13" s="784">
        <v>92.33461161924761</v>
      </c>
      <c r="K13" s="784">
        <v>92.593840316600563</v>
      </c>
      <c r="L13" s="784">
        <v>92.607982795208727</v>
      </c>
      <c r="M13" s="784">
        <v>92.596592665746499</v>
      </c>
      <c r="N13" s="784">
        <v>92.596592665746499</v>
      </c>
      <c r="O13" s="784">
        <v>92.608677525103843</v>
      </c>
      <c r="P13" s="784">
        <v>92.702371727743312</v>
      </c>
      <c r="Q13" s="784">
        <v>92.641008752065943</v>
      </c>
      <c r="R13" s="784">
        <v>92.672367958003974</v>
      </c>
      <c r="S13" s="784">
        <v>92.672367958003974</v>
      </c>
      <c r="T13" s="784">
        <v>92.74322011631493</v>
      </c>
      <c r="U13" s="784">
        <v>92.74322011631493</v>
      </c>
      <c r="V13" s="784">
        <v>97.091802546951442</v>
      </c>
      <c r="W13" s="784">
        <v>97.26134314405661</v>
      </c>
      <c r="X13" s="784">
        <v>97.105579481958003</v>
      </c>
      <c r="Y13" s="784">
        <v>97.061954711292003</v>
      </c>
      <c r="Z13" s="784">
        <v>98.008644732800391</v>
      </c>
      <c r="AA13" s="784">
        <v>98.319917190900327</v>
      </c>
      <c r="AB13" s="784">
        <v>97.971902030849364</v>
      </c>
      <c r="AC13" s="782">
        <v>97.929265563402424</v>
      </c>
      <c r="AD13" s="785">
        <v>98.025866357322428</v>
      </c>
      <c r="AE13" s="786">
        <v>98.005614296208833</v>
      </c>
      <c r="AF13" s="784">
        <v>98.020860972757561</v>
      </c>
      <c r="AG13" s="784">
        <v>98.105842810050717</v>
      </c>
      <c r="AH13" s="784">
        <v>98.765833123885372</v>
      </c>
      <c r="AI13" s="784">
        <v>98.857074290487475</v>
      </c>
      <c r="AJ13" s="784">
        <v>98.854056868215622</v>
      </c>
      <c r="AK13" s="784">
        <v>98.820616325377316</v>
      </c>
      <c r="AL13" s="784">
        <v>99.256835936639646</v>
      </c>
      <c r="AM13" s="784">
        <v>99.354112271731722</v>
      </c>
      <c r="AN13" s="784">
        <v>99.354112271731722</v>
      </c>
      <c r="AO13" s="784">
        <v>99.354112271731722</v>
      </c>
      <c r="AP13" s="784">
        <v>99.398493731202734</v>
      </c>
      <c r="AQ13" s="784">
        <v>99.377728977724601</v>
      </c>
      <c r="AR13" s="784">
        <v>99.494950080225962</v>
      </c>
      <c r="AS13" s="784">
        <v>99.607853427360794</v>
      </c>
      <c r="AT13" s="784">
        <v>100.11112042632533</v>
      </c>
      <c r="AU13" s="784">
        <v>103.07420020392297</v>
      </c>
      <c r="AV13" s="784">
        <v>102.79586407602551</v>
      </c>
      <c r="AW13" s="784">
        <v>102.93529940528785</v>
      </c>
      <c r="AX13" s="784">
        <v>102.93529940528785</v>
      </c>
      <c r="AY13" s="784">
        <v>102.93529940528785</v>
      </c>
      <c r="AZ13" s="784">
        <v>102.93529940528785</v>
      </c>
      <c r="BA13" s="784">
        <v>102.93529940528785</v>
      </c>
      <c r="BB13" s="784">
        <v>102.93529940528785</v>
      </c>
      <c r="BC13" s="784">
        <v>102.93529940528785</v>
      </c>
      <c r="BD13" s="784">
        <v>102.93529940528785</v>
      </c>
      <c r="BE13" s="784">
        <v>103.02761927449075</v>
      </c>
      <c r="BF13" s="782">
        <v>102.5354276838964</v>
      </c>
      <c r="BG13" s="785">
        <v>102.98070496137261</v>
      </c>
      <c r="BH13" s="786">
        <v>103.50383322243934</v>
      </c>
      <c r="BI13" s="784">
        <v>103.5689906860614</v>
      </c>
      <c r="BJ13" s="784">
        <v>103.84755984290031</v>
      </c>
      <c r="BK13" s="784">
        <v>103.8781282526668</v>
      </c>
      <c r="BL13" s="784">
        <v>104.03321456164511</v>
      </c>
      <c r="BM13" s="784">
        <v>104.21486987925837</v>
      </c>
      <c r="BN13" s="784">
        <v>104.25098320797392</v>
      </c>
      <c r="BO13" s="784">
        <v>104.30253888762465</v>
      </c>
      <c r="BP13" s="784">
        <v>104.30253888762465</v>
      </c>
      <c r="BQ13" s="784">
        <v>104.17942020084035</v>
      </c>
      <c r="BR13" s="784">
        <v>106.20768119941921</v>
      </c>
      <c r="BS13" s="784">
        <v>106.28439925292776</v>
      </c>
      <c r="BT13" s="784">
        <v>107.10240037671426</v>
      </c>
      <c r="BU13" s="784">
        <v>107.21770548650449</v>
      </c>
      <c r="BV13" s="784">
        <v>108.30897363190489</v>
      </c>
      <c r="BW13" s="784">
        <v>108.3781660904671</v>
      </c>
      <c r="BX13" s="784">
        <v>108.41301654440991</v>
      </c>
      <c r="BY13" s="784">
        <v>108.3847505879465</v>
      </c>
      <c r="BZ13" s="784">
        <v>108.46656552636637</v>
      </c>
      <c r="CA13" s="784">
        <v>108.37590960227337</v>
      </c>
      <c r="CB13" s="784">
        <v>107.86272327344901</v>
      </c>
      <c r="CC13" s="784">
        <v>107.86272327344901</v>
      </c>
      <c r="CD13" s="784">
        <v>108.554694557754</v>
      </c>
      <c r="CE13" s="784">
        <v>108.486788842691</v>
      </c>
      <c r="CF13" s="784">
        <v>108.486788842691</v>
      </c>
      <c r="CG13" s="784">
        <v>110.891512810945</v>
      </c>
      <c r="CH13" s="784">
        <v>111.09944535229801</v>
      </c>
      <c r="CI13" s="782">
        <v>111.09944535229801</v>
      </c>
      <c r="CJ13" s="785">
        <v>111.407311874013</v>
      </c>
      <c r="CK13" s="786">
        <v>111.407311874013</v>
      </c>
      <c r="CL13" s="784">
        <v>111.407311874013</v>
      </c>
      <c r="CM13" s="784">
        <v>111.407311874013</v>
      </c>
      <c r="CN13" s="784">
        <v>111.962048120064</v>
      </c>
      <c r="CO13" s="784">
        <v>111.962048120064</v>
      </c>
      <c r="CP13" s="784">
        <v>112.243958812561</v>
      </c>
      <c r="CQ13" s="784">
        <v>112.243958812561</v>
      </c>
      <c r="CR13" s="784">
        <v>112.243958812561</v>
      </c>
      <c r="CS13" s="784">
        <v>112.243958812561</v>
      </c>
      <c r="CT13" s="784">
        <v>112.243958812561</v>
      </c>
      <c r="CU13" s="784">
        <v>112.243958812561</v>
      </c>
      <c r="CV13" s="784">
        <v>112.243958812561</v>
      </c>
      <c r="CW13" s="784">
        <v>112.243958812561</v>
      </c>
      <c r="CX13" s="784">
        <v>112.243958812561</v>
      </c>
      <c r="CY13" s="784">
        <v>112.243958812561</v>
      </c>
      <c r="CZ13" s="784">
        <v>112.243958812561</v>
      </c>
      <c r="DA13" s="784">
        <v>112.243958812561</v>
      </c>
    </row>
    <row r="14" spans="1:105" ht="18">
      <c r="A14" s="782" t="s">
        <v>1610</v>
      </c>
      <c r="B14" s="785">
        <v>97</v>
      </c>
      <c r="C14" s="784">
        <v>91.214633677614188</v>
      </c>
      <c r="D14" s="784">
        <v>92.038058346866265</v>
      </c>
      <c r="E14" s="784">
        <v>92.504421832485974</v>
      </c>
      <c r="F14" s="784">
        <v>92.49789734623198</v>
      </c>
      <c r="G14" s="784">
        <v>92.584250187330497</v>
      </c>
      <c r="H14" s="784">
        <v>93.219767560808521</v>
      </c>
      <c r="I14" s="784">
        <v>92.922525667667259</v>
      </c>
      <c r="J14" s="784">
        <v>93.46294334753496</v>
      </c>
      <c r="K14" s="784">
        <v>93.241365014179209</v>
      </c>
      <c r="L14" s="784">
        <v>94.648294350633279</v>
      </c>
      <c r="M14" s="784">
        <v>93.314590826371031</v>
      </c>
      <c r="N14" s="784">
        <v>93.541097989201944</v>
      </c>
      <c r="O14" s="784">
        <v>93.598310111737817</v>
      </c>
      <c r="P14" s="784">
        <v>93.67630555541794</v>
      </c>
      <c r="Q14" s="784">
        <v>93.728468125701255</v>
      </c>
      <c r="R14" s="784">
        <v>93.445775806870245</v>
      </c>
      <c r="S14" s="784">
        <v>94.256768015500413</v>
      </c>
      <c r="T14" s="784">
        <v>93.804615806415072</v>
      </c>
      <c r="U14" s="784">
        <v>94.215189533230316</v>
      </c>
      <c r="V14" s="784">
        <v>94.392097639795665</v>
      </c>
      <c r="W14" s="784">
        <v>95.039525486985383</v>
      </c>
      <c r="X14" s="784">
        <v>95.853460831733344</v>
      </c>
      <c r="Y14" s="784">
        <v>94.342055330271336</v>
      </c>
      <c r="Z14" s="784">
        <v>94.960090828381453</v>
      </c>
      <c r="AA14" s="784">
        <v>95.123913962736466</v>
      </c>
      <c r="AB14" s="784">
        <v>95.428484670339699</v>
      </c>
      <c r="AC14" s="782">
        <v>96.639798137467949</v>
      </c>
      <c r="AD14" s="785">
        <v>96.33074860146499</v>
      </c>
      <c r="AE14" s="786">
        <v>95.519559684849995</v>
      </c>
      <c r="AF14" s="784">
        <v>97.828380475331585</v>
      </c>
      <c r="AG14" s="784">
        <v>96.885406857067679</v>
      </c>
      <c r="AH14" s="784">
        <v>97.061739431264513</v>
      </c>
      <c r="AI14" s="784">
        <v>98.214689814415266</v>
      </c>
      <c r="AJ14" s="784">
        <v>98.240168791068598</v>
      </c>
      <c r="AK14" s="784">
        <v>98.262899209590543</v>
      </c>
      <c r="AL14" s="784">
        <v>98.323642534487206</v>
      </c>
      <c r="AM14" s="784">
        <v>98.321922890811749</v>
      </c>
      <c r="AN14" s="784">
        <v>98.321922890811749</v>
      </c>
      <c r="AO14" s="784">
        <v>98.467634024162976</v>
      </c>
      <c r="AP14" s="784">
        <v>98.932496091784074</v>
      </c>
      <c r="AQ14" s="784">
        <v>100.55968685670767</v>
      </c>
      <c r="AR14" s="784">
        <v>101.56131472998548</v>
      </c>
      <c r="AS14" s="784">
        <v>101.49659655310479</v>
      </c>
      <c r="AT14" s="784">
        <v>101.34729032150818</v>
      </c>
      <c r="AU14" s="784">
        <v>102.00173073210829</v>
      </c>
      <c r="AV14" s="784">
        <v>102.402863164937</v>
      </c>
      <c r="AW14" s="784">
        <v>102.44819249227177</v>
      </c>
      <c r="AX14" s="784">
        <v>102.77228492805409</v>
      </c>
      <c r="AY14" s="784">
        <v>102.92860708264817</v>
      </c>
      <c r="AZ14" s="784">
        <v>103.05907990168083</v>
      </c>
      <c r="BA14" s="784">
        <v>103.05907990168083</v>
      </c>
      <c r="BB14" s="784">
        <v>103.0476365985606</v>
      </c>
      <c r="BC14" s="784">
        <v>103.68731782875375</v>
      </c>
      <c r="BD14" s="784">
        <v>103.4478840751628</v>
      </c>
      <c r="BE14" s="784">
        <v>103.02146600599478</v>
      </c>
      <c r="BF14" s="782">
        <v>102.41298173383584</v>
      </c>
      <c r="BG14" s="785">
        <v>103.21111913809763</v>
      </c>
      <c r="BH14" s="786">
        <v>103.1250028943786</v>
      </c>
      <c r="BI14" s="784">
        <v>103.22255109644108</v>
      </c>
      <c r="BJ14" s="784">
        <v>103.16766709765115</v>
      </c>
      <c r="BK14" s="784">
        <v>104.59854418984554</v>
      </c>
      <c r="BL14" s="784">
        <v>106.53780131444552</v>
      </c>
      <c r="BM14" s="784">
        <v>106.19939423504582</v>
      </c>
      <c r="BN14" s="784">
        <v>106.34989760380654</v>
      </c>
      <c r="BO14" s="784">
        <v>105.51412633450762</v>
      </c>
      <c r="BP14" s="784">
        <v>106.29964780931959</v>
      </c>
      <c r="BQ14" s="784">
        <v>107.18788107840838</v>
      </c>
      <c r="BR14" s="784">
        <v>107.31833588380407</v>
      </c>
      <c r="BS14" s="784">
        <v>107.51663043651637</v>
      </c>
      <c r="BT14" s="784">
        <v>107.58555132098721</v>
      </c>
      <c r="BU14" s="784">
        <v>107.80952986319706</v>
      </c>
      <c r="BV14" s="784">
        <v>108.22584870541917</v>
      </c>
      <c r="BW14" s="784">
        <v>107.78798474901421</v>
      </c>
      <c r="BX14" s="784">
        <v>108.203088675489</v>
      </c>
      <c r="BY14" s="784">
        <v>108.26961902008819</v>
      </c>
      <c r="BZ14" s="784">
        <v>107.80780393791898</v>
      </c>
      <c r="CA14" s="784">
        <v>109.543620407375</v>
      </c>
      <c r="CB14" s="784">
        <v>108.043144668998</v>
      </c>
      <c r="CC14" s="784">
        <v>108.32263588795</v>
      </c>
      <c r="CD14" s="784">
        <v>108.849185443834</v>
      </c>
      <c r="CE14" s="784">
        <v>109.37968650936099</v>
      </c>
      <c r="CF14" s="784">
        <v>111.292022739616</v>
      </c>
      <c r="CG14" s="784">
        <v>111.627076952886</v>
      </c>
      <c r="CH14" s="784">
        <v>111.869341974972</v>
      </c>
      <c r="CI14" s="782">
        <v>112.347779306538</v>
      </c>
      <c r="CJ14" s="785">
        <v>113.59414190490899</v>
      </c>
      <c r="CK14" s="786">
        <v>114.039908133021</v>
      </c>
      <c r="CL14" s="784">
        <v>114.54877263556099</v>
      </c>
      <c r="CM14" s="784">
        <v>114.81020607972999</v>
      </c>
      <c r="CN14" s="784">
        <v>116.950505245172</v>
      </c>
      <c r="CO14" s="784">
        <v>117.158805363146</v>
      </c>
      <c r="CP14" s="784">
        <v>117.187656953832</v>
      </c>
      <c r="CQ14" s="784">
        <v>117.208208049538</v>
      </c>
      <c r="CR14" s="784">
        <v>117.525736768549</v>
      </c>
      <c r="CS14" s="784">
        <v>117.975669233346</v>
      </c>
      <c r="CT14" s="784">
        <v>117.975669233346</v>
      </c>
      <c r="CU14" s="784">
        <v>118.081796240431</v>
      </c>
      <c r="CV14" s="784">
        <v>118.20416807574701</v>
      </c>
      <c r="CW14" s="784">
        <v>118.269385160323</v>
      </c>
      <c r="CX14" s="784">
        <v>118.72721011659399</v>
      </c>
      <c r="CY14" s="784">
        <v>118.824932278929</v>
      </c>
      <c r="CZ14" s="784">
        <v>119.510870888344</v>
      </c>
      <c r="DA14" s="784">
        <v>119.518604294342</v>
      </c>
    </row>
    <row r="15" spans="1:105" ht="18">
      <c r="A15" s="782" t="s">
        <v>1611</v>
      </c>
      <c r="B15" s="785">
        <v>393</v>
      </c>
      <c r="C15" s="784">
        <v>94.33497082712104</v>
      </c>
      <c r="D15" s="784">
        <v>94.373000953197376</v>
      </c>
      <c r="E15" s="784">
        <v>94.150269720515027</v>
      </c>
      <c r="F15" s="784">
        <v>95.623740292441923</v>
      </c>
      <c r="G15" s="784">
        <v>95.248135001611416</v>
      </c>
      <c r="H15" s="784">
        <v>95.195291769239745</v>
      </c>
      <c r="I15" s="784">
        <v>95.224784434847408</v>
      </c>
      <c r="J15" s="784">
        <v>95.502257677554553</v>
      </c>
      <c r="K15" s="784">
        <v>95.517353753109575</v>
      </c>
      <c r="L15" s="784">
        <v>95.402486030851904</v>
      </c>
      <c r="M15" s="784">
        <v>95.7389222506377</v>
      </c>
      <c r="N15" s="784">
        <v>95.627062754128005</v>
      </c>
      <c r="O15" s="784">
        <v>95.942799939458055</v>
      </c>
      <c r="P15" s="784">
        <v>96.018108844533685</v>
      </c>
      <c r="Q15" s="784">
        <v>96.378596121524666</v>
      </c>
      <c r="R15" s="784">
        <v>96.846596040175655</v>
      </c>
      <c r="S15" s="784">
        <v>97.43429287640501</v>
      </c>
      <c r="T15" s="784">
        <v>97.553070221202944</v>
      </c>
      <c r="U15" s="784">
        <v>97.856087503691242</v>
      </c>
      <c r="V15" s="784">
        <v>97.649754549650879</v>
      </c>
      <c r="W15" s="784">
        <v>97.752095147466676</v>
      </c>
      <c r="X15" s="784">
        <v>97.915683853907254</v>
      </c>
      <c r="Y15" s="784">
        <v>97.924193579992235</v>
      </c>
      <c r="Z15" s="784">
        <v>98.147261911203529</v>
      </c>
      <c r="AA15" s="784">
        <v>98.377546055886512</v>
      </c>
      <c r="AB15" s="784">
        <v>98.362983382761414</v>
      </c>
      <c r="AC15" s="782">
        <v>98.538386835052577</v>
      </c>
      <c r="AD15" s="785">
        <v>98.585214808800316</v>
      </c>
      <c r="AE15" s="786">
        <v>98.536918022341979</v>
      </c>
      <c r="AF15" s="784">
        <v>98.736733442439586</v>
      </c>
      <c r="AG15" s="784">
        <v>98.762086918625812</v>
      </c>
      <c r="AH15" s="784">
        <v>98.980904395687489</v>
      </c>
      <c r="AI15" s="784">
        <v>99.048805256430811</v>
      </c>
      <c r="AJ15" s="784">
        <v>99.357624022002028</v>
      </c>
      <c r="AK15" s="784">
        <v>99.639461257640264</v>
      </c>
      <c r="AL15" s="784">
        <v>99.711076878277083</v>
      </c>
      <c r="AM15" s="784">
        <v>99.421495461706371</v>
      </c>
      <c r="AN15" s="784">
        <v>99.545898082528538</v>
      </c>
      <c r="AO15" s="784">
        <v>99.7493350391468</v>
      </c>
      <c r="AP15" s="784">
        <v>99.756899452829657</v>
      </c>
      <c r="AQ15" s="784">
        <v>100.21114818012444</v>
      </c>
      <c r="AR15" s="784">
        <v>100.488529270195</v>
      </c>
      <c r="AS15" s="784">
        <v>100.08558118552055</v>
      </c>
      <c r="AT15" s="784">
        <v>100.52983992684879</v>
      </c>
      <c r="AU15" s="784">
        <v>100.32510584273099</v>
      </c>
      <c r="AV15" s="784">
        <v>100.53562942245152</v>
      </c>
      <c r="AW15" s="784">
        <v>100.67776166942684</v>
      </c>
      <c r="AX15" s="784">
        <v>100.48985009607662</v>
      </c>
      <c r="AY15" s="784">
        <v>101.4214570629527</v>
      </c>
      <c r="AZ15" s="784">
        <v>101.45350971248115</v>
      </c>
      <c r="BA15" s="784">
        <v>101.46959269742496</v>
      </c>
      <c r="BB15" s="784">
        <v>101.56607399183373</v>
      </c>
      <c r="BC15" s="784">
        <v>101.70073270875422</v>
      </c>
      <c r="BD15" s="784">
        <v>102.20865596989763</v>
      </c>
      <c r="BE15" s="784">
        <v>101.65925855375858</v>
      </c>
      <c r="BF15" s="782">
        <v>101.7641459048286</v>
      </c>
      <c r="BG15" s="785">
        <v>101.86873979258283</v>
      </c>
      <c r="BH15" s="786">
        <v>101.97957407220743</v>
      </c>
      <c r="BI15" s="784">
        <v>102.18789504405963</v>
      </c>
      <c r="BJ15" s="784">
        <v>102.2316548037373</v>
      </c>
      <c r="BK15" s="784">
        <v>102.72855761142443</v>
      </c>
      <c r="BL15" s="784">
        <v>102.65617373825039</v>
      </c>
      <c r="BM15" s="784">
        <v>102.92204411066533</v>
      </c>
      <c r="BN15" s="784">
        <v>103.04306240972976</v>
      </c>
      <c r="BO15" s="784">
        <v>103.49011211250514</v>
      </c>
      <c r="BP15" s="784">
        <v>103.3043236414649</v>
      </c>
      <c r="BQ15" s="784">
        <v>103.46374260455995</v>
      </c>
      <c r="BR15" s="784">
        <v>104.05403447829386</v>
      </c>
      <c r="BS15" s="784">
        <v>104.30358121342582</v>
      </c>
      <c r="BT15" s="784">
        <v>103.86741203826296</v>
      </c>
      <c r="BU15" s="784">
        <v>103.93108092690933</v>
      </c>
      <c r="BV15" s="784">
        <v>104.06489975786828</v>
      </c>
      <c r="BW15" s="784">
        <v>103.90612140374547</v>
      </c>
      <c r="BX15" s="784">
        <v>104.10710773899304</v>
      </c>
      <c r="BY15" s="784">
        <v>104.4150859412855</v>
      </c>
      <c r="BZ15" s="784">
        <v>103.9658741620634</v>
      </c>
      <c r="CA15" s="784">
        <v>104.23594719453369</v>
      </c>
      <c r="CB15" s="784">
        <v>103.330834599767</v>
      </c>
      <c r="CC15" s="784">
        <v>103.518091979857</v>
      </c>
      <c r="CD15" s="784">
        <v>103.99887657622099</v>
      </c>
      <c r="CE15" s="784">
        <v>103.98775629663901</v>
      </c>
      <c r="CF15" s="784">
        <v>103.650297394342</v>
      </c>
      <c r="CG15" s="784">
        <v>104.053137273194</v>
      </c>
      <c r="CH15" s="784">
        <v>104.100777335046</v>
      </c>
      <c r="CI15" s="782">
        <v>104.664542266962</v>
      </c>
      <c r="CJ15" s="785">
        <v>105.562404468832</v>
      </c>
      <c r="CK15" s="786">
        <v>105.686271193872</v>
      </c>
      <c r="CL15" s="784">
        <v>105.676775302674</v>
      </c>
      <c r="CM15" s="784">
        <v>105.663530734913</v>
      </c>
      <c r="CN15" s="784">
        <v>105.966269260667</v>
      </c>
      <c r="CO15" s="784">
        <v>106.16012390838</v>
      </c>
      <c r="CP15" s="784">
        <v>106.238217172666</v>
      </c>
      <c r="CQ15" s="784">
        <v>106.317209837479</v>
      </c>
      <c r="CR15" s="784">
        <v>106.31672131083999</v>
      </c>
      <c r="CS15" s="784">
        <v>106.285606998649</v>
      </c>
      <c r="CT15" s="784">
        <v>106.39574494339099</v>
      </c>
      <c r="CU15" s="784">
        <v>106.40483612705199</v>
      </c>
      <c r="CV15" s="784">
        <v>106.49027656401699</v>
      </c>
      <c r="CW15" s="784">
        <v>107.45249806802499</v>
      </c>
      <c r="CX15" s="784">
        <v>107.68437971297099</v>
      </c>
      <c r="CY15" s="784">
        <v>107.862288024374</v>
      </c>
      <c r="CZ15" s="784">
        <v>108.150852790535</v>
      </c>
      <c r="DA15" s="784">
        <v>108.315539059654</v>
      </c>
    </row>
    <row r="16" spans="1:105" ht="18">
      <c r="A16" s="782" t="s">
        <v>1612</v>
      </c>
      <c r="B16" s="783">
        <v>10000</v>
      </c>
      <c r="C16" s="784">
        <v>91.116838365248768</v>
      </c>
      <c r="D16" s="784">
        <v>91.29785731103695</v>
      </c>
      <c r="E16" s="784">
        <v>91.54256994293209</v>
      </c>
      <c r="F16" s="784">
        <v>92.004070726456433</v>
      </c>
      <c r="G16" s="784">
        <v>92.304067905170314</v>
      </c>
      <c r="H16" s="784">
        <v>93.442661296203397</v>
      </c>
      <c r="I16" s="784">
        <v>94.429160505390783</v>
      </c>
      <c r="J16" s="784">
        <v>95.149024045123141</v>
      </c>
      <c r="K16" s="784">
        <v>94.982046393915226</v>
      </c>
      <c r="L16" s="784">
        <v>94.758868859482547</v>
      </c>
      <c r="M16" s="784">
        <v>94.023643699155016</v>
      </c>
      <c r="N16" s="784">
        <v>93.86943030674712</v>
      </c>
      <c r="O16" s="784">
        <v>93.874378271952466</v>
      </c>
      <c r="P16" s="784">
        <v>93.978171301743728</v>
      </c>
      <c r="Q16" s="784">
        <v>94.164773091320185</v>
      </c>
      <c r="R16" s="784">
        <v>94.255063984198344</v>
      </c>
      <c r="S16" s="784">
        <v>94.651085350849456</v>
      </c>
      <c r="T16" s="784">
        <v>95.505618299318513</v>
      </c>
      <c r="U16" s="784">
        <v>95.844341137431783</v>
      </c>
      <c r="V16" s="784">
        <v>95.955388080924678</v>
      </c>
      <c r="W16" s="784">
        <v>96.148321411094358</v>
      </c>
      <c r="X16" s="784">
        <v>95.92980772959443</v>
      </c>
      <c r="Y16" s="784">
        <v>96.376452378222496</v>
      </c>
      <c r="Z16" s="784">
        <v>96.435006791424854</v>
      </c>
      <c r="AA16" s="784">
        <v>96.962823119318273</v>
      </c>
      <c r="AB16" s="784">
        <v>97.082845393785689</v>
      </c>
      <c r="AC16" s="782">
        <v>97.254191877390539</v>
      </c>
      <c r="AD16" s="785">
        <v>97.605670153091665</v>
      </c>
      <c r="AE16" s="786">
        <v>97.879393382569717</v>
      </c>
      <c r="AF16" s="784">
        <v>98.314986734032232</v>
      </c>
      <c r="AG16" s="784">
        <v>98.742594774679759</v>
      </c>
      <c r="AH16" s="784">
        <v>98.547405160690147</v>
      </c>
      <c r="AI16" s="784">
        <v>98.791487128724569</v>
      </c>
      <c r="AJ16" s="784">
        <v>98.955027737131886</v>
      </c>
      <c r="AK16" s="784">
        <v>98.809609107963183</v>
      </c>
      <c r="AL16" s="784">
        <v>98.678887736852303</v>
      </c>
      <c r="AM16" s="784">
        <v>98.748940769914569</v>
      </c>
      <c r="AN16" s="784">
        <v>98.777370109858936</v>
      </c>
      <c r="AO16" s="784">
        <v>98.967769660714509</v>
      </c>
      <c r="AP16" s="784">
        <v>99.323950932556315</v>
      </c>
      <c r="AQ16" s="784">
        <v>100.07802209021506</v>
      </c>
      <c r="AR16" s="784">
        <v>100.66278472171989</v>
      </c>
      <c r="AS16" s="784">
        <v>101.08409281861401</v>
      </c>
      <c r="AT16" s="784">
        <v>101.39761023408691</v>
      </c>
      <c r="AU16" s="784">
        <v>101.8418358667743</v>
      </c>
      <c r="AV16" s="784">
        <v>101.62912595073011</v>
      </c>
      <c r="AW16" s="784">
        <v>101.59491151983863</v>
      </c>
      <c r="AX16" s="784">
        <v>101.79430187635717</v>
      </c>
      <c r="AY16" s="784">
        <v>101.93702669020794</v>
      </c>
      <c r="AZ16" s="784">
        <v>101.97319459215616</v>
      </c>
      <c r="BA16" s="784">
        <v>102.05034773344957</v>
      </c>
      <c r="BB16" s="784">
        <v>102.19813419267028</v>
      </c>
      <c r="BC16" s="784">
        <v>102.11791958561061</v>
      </c>
      <c r="BD16" s="784">
        <v>102.19751251728945</v>
      </c>
      <c r="BE16" s="784">
        <v>102.63633856721358</v>
      </c>
      <c r="BF16" s="782">
        <v>102.85741270432307</v>
      </c>
      <c r="BG16" s="785">
        <v>103.74099835814998</v>
      </c>
      <c r="BH16" s="786">
        <v>103.48527607308253</v>
      </c>
      <c r="BI16" s="784">
        <v>103.86420908241857</v>
      </c>
      <c r="BJ16" s="784">
        <v>104.28126814661482</v>
      </c>
      <c r="BK16" s="784">
        <v>104.36331493637012</v>
      </c>
      <c r="BL16" s="784">
        <v>104.44904829671432</v>
      </c>
      <c r="BM16" s="784">
        <v>104.76904805350672</v>
      </c>
      <c r="BN16" s="784">
        <v>105.13500372048013</v>
      </c>
      <c r="BO16" s="784">
        <v>105.6986461051585</v>
      </c>
      <c r="BP16" s="784">
        <v>106.71149084272966</v>
      </c>
      <c r="BQ16" s="784">
        <v>107.44475402357924</v>
      </c>
      <c r="BR16" s="784">
        <v>107.65741626970893</v>
      </c>
      <c r="BS16" s="784">
        <v>108.53501857755735</v>
      </c>
      <c r="BT16" s="784">
        <v>109.39087516297664</v>
      </c>
      <c r="BU16" s="784">
        <v>110.07820024870009</v>
      </c>
      <c r="BV16" s="784">
        <v>110.62585152381952</v>
      </c>
      <c r="BW16" s="784">
        <v>111.48165172588416</v>
      </c>
      <c r="BX16" s="784">
        <v>113.0213301494971</v>
      </c>
      <c r="BY16" s="784">
        <v>114.09870413078966</v>
      </c>
      <c r="BZ16" s="784">
        <v>115.18280296405882</v>
      </c>
      <c r="CA16" s="784">
        <v>116.91240759230236</v>
      </c>
      <c r="CB16" s="784">
        <v>118.514346731674</v>
      </c>
      <c r="CC16" s="784">
        <v>119.543304884165</v>
      </c>
      <c r="CD16" s="784">
        <v>121.276447433898</v>
      </c>
      <c r="CE16" s="784">
        <v>121.651587408216</v>
      </c>
      <c r="CF16" s="784">
        <v>121.43899062292699</v>
      </c>
      <c r="CG16" s="784">
        <v>121.40619996661</v>
      </c>
      <c r="CH16" s="784">
        <v>120.599466089343</v>
      </c>
      <c r="CI16" s="782">
        <v>120.623737619567</v>
      </c>
      <c r="CJ16" s="785">
        <v>120.509176286033</v>
      </c>
      <c r="CK16" s="786">
        <v>121.01241709889</v>
      </c>
      <c r="CL16" s="784">
        <v>121.091800276336</v>
      </c>
      <c r="CM16" s="784">
        <v>121.636494997592</v>
      </c>
      <c r="CN16" s="784">
        <v>122.946490709183</v>
      </c>
      <c r="CO16" s="784">
        <v>123.119670788741</v>
      </c>
      <c r="CP16" s="784">
        <v>123.357427768739</v>
      </c>
      <c r="CQ16" s="784">
        <v>123.195255309613</v>
      </c>
      <c r="CR16" s="784">
        <v>123.344470249214</v>
      </c>
      <c r="CS16" s="784">
        <v>123.60329142804299</v>
      </c>
      <c r="CT16" s="784">
        <v>123.75442234668201</v>
      </c>
      <c r="CU16" s="784">
        <v>123.85926877479901</v>
      </c>
      <c r="CV16" s="784">
        <v>124.187936636929</v>
      </c>
      <c r="CW16" s="784">
        <v>124.316111971182</v>
      </c>
      <c r="CX16" s="784">
        <v>124.84196574711</v>
      </c>
      <c r="CY16" s="784">
        <v>125.333155641255</v>
      </c>
      <c r="CZ16" s="784">
        <v>126.211576704986</v>
      </c>
      <c r="DA16" s="784">
        <v>126.489804179356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B76B-3436-4B1A-824A-5FD7D53035E1}">
  <sheetPr>
    <tabColor theme="6"/>
  </sheetPr>
  <dimension ref="A2:DE22"/>
  <sheetViews>
    <sheetView workbookViewId="0">
      <selection activeCell="H15" sqref="H15"/>
    </sheetView>
  </sheetViews>
  <sheetFormatPr baseColWidth="10" defaultRowHeight="14.4"/>
  <cols>
    <col min="1" max="1" width="36" style="792" bestFit="1" customWidth="1"/>
    <col min="2" max="13" width="10.5546875" style="792" bestFit="1" customWidth="1"/>
    <col min="14" max="22" width="11.5546875" style="792"/>
    <col min="23" max="34" width="10.5546875" style="792" bestFit="1" customWidth="1"/>
    <col min="35" max="16384" width="11.5546875" style="792"/>
  </cols>
  <sheetData>
    <row r="2" spans="1:109">
      <c r="A2" s="787" t="s">
        <v>1613</v>
      </c>
      <c r="B2" s="788"/>
      <c r="C2" s="788"/>
      <c r="D2" s="789"/>
      <c r="E2" s="790"/>
      <c r="F2" s="790"/>
      <c r="G2" s="791"/>
      <c r="H2" s="791"/>
      <c r="I2" s="791"/>
      <c r="J2" s="791"/>
      <c r="K2" s="791"/>
      <c r="L2" s="791"/>
      <c r="M2" s="791"/>
      <c r="N2" s="791"/>
      <c r="O2" s="791"/>
      <c r="P2" s="791"/>
      <c r="Q2" s="791"/>
      <c r="R2" s="791"/>
      <c r="S2" s="791"/>
      <c r="T2" s="791"/>
      <c r="U2" s="791"/>
      <c r="V2" s="791"/>
      <c r="W2" s="791"/>
      <c r="X2" s="791"/>
      <c r="Y2" s="791"/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  <c r="AP2" s="791"/>
      <c r="AQ2" s="791"/>
      <c r="AR2" s="791"/>
      <c r="AS2" s="791"/>
      <c r="AT2" s="791"/>
      <c r="AU2" s="791"/>
      <c r="AV2" s="791"/>
      <c r="AW2" s="791"/>
      <c r="AX2" s="791"/>
      <c r="AY2" s="791"/>
      <c r="AZ2" s="791"/>
      <c r="BA2" s="791"/>
      <c r="BB2" s="791"/>
      <c r="BC2" s="791"/>
      <c r="BD2" s="791"/>
      <c r="BE2" s="791"/>
      <c r="BF2" s="791"/>
      <c r="BG2" s="791"/>
      <c r="BH2" s="791"/>
      <c r="BI2" s="791"/>
      <c r="BJ2" s="791"/>
      <c r="BK2" s="791"/>
      <c r="BL2" s="791"/>
      <c r="BM2" s="791"/>
      <c r="BN2" s="791"/>
      <c r="BO2" s="791"/>
      <c r="BP2" s="791"/>
      <c r="BQ2" s="791"/>
      <c r="BR2" s="791"/>
      <c r="BS2" s="791"/>
      <c r="BT2" s="791"/>
      <c r="BU2" s="791"/>
      <c r="BV2" s="791"/>
      <c r="BW2" s="791"/>
      <c r="BX2" s="791"/>
      <c r="BY2" s="791"/>
      <c r="BZ2" s="791"/>
    </row>
    <row r="3" spans="1:109">
      <c r="B3" s="793">
        <v>42370</v>
      </c>
      <c r="C3" s="793">
        <v>42401</v>
      </c>
      <c r="D3" s="793">
        <v>42430</v>
      </c>
      <c r="E3" s="793">
        <v>42461</v>
      </c>
      <c r="F3" s="793">
        <v>42491</v>
      </c>
      <c r="G3" s="793">
        <v>42522</v>
      </c>
      <c r="H3" s="793">
        <v>42552</v>
      </c>
      <c r="I3" s="793">
        <v>42583</v>
      </c>
      <c r="J3" s="793">
        <v>42614</v>
      </c>
      <c r="K3" s="793">
        <v>42644</v>
      </c>
      <c r="L3" s="793">
        <v>42675</v>
      </c>
      <c r="M3" s="793">
        <v>42705</v>
      </c>
      <c r="N3" s="793">
        <v>42736</v>
      </c>
      <c r="O3" s="793">
        <v>42767</v>
      </c>
      <c r="P3" s="793">
        <v>42795</v>
      </c>
      <c r="Q3" s="793">
        <v>42826</v>
      </c>
      <c r="R3" s="793">
        <v>42856</v>
      </c>
      <c r="S3" s="793">
        <v>42887</v>
      </c>
      <c r="T3" s="793">
        <v>42917</v>
      </c>
      <c r="U3" s="793">
        <v>42948</v>
      </c>
      <c r="V3" s="793">
        <v>42979</v>
      </c>
      <c r="W3" s="793">
        <v>43009</v>
      </c>
      <c r="X3" s="793">
        <v>43040</v>
      </c>
      <c r="Y3" s="793">
        <v>43070</v>
      </c>
      <c r="Z3" s="793">
        <v>43101</v>
      </c>
      <c r="AA3" s="793">
        <v>43132</v>
      </c>
      <c r="AB3" s="793">
        <v>43160</v>
      </c>
      <c r="AC3" s="793">
        <v>43191</v>
      </c>
      <c r="AD3" s="793">
        <v>43221</v>
      </c>
      <c r="AE3" s="793">
        <v>43252</v>
      </c>
      <c r="AF3" s="793">
        <v>43282</v>
      </c>
      <c r="AG3" s="793">
        <v>43313</v>
      </c>
      <c r="AH3" s="793">
        <v>43344</v>
      </c>
      <c r="AI3" s="793">
        <v>43374</v>
      </c>
      <c r="AJ3" s="793">
        <v>43405</v>
      </c>
      <c r="AK3" s="793">
        <v>43435</v>
      </c>
      <c r="AL3" s="793">
        <v>43466</v>
      </c>
      <c r="AM3" s="793">
        <v>43497</v>
      </c>
      <c r="AN3" s="793">
        <v>43525</v>
      </c>
      <c r="AO3" s="793">
        <v>43556</v>
      </c>
      <c r="AP3" s="793">
        <v>43586</v>
      </c>
      <c r="AQ3" s="793">
        <v>43617</v>
      </c>
      <c r="AR3" s="793">
        <v>43647</v>
      </c>
      <c r="AS3" s="793">
        <v>43678</v>
      </c>
      <c r="AT3" s="793">
        <v>43709</v>
      </c>
      <c r="AU3" s="793">
        <v>43739</v>
      </c>
      <c r="AV3" s="793">
        <v>43770</v>
      </c>
      <c r="AW3" s="793">
        <v>43800</v>
      </c>
      <c r="AX3" s="793">
        <v>43831</v>
      </c>
      <c r="AY3" s="793">
        <v>43862</v>
      </c>
      <c r="AZ3" s="793">
        <v>43891</v>
      </c>
      <c r="BA3" s="793">
        <v>43922</v>
      </c>
      <c r="BB3" s="793">
        <v>43952</v>
      </c>
      <c r="BC3" s="793">
        <v>43983</v>
      </c>
      <c r="BD3" s="793">
        <v>44013</v>
      </c>
      <c r="BE3" s="793">
        <v>44044</v>
      </c>
      <c r="BF3" s="793">
        <v>44075</v>
      </c>
      <c r="BG3" s="793">
        <v>44105</v>
      </c>
      <c r="BH3" s="793">
        <v>44136</v>
      </c>
      <c r="BI3" s="793">
        <v>44166</v>
      </c>
      <c r="BJ3" s="793">
        <v>44197</v>
      </c>
      <c r="BK3" s="793">
        <v>44228</v>
      </c>
      <c r="BL3" s="793">
        <v>44256</v>
      </c>
      <c r="BM3" s="793">
        <v>44287</v>
      </c>
      <c r="BN3" s="793">
        <v>44317</v>
      </c>
      <c r="BO3" s="793">
        <v>44348</v>
      </c>
      <c r="BP3" s="793">
        <v>44378</v>
      </c>
      <c r="BQ3" s="793">
        <v>44409</v>
      </c>
      <c r="BR3" s="793">
        <v>44440</v>
      </c>
      <c r="BS3" s="793">
        <v>44470</v>
      </c>
      <c r="BT3" s="793">
        <v>44501</v>
      </c>
      <c r="BU3" s="793">
        <v>44531</v>
      </c>
      <c r="BV3" s="793">
        <v>44562</v>
      </c>
      <c r="BW3" s="793">
        <v>44593</v>
      </c>
      <c r="BX3" s="793">
        <v>44621</v>
      </c>
      <c r="BY3" s="793">
        <v>44652</v>
      </c>
      <c r="BZ3" s="793">
        <v>44682</v>
      </c>
      <c r="CA3" s="793">
        <v>44713</v>
      </c>
      <c r="CB3" s="793">
        <v>44743</v>
      </c>
      <c r="CC3" s="793">
        <v>44774</v>
      </c>
      <c r="CD3" s="793">
        <v>44805</v>
      </c>
      <c r="CE3" s="793">
        <v>44835</v>
      </c>
      <c r="CF3" s="793">
        <v>44866</v>
      </c>
      <c r="CG3" s="793">
        <v>44896</v>
      </c>
      <c r="CH3" s="793">
        <v>44927</v>
      </c>
      <c r="CI3" s="793">
        <v>44958</v>
      </c>
      <c r="CJ3" s="793">
        <v>44986</v>
      </c>
      <c r="CK3" s="793">
        <v>45017</v>
      </c>
      <c r="CL3" s="793">
        <v>45047</v>
      </c>
      <c r="CM3" s="793">
        <v>45078</v>
      </c>
      <c r="CN3" s="793">
        <v>45108</v>
      </c>
      <c r="CO3" s="793">
        <v>45139</v>
      </c>
      <c r="CP3" s="793">
        <v>45170</v>
      </c>
      <c r="CQ3" s="793">
        <v>45200</v>
      </c>
      <c r="CR3" s="793">
        <v>45231</v>
      </c>
      <c r="CS3" s="793">
        <v>45261</v>
      </c>
      <c r="CT3" s="793">
        <v>45292</v>
      </c>
      <c r="CU3" s="793">
        <v>45323</v>
      </c>
      <c r="CV3" s="793">
        <v>45352</v>
      </c>
      <c r="CW3" s="793">
        <v>45383</v>
      </c>
      <c r="CX3" s="793">
        <v>45413</v>
      </c>
      <c r="CY3" s="793">
        <v>45444</v>
      </c>
      <c r="CZ3" s="793">
        <v>45474</v>
      </c>
      <c r="DA3" s="793">
        <v>45505</v>
      </c>
      <c r="DB3" s="793">
        <v>45536</v>
      </c>
      <c r="DC3" s="793">
        <v>45566</v>
      </c>
      <c r="DD3" s="793">
        <v>45597</v>
      </c>
    </row>
    <row r="4" spans="1:109">
      <c r="A4" s="838" t="s">
        <v>1614</v>
      </c>
      <c r="B4" s="794" t="s">
        <v>335</v>
      </c>
      <c r="C4" s="794" t="s">
        <v>335</v>
      </c>
      <c r="D4" s="794" t="s">
        <v>335</v>
      </c>
      <c r="E4" s="794" t="s">
        <v>335</v>
      </c>
      <c r="F4" s="794" t="s">
        <v>335</v>
      </c>
      <c r="G4" s="794" t="s">
        <v>335</v>
      </c>
      <c r="H4" s="794" t="s">
        <v>335</v>
      </c>
      <c r="I4" s="794" t="s">
        <v>335</v>
      </c>
      <c r="J4" s="794" t="s">
        <v>335</v>
      </c>
      <c r="K4" s="794" t="s">
        <v>335</v>
      </c>
      <c r="L4" s="794" t="s">
        <v>335</v>
      </c>
      <c r="M4" s="794" t="s">
        <v>335</v>
      </c>
      <c r="N4" s="794" t="s">
        <v>335</v>
      </c>
      <c r="O4" s="794" t="s">
        <v>335</v>
      </c>
      <c r="P4" s="794" t="s">
        <v>335</v>
      </c>
      <c r="Q4" s="794" t="s">
        <v>335</v>
      </c>
      <c r="R4" s="794" t="s">
        <v>335</v>
      </c>
      <c r="S4" s="794" t="s">
        <v>335</v>
      </c>
      <c r="T4" s="794" t="s">
        <v>335</v>
      </c>
      <c r="U4" s="794" t="s">
        <v>335</v>
      </c>
      <c r="V4" s="794" t="s">
        <v>335</v>
      </c>
      <c r="W4" s="794" t="s">
        <v>335</v>
      </c>
      <c r="X4" s="794" t="s">
        <v>335</v>
      </c>
      <c r="Y4" s="794" t="s">
        <v>335</v>
      </c>
      <c r="Z4" s="794" t="s">
        <v>335</v>
      </c>
      <c r="AA4" s="794" t="s">
        <v>335</v>
      </c>
      <c r="AB4" s="794" t="s">
        <v>335</v>
      </c>
      <c r="AC4" s="794" t="s">
        <v>335</v>
      </c>
      <c r="AD4" s="794" t="s">
        <v>335</v>
      </c>
      <c r="AE4" s="794" t="s">
        <v>335</v>
      </c>
      <c r="AF4" s="794" t="s">
        <v>335</v>
      </c>
      <c r="AG4" s="794" t="s">
        <v>335</v>
      </c>
      <c r="AH4" s="794" t="s">
        <v>335</v>
      </c>
      <c r="AI4" s="794" t="s">
        <v>335</v>
      </c>
      <c r="AJ4" s="794" t="s">
        <v>335</v>
      </c>
      <c r="AK4" s="794" t="s">
        <v>335</v>
      </c>
      <c r="AL4" s="794" t="s">
        <v>335</v>
      </c>
      <c r="AM4" s="794" t="s">
        <v>335</v>
      </c>
      <c r="AN4" s="794" t="s">
        <v>335</v>
      </c>
      <c r="AO4" s="794" t="s">
        <v>335</v>
      </c>
      <c r="AP4" s="794" t="s">
        <v>335</v>
      </c>
      <c r="AQ4" s="794" t="s">
        <v>335</v>
      </c>
      <c r="AR4" s="794" t="s">
        <v>335</v>
      </c>
      <c r="AS4" s="794" t="s">
        <v>335</v>
      </c>
      <c r="AT4" s="794" t="s">
        <v>335</v>
      </c>
      <c r="AU4" s="794" t="s">
        <v>335</v>
      </c>
      <c r="AV4" s="794" t="s">
        <v>335</v>
      </c>
      <c r="AW4" s="794" t="s">
        <v>335</v>
      </c>
      <c r="AX4" s="794" t="s">
        <v>335</v>
      </c>
      <c r="AY4" s="794" t="s">
        <v>335</v>
      </c>
      <c r="AZ4" s="794" t="s">
        <v>335</v>
      </c>
      <c r="BA4" s="794" t="s">
        <v>335</v>
      </c>
      <c r="BB4" s="794" t="s">
        <v>335</v>
      </c>
      <c r="BC4" s="794" t="s">
        <v>335</v>
      </c>
      <c r="BD4" s="794" t="s">
        <v>335</v>
      </c>
      <c r="BE4" s="794" t="s">
        <v>335</v>
      </c>
      <c r="BF4" s="794" t="s">
        <v>335</v>
      </c>
      <c r="BG4" s="794" t="s">
        <v>335</v>
      </c>
      <c r="BH4" s="794" t="s">
        <v>335</v>
      </c>
      <c r="BI4" s="794" t="s">
        <v>335</v>
      </c>
      <c r="BJ4" s="794" t="s">
        <v>335</v>
      </c>
      <c r="BK4" s="794" t="s">
        <v>335</v>
      </c>
      <c r="BL4" s="794" t="s">
        <v>335</v>
      </c>
      <c r="BM4" s="794" t="s">
        <v>335</v>
      </c>
      <c r="BN4" s="794" t="s">
        <v>335</v>
      </c>
      <c r="BO4" s="794" t="s">
        <v>335</v>
      </c>
      <c r="BP4" s="794" t="s">
        <v>335</v>
      </c>
      <c r="BQ4" s="794" t="s">
        <v>335</v>
      </c>
      <c r="BR4" s="794" t="s">
        <v>335</v>
      </c>
      <c r="BS4" s="794" t="s">
        <v>335</v>
      </c>
      <c r="BT4" s="794" t="s">
        <v>335</v>
      </c>
      <c r="BU4" s="794" t="s">
        <v>335</v>
      </c>
      <c r="BV4" s="794" t="s">
        <v>335</v>
      </c>
      <c r="BW4" s="794" t="s">
        <v>335</v>
      </c>
      <c r="BX4" s="794" t="s">
        <v>335</v>
      </c>
      <c r="BY4" s="794" t="s">
        <v>335</v>
      </c>
      <c r="BZ4" s="794" t="s">
        <v>335</v>
      </c>
      <c r="CA4" s="794" t="s">
        <v>335</v>
      </c>
      <c r="CB4" s="794" t="s">
        <v>335</v>
      </c>
      <c r="CC4" s="794" t="s">
        <v>335</v>
      </c>
      <c r="CD4" s="794" t="s">
        <v>335</v>
      </c>
      <c r="CE4" s="794" t="s">
        <v>335</v>
      </c>
      <c r="CF4" s="794" t="s">
        <v>335</v>
      </c>
      <c r="CG4" s="794" t="s">
        <v>335</v>
      </c>
      <c r="CH4" s="794" t="s">
        <v>335</v>
      </c>
      <c r="CI4" s="794" t="s">
        <v>335</v>
      </c>
      <c r="CJ4" s="794" t="s">
        <v>335</v>
      </c>
      <c r="CK4" s="794" t="s">
        <v>335</v>
      </c>
      <c r="CL4" s="794" t="s">
        <v>335</v>
      </c>
      <c r="CM4" s="794" t="s">
        <v>335</v>
      </c>
      <c r="CN4" s="794" t="s">
        <v>335</v>
      </c>
      <c r="CO4" s="794" t="s">
        <v>335</v>
      </c>
      <c r="CP4" s="794" t="s">
        <v>335</v>
      </c>
      <c r="CQ4" s="794" t="s">
        <v>335</v>
      </c>
      <c r="CR4" s="794" t="s">
        <v>335</v>
      </c>
      <c r="CS4" s="794" t="s">
        <v>335</v>
      </c>
      <c r="CT4" s="794" t="s">
        <v>335</v>
      </c>
      <c r="CU4" s="794" t="s">
        <v>335</v>
      </c>
      <c r="CV4" s="794" t="s">
        <v>335</v>
      </c>
      <c r="CW4" s="794" t="s">
        <v>335</v>
      </c>
      <c r="CX4" s="794" t="s">
        <v>335</v>
      </c>
      <c r="CY4" s="794" t="s">
        <v>335</v>
      </c>
      <c r="CZ4" s="794" t="s">
        <v>335</v>
      </c>
      <c r="DA4" s="794" t="s">
        <v>335</v>
      </c>
      <c r="DB4" s="794" t="s">
        <v>335</v>
      </c>
      <c r="DC4" s="794" t="s">
        <v>335</v>
      </c>
      <c r="DD4" s="794" t="s">
        <v>335</v>
      </c>
      <c r="DE4" s="839" t="s">
        <v>1615</v>
      </c>
    </row>
    <row r="5" spans="1:109">
      <c r="A5" s="838"/>
      <c r="B5" s="794" t="s">
        <v>1616</v>
      </c>
      <c r="C5" s="794" t="s">
        <v>1616</v>
      </c>
      <c r="D5" s="794" t="s">
        <v>1616</v>
      </c>
      <c r="E5" s="794" t="s">
        <v>1616</v>
      </c>
      <c r="F5" s="794" t="s">
        <v>1616</v>
      </c>
      <c r="G5" s="794" t="s">
        <v>1616</v>
      </c>
      <c r="H5" s="794" t="s">
        <v>1616</v>
      </c>
      <c r="I5" s="794" t="s">
        <v>1616</v>
      </c>
      <c r="J5" s="794" t="s">
        <v>1616</v>
      </c>
      <c r="K5" s="794" t="s">
        <v>1616</v>
      </c>
      <c r="L5" s="794" t="s">
        <v>1616</v>
      </c>
      <c r="M5" s="794" t="s">
        <v>1616</v>
      </c>
      <c r="N5" s="794" t="s">
        <v>1616</v>
      </c>
      <c r="O5" s="794" t="s">
        <v>1616</v>
      </c>
      <c r="P5" s="794" t="s">
        <v>1616</v>
      </c>
      <c r="Q5" s="794" t="s">
        <v>1616</v>
      </c>
      <c r="R5" s="794" t="s">
        <v>1616</v>
      </c>
      <c r="S5" s="794" t="s">
        <v>1616</v>
      </c>
      <c r="T5" s="794" t="s">
        <v>1616</v>
      </c>
      <c r="U5" s="794" t="s">
        <v>1616</v>
      </c>
      <c r="V5" s="794" t="s">
        <v>1616</v>
      </c>
      <c r="W5" s="794" t="s">
        <v>1616</v>
      </c>
      <c r="X5" s="794" t="s">
        <v>1616</v>
      </c>
      <c r="Y5" s="794" t="s">
        <v>1616</v>
      </c>
      <c r="Z5" s="794" t="s">
        <v>1616</v>
      </c>
      <c r="AA5" s="794" t="s">
        <v>1616</v>
      </c>
      <c r="AB5" s="794" t="s">
        <v>1616</v>
      </c>
      <c r="AC5" s="794" t="s">
        <v>1616</v>
      </c>
      <c r="AD5" s="794" t="s">
        <v>1616</v>
      </c>
      <c r="AE5" s="794" t="s">
        <v>1616</v>
      </c>
      <c r="AF5" s="794" t="s">
        <v>1616</v>
      </c>
      <c r="AG5" s="794" t="s">
        <v>1616</v>
      </c>
      <c r="AH5" s="795" t="s">
        <v>1616</v>
      </c>
      <c r="AI5" s="795" t="s">
        <v>1616</v>
      </c>
      <c r="AJ5" s="795" t="s">
        <v>1616</v>
      </c>
      <c r="AK5" s="795" t="s">
        <v>1616</v>
      </c>
      <c r="AL5" s="795" t="s">
        <v>1616</v>
      </c>
      <c r="AM5" s="795" t="s">
        <v>1616</v>
      </c>
      <c r="AN5" s="795" t="s">
        <v>1616</v>
      </c>
      <c r="AO5" s="795" t="s">
        <v>1616</v>
      </c>
      <c r="AP5" s="795" t="s">
        <v>1616</v>
      </c>
      <c r="AQ5" s="795" t="s">
        <v>1616</v>
      </c>
      <c r="AR5" s="795" t="s">
        <v>1616</v>
      </c>
      <c r="AS5" s="795" t="s">
        <v>1616</v>
      </c>
      <c r="AT5" s="795" t="s">
        <v>1616</v>
      </c>
      <c r="AU5" s="795" t="s">
        <v>1616</v>
      </c>
      <c r="AV5" s="795" t="s">
        <v>1616</v>
      </c>
      <c r="AW5" s="795" t="s">
        <v>1616</v>
      </c>
      <c r="AX5" s="795" t="s">
        <v>1616</v>
      </c>
      <c r="AY5" s="795" t="s">
        <v>1616</v>
      </c>
      <c r="AZ5" s="795" t="s">
        <v>1616</v>
      </c>
      <c r="BA5" s="795" t="s">
        <v>1616</v>
      </c>
      <c r="BB5" s="795" t="s">
        <v>1616</v>
      </c>
      <c r="BC5" s="795" t="s">
        <v>1616</v>
      </c>
      <c r="BD5" s="795" t="s">
        <v>1616</v>
      </c>
      <c r="BE5" s="795" t="s">
        <v>1616</v>
      </c>
      <c r="BF5" s="795" t="s">
        <v>1616</v>
      </c>
      <c r="BG5" s="795" t="s">
        <v>1616</v>
      </c>
      <c r="BH5" s="795" t="s">
        <v>1616</v>
      </c>
      <c r="BI5" s="795" t="s">
        <v>1616</v>
      </c>
      <c r="BJ5" s="795" t="s">
        <v>1616</v>
      </c>
      <c r="BK5" s="795" t="s">
        <v>1616</v>
      </c>
      <c r="BL5" s="795" t="s">
        <v>1616</v>
      </c>
      <c r="BM5" s="795" t="s">
        <v>1616</v>
      </c>
      <c r="BN5" s="795" t="s">
        <v>1616</v>
      </c>
      <c r="BO5" s="795" t="s">
        <v>1616</v>
      </c>
      <c r="BP5" s="795" t="s">
        <v>1616</v>
      </c>
      <c r="BQ5" s="795" t="s">
        <v>1616</v>
      </c>
      <c r="BR5" s="795" t="s">
        <v>1616</v>
      </c>
      <c r="BS5" s="795" t="s">
        <v>1616</v>
      </c>
      <c r="BT5" s="795" t="s">
        <v>1616</v>
      </c>
      <c r="BU5" s="795" t="s">
        <v>1616</v>
      </c>
      <c r="BV5" s="795" t="s">
        <v>1616</v>
      </c>
      <c r="BW5" s="795" t="s">
        <v>1616</v>
      </c>
      <c r="BX5" s="795" t="s">
        <v>1616</v>
      </c>
      <c r="BY5" s="795" t="s">
        <v>1616</v>
      </c>
      <c r="BZ5" s="795" t="s">
        <v>1616</v>
      </c>
      <c r="CA5" s="795" t="s">
        <v>1616</v>
      </c>
      <c r="CB5" s="795" t="s">
        <v>1616</v>
      </c>
      <c r="CC5" s="795" t="s">
        <v>1616</v>
      </c>
      <c r="CD5" s="795" t="s">
        <v>1616</v>
      </c>
      <c r="CE5" s="795" t="s">
        <v>1616</v>
      </c>
      <c r="CF5" s="795" t="s">
        <v>1616</v>
      </c>
      <c r="CG5" s="795" t="s">
        <v>1616</v>
      </c>
      <c r="CH5" s="795" t="s">
        <v>1616</v>
      </c>
      <c r="CI5" s="795" t="s">
        <v>1616</v>
      </c>
      <c r="CJ5" s="795" t="s">
        <v>1616</v>
      </c>
      <c r="CK5" s="795" t="s">
        <v>1616</v>
      </c>
      <c r="CL5" s="795" t="s">
        <v>1616</v>
      </c>
      <c r="CM5" s="795" t="s">
        <v>1616</v>
      </c>
      <c r="CN5" s="795" t="s">
        <v>1616</v>
      </c>
      <c r="CO5" s="795" t="s">
        <v>1616</v>
      </c>
      <c r="CP5" s="795" t="s">
        <v>1616</v>
      </c>
      <c r="CQ5" s="795" t="s">
        <v>1616</v>
      </c>
      <c r="CR5" s="795" t="s">
        <v>1616</v>
      </c>
      <c r="CS5" s="795" t="s">
        <v>1616</v>
      </c>
      <c r="CT5" s="795" t="s">
        <v>1616</v>
      </c>
      <c r="CU5" s="795" t="s">
        <v>1616</v>
      </c>
      <c r="CV5" s="795" t="s">
        <v>1616</v>
      </c>
      <c r="CW5" s="795" t="s">
        <v>1616</v>
      </c>
      <c r="CX5" s="795" t="s">
        <v>1616</v>
      </c>
      <c r="CY5" s="795" t="s">
        <v>1616</v>
      </c>
      <c r="CZ5" s="795" t="s">
        <v>1616</v>
      </c>
      <c r="DA5" s="795" t="s">
        <v>1616</v>
      </c>
      <c r="DB5" s="795" t="s">
        <v>1616</v>
      </c>
      <c r="DC5" s="795" t="s">
        <v>1616</v>
      </c>
      <c r="DD5" s="795" t="s">
        <v>1616</v>
      </c>
      <c r="DE5" s="839"/>
    </row>
    <row r="6" spans="1:109" ht="21.6">
      <c r="A6" s="796" t="s">
        <v>1617</v>
      </c>
      <c r="B6" s="797">
        <v>295</v>
      </c>
      <c r="C6" s="798">
        <v>334.83300000000003</v>
      </c>
      <c r="D6" s="798">
        <v>339.42200000000003</v>
      </c>
      <c r="E6" s="798">
        <v>328.38499999999999</v>
      </c>
      <c r="F6" s="798">
        <v>337.25</v>
      </c>
      <c r="G6" s="799">
        <v>325.02499999999998</v>
      </c>
      <c r="H6" s="799">
        <v>328.45</v>
      </c>
      <c r="I6" s="799">
        <v>323.52699999999999</v>
      </c>
      <c r="J6" s="799">
        <v>341.108</v>
      </c>
      <c r="K6" s="799">
        <v>339</v>
      </c>
      <c r="L6" s="799">
        <v>343.21699999999998</v>
      </c>
      <c r="M6" s="799">
        <v>338.90800000000002</v>
      </c>
      <c r="N6" s="799">
        <v>333.92700000000002</v>
      </c>
      <c r="O6" s="799">
        <v>334.33</v>
      </c>
      <c r="P6" s="799">
        <v>337.53800000000001</v>
      </c>
      <c r="Q6" s="799">
        <v>347.73500000000001</v>
      </c>
      <c r="R6" s="799">
        <v>342.85</v>
      </c>
      <c r="S6" s="799">
        <v>344.59199999999998</v>
      </c>
      <c r="T6" s="799">
        <v>341.15</v>
      </c>
      <c r="U6" s="799">
        <v>337.99200000000002</v>
      </c>
      <c r="V6" s="799">
        <v>345.6</v>
      </c>
      <c r="W6" s="799">
        <v>342.02499999999998</v>
      </c>
      <c r="X6" s="799">
        <v>340.1</v>
      </c>
      <c r="Y6" s="799">
        <v>340.65</v>
      </c>
      <c r="Z6" s="799">
        <v>34.596699999999998</v>
      </c>
      <c r="AA6" s="799">
        <v>35.018299999999996</v>
      </c>
      <c r="AB6" s="799">
        <v>35.7883</v>
      </c>
      <c r="AC6" s="799">
        <v>36.256</v>
      </c>
      <c r="AD6" s="799">
        <v>35.968000000000004</v>
      </c>
      <c r="AE6" s="799">
        <v>35.274999999999999</v>
      </c>
      <c r="AF6" s="799">
        <v>34.570999999999998</v>
      </c>
      <c r="AG6" s="800">
        <v>34.945</v>
      </c>
      <c r="AH6" s="801">
        <v>35.39</v>
      </c>
      <c r="AI6" s="799">
        <v>35.605000000000004</v>
      </c>
      <c r="AJ6" s="799">
        <v>35.700000000000003</v>
      </c>
      <c r="AK6" s="799">
        <v>35.825000000000003</v>
      </c>
      <c r="AL6" s="799">
        <v>34.4133</v>
      </c>
      <c r="AM6" s="799">
        <v>34.743299999999998</v>
      </c>
      <c r="AN6" s="799">
        <v>35.971699999999998</v>
      </c>
      <c r="AO6" s="799">
        <v>38.116699999999994</v>
      </c>
      <c r="AP6" s="799">
        <v>38.630000000000003</v>
      </c>
      <c r="AQ6" s="799">
        <v>39.125</v>
      </c>
      <c r="AR6" s="799">
        <v>39.015000000000001</v>
      </c>
      <c r="AS6" s="799">
        <v>39.4</v>
      </c>
      <c r="AT6" s="799">
        <v>39.4</v>
      </c>
      <c r="AU6" s="799">
        <v>39.4</v>
      </c>
      <c r="AV6" s="799">
        <v>39.4</v>
      </c>
      <c r="AW6" s="799">
        <v>39.4</v>
      </c>
      <c r="AX6" s="801">
        <v>39.4</v>
      </c>
      <c r="AY6" s="799">
        <v>39.4</v>
      </c>
      <c r="AZ6" s="799">
        <v>39.4</v>
      </c>
      <c r="BA6" s="801">
        <v>39.216699999999996</v>
      </c>
      <c r="BB6" s="801">
        <v>39.271699999999996</v>
      </c>
      <c r="BC6" s="801">
        <v>39.4</v>
      </c>
      <c r="BD6" s="801">
        <v>39.4</v>
      </c>
      <c r="BE6" s="801">
        <v>39.4</v>
      </c>
      <c r="BF6" s="801">
        <v>39.781300000000002</v>
      </c>
      <c r="BG6" s="801">
        <v>39.78</v>
      </c>
      <c r="BH6" s="801">
        <v>39.977999999999994</v>
      </c>
      <c r="BI6" s="801">
        <v>40</v>
      </c>
      <c r="BJ6" s="801">
        <v>39.926699999999997</v>
      </c>
      <c r="BK6" s="801">
        <v>39.977999999999994</v>
      </c>
      <c r="BL6" s="801">
        <v>40</v>
      </c>
      <c r="BM6" s="801">
        <v>40</v>
      </c>
      <c r="BN6" s="801">
        <v>40</v>
      </c>
      <c r="BO6" s="801">
        <v>40</v>
      </c>
      <c r="BP6" s="801">
        <v>40</v>
      </c>
      <c r="BQ6" s="801">
        <v>40</v>
      </c>
      <c r="BR6" s="801">
        <v>40</v>
      </c>
      <c r="BS6" s="801">
        <v>40</v>
      </c>
      <c r="BT6" s="801">
        <v>40</v>
      </c>
      <c r="BU6" s="801">
        <v>39.3125</v>
      </c>
      <c r="BV6" s="801">
        <v>40.274999999999999</v>
      </c>
      <c r="BW6" s="801">
        <v>41.375</v>
      </c>
      <c r="BX6" s="801">
        <v>41.914000000000001</v>
      </c>
      <c r="BY6" s="801">
        <v>42.768299999999996</v>
      </c>
      <c r="BZ6" s="801">
        <v>43.3</v>
      </c>
      <c r="CA6" s="801">
        <v>44.125</v>
      </c>
      <c r="CB6" s="801">
        <v>44.892000000000003</v>
      </c>
      <c r="CC6" s="801">
        <v>44.988</v>
      </c>
      <c r="CD6" s="801">
        <v>45</v>
      </c>
      <c r="CE6" s="801">
        <v>45</v>
      </c>
      <c r="CF6" s="801">
        <v>45</v>
      </c>
      <c r="CG6" s="801">
        <v>44.862499999999997</v>
      </c>
      <c r="CH6" s="801">
        <v>44.988999999999997</v>
      </c>
      <c r="CI6" s="801">
        <v>45</v>
      </c>
      <c r="CJ6" s="801">
        <v>45</v>
      </c>
      <c r="CK6" s="801">
        <v>45</v>
      </c>
      <c r="CL6" s="801">
        <v>45</v>
      </c>
      <c r="CM6" s="801">
        <v>45</v>
      </c>
      <c r="CN6" s="801">
        <v>45</v>
      </c>
      <c r="CO6" s="801">
        <v>45</v>
      </c>
      <c r="CP6" s="801">
        <v>45</v>
      </c>
      <c r="CQ6" s="801">
        <v>45</v>
      </c>
      <c r="CR6" s="801">
        <v>45</v>
      </c>
      <c r="CS6" s="801">
        <v>45</v>
      </c>
      <c r="CT6" s="801">
        <v>45</v>
      </c>
      <c r="CU6" s="801">
        <v>45</v>
      </c>
      <c r="CV6" s="801">
        <v>45</v>
      </c>
      <c r="CW6" s="801">
        <v>45</v>
      </c>
      <c r="CX6" s="801">
        <v>45</v>
      </c>
      <c r="CY6" s="801">
        <v>49.4</v>
      </c>
      <c r="CZ6" s="801">
        <v>49.4</v>
      </c>
      <c r="DA6" s="801">
        <v>50</v>
      </c>
      <c r="DB6" s="801">
        <v>50</v>
      </c>
      <c r="DC6" s="801">
        <v>50</v>
      </c>
      <c r="DD6" s="801">
        <v>50</v>
      </c>
      <c r="DE6" s="802" t="s">
        <v>1618</v>
      </c>
    </row>
    <row r="7" spans="1:109" ht="21.6">
      <c r="A7" s="796" t="s">
        <v>1619</v>
      </c>
      <c r="B7" s="797">
        <v>498</v>
      </c>
      <c r="C7" s="798">
        <v>483.66699999999997</v>
      </c>
      <c r="D7" s="798">
        <v>488.83300000000003</v>
      </c>
      <c r="E7" s="798">
        <v>467.29199999999997</v>
      </c>
      <c r="F7" s="798">
        <v>480.33300000000003</v>
      </c>
      <c r="G7" s="799">
        <v>507.08300000000003</v>
      </c>
      <c r="H7" s="799">
        <v>496</v>
      </c>
      <c r="I7" s="799">
        <v>485.375</v>
      </c>
      <c r="J7" s="799">
        <v>481</v>
      </c>
      <c r="K7" s="799">
        <v>478.75</v>
      </c>
      <c r="L7" s="799">
        <v>478.75</v>
      </c>
      <c r="M7" s="799">
        <v>497.875</v>
      </c>
      <c r="N7" s="799">
        <v>497.25</v>
      </c>
      <c r="O7" s="799">
        <v>490.62</v>
      </c>
      <c r="P7" s="799">
        <v>466.875</v>
      </c>
      <c r="Q7" s="799">
        <v>479.45800000000003</v>
      </c>
      <c r="R7" s="799">
        <v>484.67200000000003</v>
      </c>
      <c r="S7" s="799">
        <v>494.33300000000003</v>
      </c>
      <c r="T7" s="799">
        <v>500</v>
      </c>
      <c r="U7" s="799">
        <v>496</v>
      </c>
      <c r="V7" s="799">
        <v>481</v>
      </c>
      <c r="W7" s="799">
        <v>481.58300000000003</v>
      </c>
      <c r="X7" s="799">
        <v>483</v>
      </c>
      <c r="Y7" s="799">
        <v>491.5</v>
      </c>
      <c r="Z7" s="799">
        <v>49.15</v>
      </c>
      <c r="AA7" s="799">
        <v>48.725000000000001</v>
      </c>
      <c r="AB7" s="799">
        <v>48.512500000000003</v>
      </c>
      <c r="AC7" s="799">
        <v>48.521000000000001</v>
      </c>
      <c r="AD7" s="799">
        <v>47.237499999999997</v>
      </c>
      <c r="AE7" s="799">
        <v>50</v>
      </c>
      <c r="AF7" s="799">
        <v>49.8</v>
      </c>
      <c r="AG7" s="800">
        <v>50</v>
      </c>
      <c r="AH7" s="801">
        <v>49.575000000000003</v>
      </c>
      <c r="AI7" s="799">
        <v>49.575000000000003</v>
      </c>
      <c r="AJ7" s="799">
        <v>49.6</v>
      </c>
      <c r="AK7" s="799">
        <v>49.575000000000003</v>
      </c>
      <c r="AL7" s="799">
        <v>49.15</v>
      </c>
      <c r="AM7" s="799">
        <v>50.033999999999999</v>
      </c>
      <c r="AN7" s="799">
        <v>50</v>
      </c>
      <c r="AO7" s="799">
        <v>50</v>
      </c>
      <c r="AP7" s="799">
        <v>50</v>
      </c>
      <c r="AQ7" s="799">
        <v>50</v>
      </c>
      <c r="AR7" s="799">
        <v>49.575000000000003</v>
      </c>
      <c r="AS7" s="799">
        <v>48.725000000000001</v>
      </c>
      <c r="AT7" s="799">
        <v>48.406300000000002</v>
      </c>
      <c r="AU7" s="799">
        <v>48.3</v>
      </c>
      <c r="AV7" s="799">
        <v>48.3</v>
      </c>
      <c r="AW7" s="799">
        <v>48.3</v>
      </c>
      <c r="AX7" s="801">
        <v>50</v>
      </c>
      <c r="AY7" s="799">
        <v>50</v>
      </c>
      <c r="AZ7" s="799">
        <v>48.458300000000001</v>
      </c>
      <c r="BA7" s="801">
        <v>49.7333</v>
      </c>
      <c r="BB7" s="801">
        <v>50</v>
      </c>
      <c r="BC7" s="801">
        <v>47.7333</v>
      </c>
      <c r="BD7" s="801">
        <v>47.875</v>
      </c>
      <c r="BE7" s="801">
        <v>47.45</v>
      </c>
      <c r="BF7" s="801">
        <v>47.45</v>
      </c>
      <c r="BG7" s="801">
        <v>47.45</v>
      </c>
      <c r="BH7" s="801">
        <v>50</v>
      </c>
      <c r="BI7" s="801">
        <v>47.45</v>
      </c>
      <c r="BJ7" s="801">
        <v>45.325000000000003</v>
      </c>
      <c r="BK7" s="801">
        <v>43.2</v>
      </c>
      <c r="BL7" s="801">
        <v>50.816699999999997</v>
      </c>
      <c r="BM7" s="801">
        <v>52.45</v>
      </c>
      <c r="BN7" s="801">
        <v>51.4375</v>
      </c>
      <c r="BO7" s="801">
        <v>48.725000000000001</v>
      </c>
      <c r="BP7" s="801">
        <v>48.3</v>
      </c>
      <c r="BQ7" s="801">
        <v>49.15</v>
      </c>
      <c r="BR7" s="801">
        <v>50</v>
      </c>
      <c r="BS7" s="801">
        <v>48.9375</v>
      </c>
      <c r="BT7" s="801">
        <v>49.15</v>
      </c>
      <c r="BU7" s="801">
        <v>49.15</v>
      </c>
      <c r="BV7" s="801">
        <v>50.85</v>
      </c>
      <c r="BW7" s="801">
        <v>50.8</v>
      </c>
      <c r="BX7" s="801">
        <v>55.85</v>
      </c>
      <c r="BY7" s="801">
        <v>58.058299999999996</v>
      </c>
      <c r="BZ7" s="801">
        <v>57.0792</v>
      </c>
      <c r="CA7" s="801">
        <v>59.8</v>
      </c>
      <c r="CB7" s="801">
        <v>60</v>
      </c>
      <c r="CC7" s="801">
        <v>60</v>
      </c>
      <c r="CD7" s="801">
        <v>61.7</v>
      </c>
      <c r="CE7" s="801">
        <v>63.8</v>
      </c>
      <c r="CF7" s="801">
        <v>61.7</v>
      </c>
      <c r="CG7" s="801">
        <v>60.075000000000003</v>
      </c>
      <c r="CH7" s="801">
        <v>60</v>
      </c>
      <c r="CI7" s="801">
        <v>59.524999999999999</v>
      </c>
      <c r="CJ7" s="801">
        <v>60</v>
      </c>
      <c r="CK7" s="801">
        <v>56.595799999999997</v>
      </c>
      <c r="CL7" s="801">
        <v>56.316700000000004</v>
      </c>
      <c r="CM7" s="801">
        <v>55.125</v>
      </c>
      <c r="CN7" s="801">
        <v>60</v>
      </c>
      <c r="CO7" s="801">
        <v>60.566700000000004</v>
      </c>
      <c r="CP7" s="801">
        <v>60.85</v>
      </c>
      <c r="CQ7" s="801">
        <v>60</v>
      </c>
      <c r="CR7" s="801">
        <v>60</v>
      </c>
      <c r="CS7" s="801">
        <v>60</v>
      </c>
      <c r="CT7" s="801">
        <v>60</v>
      </c>
      <c r="CU7" s="801">
        <v>60</v>
      </c>
      <c r="CV7" s="801">
        <v>60</v>
      </c>
      <c r="CW7" s="801">
        <v>60</v>
      </c>
      <c r="CX7" s="801">
        <v>60</v>
      </c>
      <c r="CY7" s="801">
        <v>60</v>
      </c>
      <c r="CZ7" s="801">
        <v>60</v>
      </c>
      <c r="DA7" s="801">
        <v>60</v>
      </c>
      <c r="DB7" s="801">
        <v>60</v>
      </c>
      <c r="DC7" s="801">
        <v>60</v>
      </c>
      <c r="DD7" s="801">
        <v>60</v>
      </c>
      <c r="DE7" s="802" t="s">
        <v>1620</v>
      </c>
    </row>
    <row r="8" spans="1:109">
      <c r="A8" s="796" t="s">
        <v>1621</v>
      </c>
      <c r="B8" s="797">
        <v>180</v>
      </c>
      <c r="C8" s="798">
        <v>183.333</v>
      </c>
      <c r="D8" s="798">
        <v>183.28</v>
      </c>
      <c r="E8" s="798">
        <v>179.6</v>
      </c>
      <c r="F8" s="798">
        <v>179.6</v>
      </c>
      <c r="G8" s="799">
        <v>174.85</v>
      </c>
      <c r="H8" s="799">
        <v>169.8</v>
      </c>
      <c r="I8" s="799">
        <v>177.8</v>
      </c>
      <c r="J8" s="799">
        <v>185.1</v>
      </c>
      <c r="K8" s="799">
        <v>185.95</v>
      </c>
      <c r="L8" s="799">
        <v>189</v>
      </c>
      <c r="M8" s="799">
        <v>194.1</v>
      </c>
      <c r="N8" s="799">
        <v>191.32499999999999</v>
      </c>
      <c r="O8" s="799">
        <v>186.8</v>
      </c>
      <c r="P8" s="799">
        <v>170.3</v>
      </c>
      <c r="Q8" s="799">
        <v>174.55</v>
      </c>
      <c r="R8" s="799">
        <v>183.4</v>
      </c>
      <c r="S8" s="799">
        <v>178.017</v>
      </c>
      <c r="T8" s="799">
        <v>167.45</v>
      </c>
      <c r="U8" s="799">
        <v>177.5</v>
      </c>
      <c r="V8" s="799">
        <v>169.828</v>
      </c>
      <c r="W8" s="799">
        <v>167.3</v>
      </c>
      <c r="X8" s="799">
        <v>183.05</v>
      </c>
      <c r="Y8" s="799">
        <v>185.65</v>
      </c>
      <c r="Z8" s="799">
        <v>18.059999999999999</v>
      </c>
      <c r="AA8" s="799">
        <v>18.283300000000001</v>
      </c>
      <c r="AB8" s="799">
        <v>18.169999999999998</v>
      </c>
      <c r="AC8" s="799">
        <v>17.759999999999998</v>
      </c>
      <c r="AD8" s="799">
        <v>18.68</v>
      </c>
      <c r="AE8" s="799">
        <v>18.52</v>
      </c>
      <c r="AF8" s="799">
        <v>19.02</v>
      </c>
      <c r="AG8" s="800">
        <v>18.68</v>
      </c>
      <c r="AH8" s="801">
        <v>19.02</v>
      </c>
      <c r="AI8" s="799">
        <v>19.59</v>
      </c>
      <c r="AJ8" s="799">
        <v>19.2</v>
      </c>
      <c r="AK8" s="799">
        <v>18.91</v>
      </c>
      <c r="AL8" s="799">
        <v>18.255000000000003</v>
      </c>
      <c r="AM8" s="799">
        <v>19.169999999999998</v>
      </c>
      <c r="AN8" s="799">
        <v>18.830000000000002</v>
      </c>
      <c r="AO8" s="799">
        <v>18.830000000000002</v>
      </c>
      <c r="AP8" s="799">
        <v>18.830000000000002</v>
      </c>
      <c r="AQ8" s="799">
        <v>18.66</v>
      </c>
      <c r="AR8" s="799">
        <v>19.226700000000001</v>
      </c>
      <c r="AS8" s="799">
        <v>19.223300000000002</v>
      </c>
      <c r="AT8" s="799">
        <v>18.905999999999999</v>
      </c>
      <c r="AU8" s="799">
        <v>18.940000000000001</v>
      </c>
      <c r="AV8" s="799">
        <v>18.673300000000001</v>
      </c>
      <c r="AW8" s="799">
        <v>18.78</v>
      </c>
      <c r="AX8" s="801">
        <v>19.34</v>
      </c>
      <c r="AY8" s="799">
        <v>17.895</v>
      </c>
      <c r="AZ8" s="799">
        <v>17.984999999999999</v>
      </c>
      <c r="BA8" s="801">
        <v>18.3</v>
      </c>
      <c r="BB8" s="801">
        <v>18.3</v>
      </c>
      <c r="BC8" s="801">
        <v>18.3</v>
      </c>
      <c r="BD8" s="801">
        <v>17.3733</v>
      </c>
      <c r="BE8" s="801">
        <v>17.7683</v>
      </c>
      <c r="BF8" s="801">
        <v>16.72</v>
      </c>
      <c r="BG8" s="801">
        <v>15.665799999999999</v>
      </c>
      <c r="BH8" s="801">
        <v>17.101700000000001</v>
      </c>
      <c r="BI8" s="801">
        <v>17.436699999999998</v>
      </c>
      <c r="BJ8" s="801">
        <v>17.255000000000003</v>
      </c>
      <c r="BK8" s="801">
        <v>17.734999999999999</v>
      </c>
      <c r="BL8" s="801">
        <v>18.2317</v>
      </c>
      <c r="BM8" s="801">
        <v>18.144300000000001</v>
      </c>
      <c r="BN8" s="801">
        <v>18.594999999999999</v>
      </c>
      <c r="BO8" s="801">
        <v>18.811699999999998</v>
      </c>
      <c r="BP8" s="801">
        <v>18.556699999999999</v>
      </c>
      <c r="BQ8" s="801">
        <v>19.84</v>
      </c>
      <c r="BR8" s="801">
        <v>19.600000000000001</v>
      </c>
      <c r="BS8" s="801">
        <v>19</v>
      </c>
      <c r="BT8" s="801">
        <v>20.32</v>
      </c>
      <c r="BU8" s="801">
        <v>24.0167</v>
      </c>
      <c r="BV8" s="801">
        <v>25.375</v>
      </c>
      <c r="BW8" s="801">
        <v>25.544999999999998</v>
      </c>
      <c r="BX8" s="801">
        <v>26.763299999999997</v>
      </c>
      <c r="BY8" s="801">
        <v>27.925000000000001</v>
      </c>
      <c r="BZ8" s="801">
        <v>27.386700000000001</v>
      </c>
      <c r="CA8" s="801">
        <v>29.6</v>
      </c>
      <c r="CB8" s="801">
        <v>30</v>
      </c>
      <c r="CC8" s="801">
        <v>30</v>
      </c>
      <c r="CD8" s="801">
        <v>30</v>
      </c>
      <c r="CE8" s="801">
        <v>30</v>
      </c>
      <c r="CF8" s="801">
        <v>30</v>
      </c>
      <c r="CG8" s="801">
        <v>27.925000000000001</v>
      </c>
      <c r="CH8" s="801">
        <v>27.1</v>
      </c>
      <c r="CI8" s="801">
        <v>26.65</v>
      </c>
      <c r="CJ8" s="801">
        <v>27.55</v>
      </c>
      <c r="CK8" s="801">
        <v>27.125</v>
      </c>
      <c r="CL8" s="801">
        <v>27.1</v>
      </c>
      <c r="CM8" s="801">
        <v>27.5</v>
      </c>
      <c r="CN8" s="801">
        <v>27.925000000000001</v>
      </c>
      <c r="CO8" s="801">
        <v>28.35</v>
      </c>
      <c r="CP8" s="801">
        <v>28.583300000000001</v>
      </c>
      <c r="CQ8" s="801">
        <v>27.341699999999996</v>
      </c>
      <c r="CR8" s="801">
        <v>27.029199999999996</v>
      </c>
      <c r="CS8" s="801">
        <v>27.287500000000001</v>
      </c>
      <c r="CT8" s="801">
        <v>27.669999999999998</v>
      </c>
      <c r="CU8" s="801">
        <v>28.35</v>
      </c>
      <c r="CV8" s="801">
        <v>28.35</v>
      </c>
      <c r="CW8" s="801">
        <v>28.35</v>
      </c>
      <c r="CX8" s="801">
        <v>28.35</v>
      </c>
      <c r="CY8" s="801">
        <v>28.75</v>
      </c>
      <c r="CZ8" s="801">
        <v>28.95</v>
      </c>
      <c r="DA8" s="801">
        <v>29.15</v>
      </c>
      <c r="DB8" s="801">
        <v>28.35</v>
      </c>
      <c r="DC8" s="801">
        <v>27.5</v>
      </c>
      <c r="DD8" s="801">
        <v>27.15</v>
      </c>
      <c r="DE8" s="802" t="s">
        <v>1622</v>
      </c>
    </row>
    <row r="9" spans="1:109" ht="21.6">
      <c r="A9" s="796" t="s">
        <v>1623</v>
      </c>
      <c r="B9" s="797">
        <v>1530</v>
      </c>
      <c r="C9" s="798">
        <v>1477.7429999999999</v>
      </c>
      <c r="D9" s="798">
        <v>1477.817</v>
      </c>
      <c r="E9" s="798">
        <v>1487.68</v>
      </c>
      <c r="F9" s="798">
        <v>1452.663</v>
      </c>
      <c r="G9" s="799">
        <v>1460.96</v>
      </c>
      <c r="H9" s="799">
        <v>1494.09</v>
      </c>
      <c r="I9" s="799">
        <v>1467.453</v>
      </c>
      <c r="J9" s="799">
        <v>1475.3230000000001</v>
      </c>
      <c r="K9" s="799">
        <v>1469.8330000000001</v>
      </c>
      <c r="L9" s="799">
        <v>1469.75</v>
      </c>
      <c r="M9" s="799">
        <v>1479.357</v>
      </c>
      <c r="N9" s="799">
        <v>1470.117</v>
      </c>
      <c r="O9" s="799">
        <v>1476.5329999999999</v>
      </c>
      <c r="P9" s="799">
        <v>1472.5</v>
      </c>
      <c r="Q9" s="799">
        <v>1467</v>
      </c>
      <c r="R9" s="799">
        <v>1521.33</v>
      </c>
      <c r="S9" s="799">
        <v>1531.81</v>
      </c>
      <c r="T9" s="799">
        <v>1512</v>
      </c>
      <c r="U9" s="799">
        <v>1560.3630000000001</v>
      </c>
      <c r="V9" s="799">
        <v>1556</v>
      </c>
      <c r="W9" s="799">
        <v>1545.66</v>
      </c>
      <c r="X9" s="799">
        <v>1558.99</v>
      </c>
      <c r="Y9" s="799">
        <v>1513.98</v>
      </c>
      <c r="Z9" s="799">
        <v>152.90870000000001</v>
      </c>
      <c r="AA9" s="799">
        <v>153.309</v>
      </c>
      <c r="AB9" s="799">
        <v>152.85</v>
      </c>
      <c r="AC9" s="799">
        <v>148.65699999999998</v>
      </c>
      <c r="AD9" s="799">
        <v>152.34030000000001</v>
      </c>
      <c r="AE9" s="799">
        <v>152.30000000000001</v>
      </c>
      <c r="AF9" s="799">
        <v>150.55000000000001</v>
      </c>
      <c r="AG9" s="800">
        <v>150.62200000000001</v>
      </c>
      <c r="AH9" s="801">
        <v>151.19999999999999</v>
      </c>
      <c r="AI9" s="799">
        <v>150.11099999999999</v>
      </c>
      <c r="AJ9" s="799">
        <v>149.6</v>
      </c>
      <c r="AK9" s="799">
        <v>150.05599999999998</v>
      </c>
      <c r="AL9" s="799">
        <v>149.02199999999999</v>
      </c>
      <c r="AM9" s="799">
        <v>150.65</v>
      </c>
      <c r="AN9" s="799">
        <v>147.35</v>
      </c>
      <c r="AO9" s="799">
        <v>147.9</v>
      </c>
      <c r="AP9" s="799">
        <v>149</v>
      </c>
      <c r="AQ9" s="799">
        <v>149.99</v>
      </c>
      <c r="AR9" s="799">
        <v>148.35</v>
      </c>
      <c r="AS9" s="799">
        <v>151.1</v>
      </c>
      <c r="AT9" s="799">
        <v>152.85</v>
      </c>
      <c r="AU9" s="799">
        <v>151.65</v>
      </c>
      <c r="AV9" s="799">
        <v>151.34300000000002</v>
      </c>
      <c r="AW9" s="799">
        <v>138.57929999999999</v>
      </c>
      <c r="AX9" s="801">
        <v>139.21269999999998</v>
      </c>
      <c r="AY9" s="799">
        <v>135.34530000000001</v>
      </c>
      <c r="AZ9" s="799">
        <v>137.358</v>
      </c>
      <c r="BA9" s="801">
        <v>147.16669999999999</v>
      </c>
      <c r="BB9" s="801">
        <v>147.4333</v>
      </c>
      <c r="BC9" s="801">
        <v>148.59200000000001</v>
      </c>
      <c r="BD9" s="801">
        <v>146.45429999999999</v>
      </c>
      <c r="BE9" s="801">
        <v>149.065</v>
      </c>
      <c r="BF9" s="801">
        <v>154.11769999999999</v>
      </c>
      <c r="BG9" s="801">
        <v>153.3843</v>
      </c>
      <c r="BH9" s="801">
        <v>152.29900000000001</v>
      </c>
      <c r="BI9" s="801">
        <v>150.25299999999999</v>
      </c>
      <c r="BJ9" s="801">
        <v>153.30000000000001</v>
      </c>
      <c r="BK9" s="801">
        <v>155.71269999999998</v>
      </c>
      <c r="BL9" s="801">
        <v>163.411</v>
      </c>
      <c r="BM9" s="801">
        <v>168.50399999999999</v>
      </c>
      <c r="BN9" s="801">
        <v>178.685</v>
      </c>
      <c r="BO9" s="801">
        <v>170.2593</v>
      </c>
      <c r="BP9" s="801">
        <v>183.0857</v>
      </c>
      <c r="BQ9" s="801">
        <v>194.7475</v>
      </c>
      <c r="BR9" s="801">
        <v>198.81400000000002</v>
      </c>
      <c r="BS9" s="801">
        <v>195.45599999999999</v>
      </c>
      <c r="BT9" s="801">
        <v>198.26830000000001</v>
      </c>
      <c r="BU9" s="801">
        <v>199.79599999999999</v>
      </c>
      <c r="BV9" s="801">
        <v>193.51249999999999</v>
      </c>
      <c r="BW9" s="801">
        <v>194.45329999999998</v>
      </c>
      <c r="BX9" s="801">
        <v>199.39500000000001</v>
      </c>
      <c r="BY9" s="801">
        <v>201.465</v>
      </c>
      <c r="BZ9" s="801">
        <v>200.345</v>
      </c>
      <c r="CA9" s="801">
        <v>204.983</v>
      </c>
      <c r="CB9" s="801">
        <v>212.3</v>
      </c>
      <c r="CC9" s="801">
        <v>229.81399999999999</v>
      </c>
      <c r="CD9" s="801">
        <v>239.42800000000003</v>
      </c>
      <c r="CE9" s="801">
        <v>240</v>
      </c>
      <c r="CF9" s="801">
        <v>232.85</v>
      </c>
      <c r="CG9" s="801">
        <v>230.1</v>
      </c>
      <c r="CH9" s="801">
        <v>230.29430000000002</v>
      </c>
      <c r="CI9" s="801">
        <v>228.08330000000001</v>
      </c>
      <c r="CJ9" s="801">
        <v>204.6</v>
      </c>
      <c r="CK9" s="801">
        <v>205.964</v>
      </c>
      <c r="CL9" s="801">
        <v>204.6</v>
      </c>
      <c r="CM9" s="801">
        <v>203.5</v>
      </c>
      <c r="CN9" s="801">
        <v>200</v>
      </c>
      <c r="CO9" s="801">
        <v>200</v>
      </c>
      <c r="CP9" s="801">
        <v>200</v>
      </c>
      <c r="CQ9" s="801">
        <v>200</v>
      </c>
      <c r="CR9" s="801">
        <v>200</v>
      </c>
      <c r="CS9" s="801">
        <v>200</v>
      </c>
      <c r="CT9" s="801">
        <v>200</v>
      </c>
      <c r="CU9" s="801">
        <v>200</v>
      </c>
      <c r="CV9" s="801">
        <v>200</v>
      </c>
      <c r="CW9" s="801">
        <v>200</v>
      </c>
      <c r="CX9" s="801">
        <v>200</v>
      </c>
      <c r="CY9" s="801">
        <v>200</v>
      </c>
      <c r="CZ9" s="801">
        <v>200</v>
      </c>
      <c r="DA9" s="801">
        <v>205.5</v>
      </c>
      <c r="DB9" s="801">
        <v>219.8</v>
      </c>
      <c r="DC9" s="801">
        <v>237.8</v>
      </c>
      <c r="DD9" s="801">
        <v>240</v>
      </c>
      <c r="DE9" s="802" t="s">
        <v>1624</v>
      </c>
    </row>
    <row r="10" spans="1:109">
      <c r="A10" s="796" t="s">
        <v>1625</v>
      </c>
      <c r="B10" s="797">
        <v>1552</v>
      </c>
      <c r="C10" s="798">
        <v>1535.3330000000001</v>
      </c>
      <c r="D10" s="798">
        <v>1580.3330000000001</v>
      </c>
      <c r="E10" s="798">
        <v>1567</v>
      </c>
      <c r="F10" s="798">
        <v>1553.5</v>
      </c>
      <c r="G10" s="799">
        <v>1562.25</v>
      </c>
      <c r="H10" s="799">
        <v>1585.2</v>
      </c>
      <c r="I10" s="799">
        <v>1510.75</v>
      </c>
      <c r="J10" s="799">
        <v>1548.0830000000001</v>
      </c>
      <c r="K10" s="799">
        <v>1534</v>
      </c>
      <c r="L10" s="799">
        <v>1592</v>
      </c>
      <c r="M10" s="799">
        <v>1557.75</v>
      </c>
      <c r="N10" s="799">
        <v>1562</v>
      </c>
      <c r="O10" s="799">
        <v>1533</v>
      </c>
      <c r="P10" s="799">
        <v>1575.5</v>
      </c>
      <c r="Q10" s="799">
        <v>1558.5</v>
      </c>
      <c r="R10" s="799">
        <v>1583.5</v>
      </c>
      <c r="S10" s="799">
        <v>1549.5</v>
      </c>
      <c r="T10" s="799">
        <v>1549.5</v>
      </c>
      <c r="U10" s="799">
        <v>1548.9169999999999</v>
      </c>
      <c r="V10" s="799">
        <v>1555.5830000000001</v>
      </c>
      <c r="W10" s="799">
        <v>1501.0830000000001</v>
      </c>
      <c r="X10" s="799">
        <v>1574.5</v>
      </c>
      <c r="Y10" s="799">
        <v>1566</v>
      </c>
      <c r="Z10" s="799">
        <v>160</v>
      </c>
      <c r="AA10" s="799">
        <v>156.69999999999999</v>
      </c>
      <c r="AB10" s="799">
        <v>155.02270000000001</v>
      </c>
      <c r="AC10" s="799">
        <v>158.98930000000001</v>
      </c>
      <c r="AD10" s="799">
        <v>155.23330000000001</v>
      </c>
      <c r="AE10" s="799">
        <v>154.1713</v>
      </c>
      <c r="AF10" s="799">
        <v>154.4333</v>
      </c>
      <c r="AG10" s="800">
        <v>158.35849999999999</v>
      </c>
      <c r="AH10" s="801">
        <v>154.25</v>
      </c>
      <c r="AI10" s="799">
        <v>156.27500000000001</v>
      </c>
      <c r="AJ10" s="799">
        <v>156.4</v>
      </c>
      <c r="AK10" s="799">
        <v>160</v>
      </c>
      <c r="AL10" s="799">
        <v>160</v>
      </c>
      <c r="AM10" s="799">
        <v>159.15</v>
      </c>
      <c r="AN10" s="799">
        <v>160</v>
      </c>
      <c r="AO10" s="799">
        <v>160</v>
      </c>
      <c r="AP10" s="799">
        <v>160</v>
      </c>
      <c r="AQ10" s="799">
        <v>160</v>
      </c>
      <c r="AR10" s="799">
        <v>156.0333</v>
      </c>
      <c r="AS10" s="799">
        <v>156.6</v>
      </c>
      <c r="AT10" s="799">
        <v>157.44999999999999</v>
      </c>
      <c r="AU10" s="799">
        <v>156.6</v>
      </c>
      <c r="AV10" s="799">
        <v>156.88330000000002</v>
      </c>
      <c r="AW10" s="799">
        <v>143.76669999999999</v>
      </c>
      <c r="AX10" s="801">
        <v>140.80000000000001</v>
      </c>
      <c r="AY10" s="799">
        <v>130.76669999999999</v>
      </c>
      <c r="AZ10" s="799">
        <v>147.07499999999999</v>
      </c>
      <c r="BA10" s="801">
        <v>149.9</v>
      </c>
      <c r="BB10" s="801">
        <v>152.16669999999999</v>
      </c>
      <c r="BC10" s="801">
        <v>153.30000000000001</v>
      </c>
      <c r="BD10" s="801">
        <v>153.49169999999998</v>
      </c>
      <c r="BE10" s="801">
        <v>156.13330000000002</v>
      </c>
      <c r="BF10" s="801">
        <v>158.72499999999999</v>
      </c>
      <c r="BG10" s="801">
        <v>159.15</v>
      </c>
      <c r="BH10" s="801">
        <v>160</v>
      </c>
      <c r="BI10" s="801">
        <v>160</v>
      </c>
      <c r="BJ10" s="801">
        <v>160</v>
      </c>
      <c r="BK10" s="801">
        <v>160</v>
      </c>
      <c r="BL10" s="801">
        <v>160</v>
      </c>
      <c r="BM10" s="801">
        <v>160</v>
      </c>
      <c r="BN10" s="801">
        <v>160</v>
      </c>
      <c r="BO10" s="801">
        <v>160.6362</v>
      </c>
      <c r="BP10" s="801">
        <v>164.625</v>
      </c>
      <c r="BQ10" s="801">
        <v>170.82499999999999</v>
      </c>
      <c r="BR10" s="801">
        <v>180.4</v>
      </c>
      <c r="BS10" s="801">
        <v>171.8083</v>
      </c>
      <c r="BT10" s="801">
        <v>178.32499999999999</v>
      </c>
      <c r="BU10" s="801">
        <v>179.51669999999999</v>
      </c>
      <c r="BV10" s="801">
        <v>183.2</v>
      </c>
      <c r="BW10" s="801">
        <v>187.01669999999999</v>
      </c>
      <c r="BX10" s="801">
        <v>193.4</v>
      </c>
      <c r="BY10" s="801">
        <v>192.76669999999999</v>
      </c>
      <c r="BZ10" s="801">
        <v>198.3</v>
      </c>
      <c r="CA10" s="801">
        <v>200</v>
      </c>
      <c r="CB10" s="801">
        <v>206.6</v>
      </c>
      <c r="CC10" s="801">
        <v>219.57499999999999</v>
      </c>
      <c r="CD10" s="801">
        <v>239.25</v>
      </c>
      <c r="CE10" s="801">
        <v>240.8</v>
      </c>
      <c r="CF10" s="801">
        <v>228.5</v>
      </c>
      <c r="CG10" s="801">
        <v>233.9667</v>
      </c>
      <c r="CH10" s="801">
        <v>229.2833</v>
      </c>
      <c r="CI10" s="801">
        <v>220.2833</v>
      </c>
      <c r="CJ10" s="801">
        <v>220</v>
      </c>
      <c r="CK10" s="801">
        <v>220</v>
      </c>
      <c r="CL10" s="801">
        <v>215.2</v>
      </c>
      <c r="CM10" s="801">
        <v>203.4</v>
      </c>
      <c r="CN10" s="801">
        <v>201.7</v>
      </c>
      <c r="CO10" s="801">
        <v>200</v>
      </c>
      <c r="CP10" s="801">
        <v>200</v>
      </c>
      <c r="CQ10" s="801">
        <v>200</v>
      </c>
      <c r="CR10" s="801">
        <v>200</v>
      </c>
      <c r="CS10" s="801">
        <v>200</v>
      </c>
      <c r="CT10" s="801">
        <v>200</v>
      </c>
      <c r="CU10" s="801">
        <v>200</v>
      </c>
      <c r="CV10" s="801">
        <v>200</v>
      </c>
      <c r="CW10" s="801">
        <v>200</v>
      </c>
      <c r="CX10" s="801">
        <v>200</v>
      </c>
      <c r="CY10" s="801">
        <v>200</v>
      </c>
      <c r="CZ10" s="801">
        <v>200</v>
      </c>
      <c r="DA10" s="801">
        <v>214.15</v>
      </c>
      <c r="DB10" s="801">
        <v>233.2</v>
      </c>
      <c r="DC10" s="801">
        <v>240</v>
      </c>
      <c r="DD10" s="801">
        <v>240</v>
      </c>
      <c r="DE10" s="802" t="s">
        <v>1626</v>
      </c>
    </row>
    <row r="11" spans="1:109" ht="21.6">
      <c r="A11" s="796" t="s">
        <v>1627</v>
      </c>
      <c r="B11" s="797">
        <v>819</v>
      </c>
      <c r="C11" s="798">
        <v>782.35299999999995</v>
      </c>
      <c r="D11" s="798">
        <v>794.25</v>
      </c>
      <c r="E11" s="798">
        <v>811.46</v>
      </c>
      <c r="F11" s="798">
        <v>830.37800000000004</v>
      </c>
      <c r="G11" s="799">
        <v>837.38300000000004</v>
      </c>
      <c r="H11" s="799">
        <v>903.75</v>
      </c>
      <c r="I11" s="799">
        <v>904.5</v>
      </c>
      <c r="J11" s="799">
        <v>894.05</v>
      </c>
      <c r="K11" s="799">
        <v>900.90700000000004</v>
      </c>
      <c r="L11" s="799">
        <v>882.53700000000003</v>
      </c>
      <c r="M11" s="799">
        <v>820.10500000000002</v>
      </c>
      <c r="N11" s="799">
        <v>775.50300000000004</v>
      </c>
      <c r="O11" s="799">
        <v>813</v>
      </c>
      <c r="P11" s="799">
        <v>890.5</v>
      </c>
      <c r="Q11" s="799">
        <v>952.91700000000003</v>
      </c>
      <c r="R11" s="799">
        <v>973.03</v>
      </c>
      <c r="S11" s="799">
        <v>971.36300000000006</v>
      </c>
      <c r="T11" s="799">
        <v>1044</v>
      </c>
      <c r="U11" s="799">
        <v>1016.5</v>
      </c>
      <c r="V11" s="799">
        <v>1036.5</v>
      </c>
      <c r="W11" s="799">
        <v>962.25</v>
      </c>
      <c r="X11" s="799">
        <v>991.58299999999997</v>
      </c>
      <c r="Y11" s="799">
        <v>1018.453</v>
      </c>
      <c r="Z11" s="799">
        <v>99.2667</v>
      </c>
      <c r="AA11" s="799">
        <v>100.5917</v>
      </c>
      <c r="AB11" s="799">
        <v>102.64169999999999</v>
      </c>
      <c r="AC11" s="799">
        <v>102.55</v>
      </c>
      <c r="AD11" s="799">
        <v>96.424999999999997</v>
      </c>
      <c r="AE11" s="799">
        <v>96.606500000000011</v>
      </c>
      <c r="AF11" s="799">
        <v>103.95</v>
      </c>
      <c r="AG11" s="800">
        <v>104.01500000000001</v>
      </c>
      <c r="AH11" s="801">
        <v>111</v>
      </c>
      <c r="AI11" s="799">
        <v>107.15</v>
      </c>
      <c r="AJ11" s="799">
        <v>108.3</v>
      </c>
      <c r="AK11" s="799">
        <v>108.423</v>
      </c>
      <c r="AL11" s="799">
        <v>104.21669999999999</v>
      </c>
      <c r="AM11" s="799">
        <v>103.58330000000001</v>
      </c>
      <c r="AN11" s="799">
        <v>105.21669999999999</v>
      </c>
      <c r="AO11" s="799">
        <v>101.83329999999999</v>
      </c>
      <c r="AP11" s="799">
        <v>106.25</v>
      </c>
      <c r="AQ11" s="799">
        <v>107.5865</v>
      </c>
      <c r="AR11" s="799">
        <v>108.14570000000001</v>
      </c>
      <c r="AS11" s="799">
        <v>109</v>
      </c>
      <c r="AT11" s="799">
        <v>112.85</v>
      </c>
      <c r="AU11" s="799">
        <v>113.95</v>
      </c>
      <c r="AV11" s="799">
        <v>112.58599999999998</v>
      </c>
      <c r="AW11" s="799">
        <v>106.773</v>
      </c>
      <c r="AX11" s="801">
        <v>106.35</v>
      </c>
      <c r="AY11" s="799">
        <v>113.95</v>
      </c>
      <c r="AZ11" s="799">
        <v>112.155</v>
      </c>
      <c r="BA11" s="801">
        <v>102.19199999999999</v>
      </c>
      <c r="BB11" s="801">
        <v>107.1</v>
      </c>
      <c r="BC11" s="801">
        <v>104.93900000000001</v>
      </c>
      <c r="BD11" s="801">
        <v>102.46400000000001</v>
      </c>
      <c r="BE11" s="801">
        <v>105.50830000000001</v>
      </c>
      <c r="BF11" s="801">
        <v>112.66669999999999</v>
      </c>
      <c r="BG11" s="801">
        <v>106.325</v>
      </c>
      <c r="BH11" s="801">
        <v>105.6833</v>
      </c>
      <c r="BI11" s="801">
        <v>106.027</v>
      </c>
      <c r="BJ11" s="801">
        <v>109.495</v>
      </c>
      <c r="BK11" s="801">
        <v>109.16500000000001</v>
      </c>
      <c r="BL11" s="801">
        <v>112.2953</v>
      </c>
      <c r="BM11" s="801">
        <v>112.7988</v>
      </c>
      <c r="BN11" s="801">
        <v>111.4913</v>
      </c>
      <c r="BO11" s="801">
        <v>118.11500000000001</v>
      </c>
      <c r="BP11" s="801">
        <v>113.59100000000001</v>
      </c>
      <c r="BQ11" s="801">
        <v>142.25</v>
      </c>
      <c r="BR11" s="801">
        <v>136.00299999999999</v>
      </c>
      <c r="BS11" s="801">
        <v>118.71</v>
      </c>
      <c r="BT11" s="801">
        <v>123.357</v>
      </c>
      <c r="BU11" s="801">
        <v>129.97499999999999</v>
      </c>
      <c r="BV11" s="801">
        <v>124.91</v>
      </c>
      <c r="BW11" s="801">
        <v>123.01400000000001</v>
      </c>
      <c r="BX11" s="801">
        <v>124.675</v>
      </c>
      <c r="BY11" s="801">
        <v>136.19999999999999</v>
      </c>
      <c r="BZ11" s="801">
        <v>126.77370000000001</v>
      </c>
      <c r="CA11" s="801">
        <v>128.61669999999998</v>
      </c>
      <c r="CB11" s="801">
        <v>133.9333</v>
      </c>
      <c r="CC11" s="801">
        <v>137.0917</v>
      </c>
      <c r="CD11" s="801">
        <v>132.84139999999999</v>
      </c>
      <c r="CE11" s="801">
        <v>135.5667</v>
      </c>
      <c r="CF11" s="801">
        <v>128.32499999999999</v>
      </c>
      <c r="CG11" s="801">
        <v>127.04169999999999</v>
      </c>
      <c r="CH11" s="801">
        <v>132.04500000000002</v>
      </c>
      <c r="CI11" s="801">
        <v>131.55000000000001</v>
      </c>
      <c r="CJ11" s="801">
        <v>145.33330000000001</v>
      </c>
      <c r="CK11" s="801">
        <v>135.8997</v>
      </c>
      <c r="CL11" s="801">
        <v>136.5</v>
      </c>
      <c r="CM11" s="801">
        <v>138.02500000000001</v>
      </c>
      <c r="CN11" s="801">
        <v>142.255</v>
      </c>
      <c r="CO11" s="801">
        <v>146.303</v>
      </c>
      <c r="CP11" s="801">
        <v>148.07499999999999</v>
      </c>
      <c r="CQ11" s="801">
        <v>136.42500000000001</v>
      </c>
      <c r="CR11" s="801">
        <v>139.44999999999999</v>
      </c>
      <c r="CS11" s="801">
        <v>143.1</v>
      </c>
      <c r="CT11" s="801">
        <v>143.85</v>
      </c>
      <c r="CU11" s="801">
        <v>144.4</v>
      </c>
      <c r="CV11" s="801">
        <v>148.30000000000001</v>
      </c>
      <c r="CW11" s="801">
        <v>146.32499999999999</v>
      </c>
      <c r="CX11" s="801">
        <v>150.44999999999999</v>
      </c>
      <c r="CY11" s="801">
        <v>152.69999999999999</v>
      </c>
      <c r="CZ11" s="801">
        <v>155.5</v>
      </c>
      <c r="DA11" s="801">
        <v>158.52500000000001</v>
      </c>
      <c r="DB11" s="801">
        <v>155.86669999999998</v>
      </c>
      <c r="DC11" s="801">
        <v>150.274</v>
      </c>
      <c r="DD11" s="801">
        <v>154.77500000000001</v>
      </c>
      <c r="DE11" s="802" t="s">
        <v>1628</v>
      </c>
    </row>
    <row r="12" spans="1:109">
      <c r="A12" s="796" t="s">
        <v>1629</v>
      </c>
      <c r="B12" s="797">
        <v>586</v>
      </c>
      <c r="C12" s="798">
        <v>565.49400000000003</v>
      </c>
      <c r="D12" s="798">
        <v>558.44500000000005</v>
      </c>
      <c r="E12" s="798">
        <v>581.12900000000002</v>
      </c>
      <c r="F12" s="798">
        <v>557.91800000000001</v>
      </c>
      <c r="G12" s="799">
        <v>626.69600000000003</v>
      </c>
      <c r="H12" s="799">
        <v>662.803</v>
      </c>
      <c r="I12" s="799">
        <v>648.12099999999998</v>
      </c>
      <c r="J12" s="799">
        <v>630.846</v>
      </c>
      <c r="K12" s="799">
        <v>694.99</v>
      </c>
      <c r="L12" s="799">
        <v>603.90700000000004</v>
      </c>
      <c r="M12" s="799">
        <v>609.89400000000001</v>
      </c>
      <c r="N12" s="799">
        <v>574.47</v>
      </c>
      <c r="O12" s="799">
        <v>586.726</v>
      </c>
      <c r="P12" s="799">
        <v>646.4</v>
      </c>
      <c r="Q12" s="799">
        <v>609.80600000000004</v>
      </c>
      <c r="R12" s="799">
        <v>652.399</v>
      </c>
      <c r="S12" s="799">
        <v>610.67499999999995</v>
      </c>
      <c r="T12" s="799">
        <v>564.66399999999999</v>
      </c>
      <c r="U12" s="799">
        <v>635.46900000000005</v>
      </c>
      <c r="V12" s="799">
        <v>641.95100000000002</v>
      </c>
      <c r="W12" s="799">
        <v>724.63499999999999</v>
      </c>
      <c r="X12" s="799">
        <v>689.15499999999997</v>
      </c>
      <c r="Y12" s="799">
        <v>615.17200000000003</v>
      </c>
      <c r="Z12" s="799">
        <v>60.304600000000008</v>
      </c>
      <c r="AA12" s="799">
        <v>63.622599999999998</v>
      </c>
      <c r="AB12" s="799">
        <v>62.323599999999999</v>
      </c>
      <c r="AC12" s="799">
        <v>63.705799999999996</v>
      </c>
      <c r="AD12" s="799">
        <v>64.729700000000008</v>
      </c>
      <c r="AE12" s="799">
        <v>70.678799999999995</v>
      </c>
      <c r="AF12" s="799">
        <v>67.396100000000004</v>
      </c>
      <c r="AG12" s="800">
        <v>65.6614</v>
      </c>
      <c r="AH12" s="801">
        <v>75.088499999999996</v>
      </c>
      <c r="AI12" s="799">
        <v>71.947800000000001</v>
      </c>
      <c r="AJ12" s="799">
        <v>67.2</v>
      </c>
      <c r="AK12" s="799">
        <v>67.697500000000005</v>
      </c>
      <c r="AL12" s="799">
        <v>63.7744</v>
      </c>
      <c r="AM12" s="799">
        <v>61.604600000000005</v>
      </c>
      <c r="AN12" s="799">
        <v>65.5702</v>
      </c>
      <c r="AO12" s="799">
        <v>65.235900000000001</v>
      </c>
      <c r="AP12" s="799">
        <v>66.625100000000003</v>
      </c>
      <c r="AQ12" s="799">
        <v>65.0124</v>
      </c>
      <c r="AR12" s="799">
        <v>64.832799999999992</v>
      </c>
      <c r="AS12" s="799">
        <v>61.413599999999995</v>
      </c>
      <c r="AT12" s="799">
        <v>62.130100000000006</v>
      </c>
      <c r="AU12" s="799">
        <v>61.106899999999996</v>
      </c>
      <c r="AV12" s="799">
        <v>56.823500000000003</v>
      </c>
      <c r="AW12" s="799">
        <v>55.963199999999993</v>
      </c>
      <c r="AX12" s="801">
        <v>57.883500000000005</v>
      </c>
      <c r="AY12" s="799">
        <v>64.067899999999995</v>
      </c>
      <c r="AZ12" s="799">
        <v>61.758900000000004</v>
      </c>
      <c r="BA12" s="801">
        <v>61.952500000000001</v>
      </c>
      <c r="BB12" s="801">
        <v>65.8309</v>
      </c>
      <c r="BC12" s="801">
        <v>61.116600000000005</v>
      </c>
      <c r="BD12" s="801">
        <v>59.487900000000003</v>
      </c>
      <c r="BE12" s="801">
        <v>61.219399999999993</v>
      </c>
      <c r="BF12" s="801">
        <v>63.311199999999999</v>
      </c>
      <c r="BG12" s="801">
        <v>60.342399999999998</v>
      </c>
      <c r="BH12" s="801">
        <v>63.531600000000005</v>
      </c>
      <c r="BI12" s="801">
        <v>60.751800000000003</v>
      </c>
      <c r="BJ12" s="801">
        <v>61.537199999999999</v>
      </c>
      <c r="BK12" s="801">
        <v>67.170100000000005</v>
      </c>
      <c r="BL12" s="801">
        <v>66.882599999999996</v>
      </c>
      <c r="BM12" s="801">
        <v>68.145399999999995</v>
      </c>
      <c r="BN12" s="801">
        <v>66.684899999999999</v>
      </c>
      <c r="BO12" s="801">
        <v>69.5471</v>
      </c>
      <c r="BP12" s="801">
        <v>67.487400000000008</v>
      </c>
      <c r="BQ12" s="801">
        <v>61.141800000000003</v>
      </c>
      <c r="BR12" s="801">
        <v>66.073099999999997</v>
      </c>
      <c r="BS12" s="801">
        <v>63.917700000000004</v>
      </c>
      <c r="BT12" s="801">
        <v>61.429999999999993</v>
      </c>
      <c r="BU12" s="801">
        <v>57.350300000000004</v>
      </c>
      <c r="BV12" s="801">
        <v>68.085900000000009</v>
      </c>
      <c r="BW12" s="801">
        <v>67.629499999999993</v>
      </c>
      <c r="BX12" s="801">
        <v>74.482500000000002</v>
      </c>
      <c r="BY12" s="801">
        <v>65.202300000000008</v>
      </c>
      <c r="BZ12" s="801">
        <v>65.763099999999994</v>
      </c>
      <c r="CA12" s="801">
        <v>68.911300000000011</v>
      </c>
      <c r="CB12" s="801">
        <v>67.551900000000003</v>
      </c>
      <c r="CC12" s="801">
        <v>71.778499999999994</v>
      </c>
      <c r="CD12" s="801">
        <v>66.376199999999997</v>
      </c>
      <c r="CE12" s="801">
        <v>66.808900000000008</v>
      </c>
      <c r="CF12" s="801">
        <v>67.315700000000007</v>
      </c>
      <c r="CG12" s="801">
        <v>64.509399999999999</v>
      </c>
      <c r="CH12" s="801">
        <v>68.620599999999996</v>
      </c>
      <c r="CI12" s="801">
        <v>82.1267</v>
      </c>
      <c r="CJ12" s="801">
        <v>96.056100000000001</v>
      </c>
      <c r="CK12" s="801">
        <v>83.818399999999997</v>
      </c>
      <c r="CL12" s="801">
        <v>82.681200000000004</v>
      </c>
      <c r="CM12" s="801">
        <v>77.286900000000003</v>
      </c>
      <c r="CN12" s="801">
        <v>79.499200000000002</v>
      </c>
      <c r="CO12" s="801">
        <v>75.365899999999996</v>
      </c>
      <c r="CP12" s="801">
        <v>75.108199999999997</v>
      </c>
      <c r="CQ12" s="801">
        <v>70.454899999999995</v>
      </c>
      <c r="CR12" s="801">
        <v>68.903199999999998</v>
      </c>
      <c r="CS12" s="801">
        <v>73.91810000000001</v>
      </c>
      <c r="CT12" s="801">
        <v>68.355800000000002</v>
      </c>
      <c r="CU12" s="801">
        <v>75.984700000000004</v>
      </c>
      <c r="CV12" s="801">
        <v>70.467700000000008</v>
      </c>
      <c r="CW12" s="801">
        <v>74.043899999999994</v>
      </c>
      <c r="CX12" s="801">
        <v>69.4482</v>
      </c>
      <c r="CY12" s="801">
        <v>66.7958</v>
      </c>
      <c r="CZ12" s="801">
        <v>70.743399999999994</v>
      </c>
      <c r="DA12" s="801">
        <v>78.089799999999997</v>
      </c>
      <c r="DB12" s="801">
        <v>77.691400000000002</v>
      </c>
      <c r="DC12" s="801">
        <v>81.211100000000002</v>
      </c>
      <c r="DD12" s="801">
        <v>82.870399999999989</v>
      </c>
      <c r="DE12" s="802" t="s">
        <v>1630</v>
      </c>
    </row>
    <row r="13" spans="1:109">
      <c r="A13" s="796" t="s">
        <v>1631</v>
      </c>
      <c r="B13" s="797">
        <v>698</v>
      </c>
      <c r="C13" s="798">
        <v>663.95699999999999</v>
      </c>
      <c r="D13" s="798">
        <v>656</v>
      </c>
      <c r="E13" s="798">
        <v>647.75</v>
      </c>
      <c r="F13" s="798">
        <v>619.25</v>
      </c>
      <c r="G13" s="799">
        <v>657.75</v>
      </c>
      <c r="H13" s="799">
        <v>638.17999999999995</v>
      </c>
      <c r="I13" s="799">
        <v>643.08299999999997</v>
      </c>
      <c r="J13" s="799">
        <v>678</v>
      </c>
      <c r="K13" s="799">
        <v>727.5</v>
      </c>
      <c r="L13" s="799">
        <v>661.5</v>
      </c>
      <c r="M13" s="799">
        <v>653.25</v>
      </c>
      <c r="N13" s="799">
        <v>642.16700000000003</v>
      </c>
      <c r="O13" s="799">
        <v>657.83299999999997</v>
      </c>
      <c r="P13" s="799">
        <v>655</v>
      </c>
      <c r="Q13" s="799">
        <v>635.75</v>
      </c>
      <c r="R13" s="799">
        <v>628.11</v>
      </c>
      <c r="S13" s="799">
        <v>652.25</v>
      </c>
      <c r="T13" s="799">
        <v>641.25</v>
      </c>
      <c r="U13" s="799">
        <v>646.67700000000002</v>
      </c>
      <c r="V13" s="799">
        <v>671.5</v>
      </c>
      <c r="W13" s="799">
        <v>683.5</v>
      </c>
      <c r="X13" s="799">
        <v>646.75</v>
      </c>
      <c r="Y13" s="799">
        <v>639.875</v>
      </c>
      <c r="Z13" s="799">
        <v>64.429299999999998</v>
      </c>
      <c r="AA13" s="799">
        <v>64.414700000000011</v>
      </c>
      <c r="AB13" s="799">
        <v>64.444000000000003</v>
      </c>
      <c r="AC13" s="799">
        <v>64.95</v>
      </c>
      <c r="AD13" s="799">
        <v>66.325000000000003</v>
      </c>
      <c r="AE13" s="799">
        <v>66.431299999999993</v>
      </c>
      <c r="AF13" s="799">
        <v>67.150000000000006</v>
      </c>
      <c r="AG13" s="800">
        <v>66.566999999999993</v>
      </c>
      <c r="AH13" s="801">
        <v>75.433300000000003</v>
      </c>
      <c r="AI13" s="799">
        <v>73.400000000000006</v>
      </c>
      <c r="AJ13" s="799">
        <v>70.900000000000006</v>
      </c>
      <c r="AK13" s="799">
        <v>69.438000000000002</v>
      </c>
      <c r="AL13" s="799">
        <v>68.337999999999994</v>
      </c>
      <c r="AM13" s="799">
        <v>71.013000000000005</v>
      </c>
      <c r="AN13" s="799">
        <v>70.462999999999994</v>
      </c>
      <c r="AO13" s="799">
        <v>68.063000000000002</v>
      </c>
      <c r="AP13" s="799">
        <v>68.174999999999997</v>
      </c>
      <c r="AQ13" s="799">
        <v>68.900000000000006</v>
      </c>
      <c r="AR13" s="799">
        <v>70</v>
      </c>
      <c r="AS13" s="799">
        <v>67.8</v>
      </c>
      <c r="AT13" s="799">
        <v>68.900000000000006</v>
      </c>
      <c r="AU13" s="799">
        <v>67.8</v>
      </c>
      <c r="AV13" s="799">
        <v>68.349999999999994</v>
      </c>
      <c r="AW13" s="799">
        <v>68.349999999999994</v>
      </c>
      <c r="AX13" s="801">
        <v>67.9833</v>
      </c>
      <c r="AY13" s="799">
        <v>65.783299999999997</v>
      </c>
      <c r="AZ13" s="799">
        <v>62.75</v>
      </c>
      <c r="BA13" s="801">
        <v>63.3</v>
      </c>
      <c r="BB13" s="801">
        <v>63.575000000000003</v>
      </c>
      <c r="BC13" s="801">
        <v>63.85</v>
      </c>
      <c r="BD13" s="801">
        <v>63.4833</v>
      </c>
      <c r="BE13" s="801">
        <v>65.224999999999994</v>
      </c>
      <c r="BF13" s="801">
        <v>63.024999999999999</v>
      </c>
      <c r="BG13" s="801">
        <v>62.0717</v>
      </c>
      <c r="BH13" s="801">
        <v>93.3</v>
      </c>
      <c r="BI13" s="801">
        <v>63.85</v>
      </c>
      <c r="BJ13" s="801">
        <v>68.25</v>
      </c>
      <c r="BK13" s="801">
        <v>70.833299999999994</v>
      </c>
      <c r="BL13" s="801">
        <v>73.945999999999998</v>
      </c>
      <c r="BM13" s="801">
        <v>72.116700000000009</v>
      </c>
      <c r="BN13" s="801">
        <v>69.701999999999998</v>
      </c>
      <c r="BO13" s="801">
        <v>70.7333</v>
      </c>
      <c r="BP13" s="801">
        <v>72.658299999999997</v>
      </c>
      <c r="BQ13" s="801">
        <v>81.597799999999992</v>
      </c>
      <c r="BR13" s="801">
        <v>87.058300000000003</v>
      </c>
      <c r="BS13" s="801">
        <v>75.966700000000003</v>
      </c>
      <c r="BT13" s="801">
        <v>76.883299999999991</v>
      </c>
      <c r="BU13" s="801">
        <v>74.683300000000003</v>
      </c>
      <c r="BV13" s="801">
        <v>74.179200000000009</v>
      </c>
      <c r="BW13" s="801">
        <v>72.383299999999991</v>
      </c>
      <c r="BX13" s="801">
        <v>73.95</v>
      </c>
      <c r="BY13" s="801">
        <v>75.599999999999994</v>
      </c>
      <c r="BZ13" s="801">
        <v>71.863699999999994</v>
      </c>
      <c r="CA13" s="801">
        <v>72.2</v>
      </c>
      <c r="CB13" s="801">
        <v>71.650000000000006</v>
      </c>
      <c r="CC13" s="801">
        <v>72.75</v>
      </c>
      <c r="CD13" s="801">
        <v>70</v>
      </c>
      <c r="CE13" s="801">
        <v>72.75</v>
      </c>
      <c r="CF13" s="801">
        <v>72.2</v>
      </c>
      <c r="CG13" s="801">
        <v>71.099999999999994</v>
      </c>
      <c r="CH13" s="801">
        <v>71.650000000000006</v>
      </c>
      <c r="CI13" s="801">
        <v>70</v>
      </c>
      <c r="CJ13" s="801">
        <v>71.099999999999994</v>
      </c>
      <c r="CK13" s="801">
        <v>71.099999999999994</v>
      </c>
      <c r="CL13" s="801">
        <v>71.099999999999994</v>
      </c>
      <c r="CM13" s="801">
        <v>71.099999999999994</v>
      </c>
      <c r="CN13" s="801">
        <v>72.75</v>
      </c>
      <c r="CO13" s="801">
        <v>73.849999999999994</v>
      </c>
      <c r="CP13" s="801">
        <v>73.3</v>
      </c>
      <c r="CQ13" s="801">
        <v>77.150000000000006</v>
      </c>
      <c r="CR13" s="801">
        <v>75.05</v>
      </c>
      <c r="CS13" s="801">
        <v>76.333299999999994</v>
      </c>
      <c r="CT13" s="801">
        <v>77.525000000000006</v>
      </c>
      <c r="CU13" s="801">
        <v>77.25</v>
      </c>
      <c r="CV13" s="801">
        <v>75.2333</v>
      </c>
      <c r="CW13" s="801">
        <v>75.05</v>
      </c>
      <c r="CX13" s="801">
        <v>79.724999999999994</v>
      </c>
      <c r="CY13" s="801">
        <v>80</v>
      </c>
      <c r="CZ13" s="801">
        <v>77.8</v>
      </c>
      <c r="DA13" s="801">
        <v>80</v>
      </c>
      <c r="DB13" s="801">
        <v>80.55</v>
      </c>
      <c r="DC13" s="801">
        <v>80.55</v>
      </c>
      <c r="DD13" s="801">
        <v>83.4</v>
      </c>
      <c r="DE13" s="802" t="s">
        <v>1632</v>
      </c>
    </row>
    <row r="14" spans="1:109">
      <c r="A14" s="796" t="s">
        <v>1633</v>
      </c>
      <c r="B14" s="797">
        <v>1388</v>
      </c>
      <c r="C14" s="798">
        <v>1475</v>
      </c>
      <c r="D14" s="798">
        <v>1475</v>
      </c>
      <c r="E14" s="798">
        <v>1475</v>
      </c>
      <c r="F14" s="798">
        <v>1525</v>
      </c>
      <c r="G14" s="799">
        <v>1550</v>
      </c>
      <c r="H14" s="799">
        <v>1550</v>
      </c>
      <c r="I14" s="799">
        <v>1550</v>
      </c>
      <c r="J14" s="799">
        <v>1525</v>
      </c>
      <c r="K14" s="799">
        <v>1525</v>
      </c>
      <c r="L14" s="799">
        <v>1525</v>
      </c>
      <c r="M14" s="799">
        <v>1525</v>
      </c>
      <c r="N14" s="799">
        <v>1525</v>
      </c>
      <c r="O14" s="799">
        <v>1525</v>
      </c>
      <c r="P14" s="799">
        <v>1525</v>
      </c>
      <c r="Q14" s="799">
        <v>1525</v>
      </c>
      <c r="R14" s="799">
        <v>1575</v>
      </c>
      <c r="S14" s="799">
        <v>1600</v>
      </c>
      <c r="T14" s="799">
        <v>1575</v>
      </c>
      <c r="U14" s="799">
        <v>1575</v>
      </c>
      <c r="V14" s="799">
        <v>1600</v>
      </c>
      <c r="W14" s="799">
        <v>1600</v>
      </c>
      <c r="X14" s="799">
        <v>1600</v>
      </c>
      <c r="Y14" s="799">
        <v>1600</v>
      </c>
      <c r="Z14" s="799">
        <v>160</v>
      </c>
      <c r="AA14" s="799">
        <v>165</v>
      </c>
      <c r="AB14" s="799">
        <v>165</v>
      </c>
      <c r="AC14" s="799">
        <v>165</v>
      </c>
      <c r="AD14" s="799">
        <v>165</v>
      </c>
      <c r="AE14" s="799">
        <v>170</v>
      </c>
      <c r="AF14" s="799">
        <v>170</v>
      </c>
      <c r="AG14" s="800">
        <v>165</v>
      </c>
      <c r="AH14" s="801">
        <v>165</v>
      </c>
      <c r="AI14" s="799">
        <v>165</v>
      </c>
      <c r="AJ14" s="799">
        <v>175</v>
      </c>
      <c r="AK14" s="799">
        <v>170</v>
      </c>
      <c r="AL14" s="799">
        <v>170</v>
      </c>
      <c r="AM14" s="799">
        <v>162.5</v>
      </c>
      <c r="AN14" s="799">
        <v>165</v>
      </c>
      <c r="AO14" s="799">
        <v>170</v>
      </c>
      <c r="AP14" s="799">
        <v>175</v>
      </c>
      <c r="AQ14" s="799">
        <v>170</v>
      </c>
      <c r="AR14" s="799">
        <v>170</v>
      </c>
      <c r="AS14" s="799">
        <v>170</v>
      </c>
      <c r="AT14" s="799">
        <v>180</v>
      </c>
      <c r="AU14" s="799">
        <v>175</v>
      </c>
      <c r="AV14" s="799">
        <v>180</v>
      </c>
      <c r="AW14" s="799">
        <v>180</v>
      </c>
      <c r="AX14" s="801">
        <v>180</v>
      </c>
      <c r="AY14" s="799">
        <v>180</v>
      </c>
      <c r="AZ14" s="799">
        <v>180</v>
      </c>
      <c r="BA14" s="801">
        <v>180</v>
      </c>
      <c r="BB14" s="801">
        <v>180</v>
      </c>
      <c r="BC14" s="801">
        <v>180</v>
      </c>
      <c r="BD14" s="801">
        <v>180</v>
      </c>
      <c r="BE14" s="801">
        <v>180</v>
      </c>
      <c r="BF14" s="801">
        <v>190</v>
      </c>
      <c r="BG14" s="801">
        <v>190</v>
      </c>
      <c r="BH14" s="801">
        <v>190</v>
      </c>
      <c r="BI14" s="801">
        <v>190</v>
      </c>
      <c r="BJ14" s="801">
        <v>195</v>
      </c>
      <c r="BK14" s="801">
        <v>195</v>
      </c>
      <c r="BL14" s="801">
        <v>190</v>
      </c>
      <c r="BM14" s="801">
        <v>190</v>
      </c>
      <c r="BN14" s="801">
        <v>190</v>
      </c>
      <c r="BO14" s="801">
        <v>190</v>
      </c>
      <c r="BP14" s="801">
        <v>190</v>
      </c>
      <c r="BQ14" s="801">
        <v>195</v>
      </c>
      <c r="BR14" s="801">
        <v>172.5</v>
      </c>
      <c r="BS14" s="801">
        <v>172.5</v>
      </c>
      <c r="BT14" s="801">
        <v>177.5</v>
      </c>
      <c r="BU14" s="801">
        <v>182.5</v>
      </c>
      <c r="BV14" s="801">
        <v>182.5</v>
      </c>
      <c r="BW14" s="801">
        <v>182.5</v>
      </c>
      <c r="BX14" s="801">
        <v>182.5</v>
      </c>
      <c r="BY14" s="801">
        <v>182.5</v>
      </c>
      <c r="BZ14" s="801">
        <v>182.5</v>
      </c>
      <c r="CA14" s="801">
        <v>182.5</v>
      </c>
      <c r="CB14" s="801">
        <v>182.5</v>
      </c>
      <c r="CC14" s="801">
        <v>185</v>
      </c>
      <c r="CD14" s="801">
        <v>182.5</v>
      </c>
      <c r="CE14" s="801">
        <v>182.5</v>
      </c>
      <c r="CF14" s="801">
        <v>185</v>
      </c>
      <c r="CG14" s="801">
        <v>185</v>
      </c>
      <c r="CH14" s="801">
        <v>185</v>
      </c>
      <c r="CI14" s="801">
        <v>185</v>
      </c>
      <c r="CJ14" s="801">
        <v>180</v>
      </c>
      <c r="CK14" s="801">
        <v>180</v>
      </c>
      <c r="CL14" s="801">
        <v>180</v>
      </c>
      <c r="CM14" s="801">
        <v>180</v>
      </c>
      <c r="CN14" s="801">
        <v>180</v>
      </c>
      <c r="CO14" s="801">
        <v>180</v>
      </c>
      <c r="CP14" s="801">
        <v>180</v>
      </c>
      <c r="CQ14" s="801">
        <v>180</v>
      </c>
      <c r="CR14" s="801">
        <v>180</v>
      </c>
      <c r="CS14" s="801">
        <v>180</v>
      </c>
      <c r="CT14" s="801">
        <v>180</v>
      </c>
      <c r="CU14" s="801">
        <v>180</v>
      </c>
      <c r="CV14" s="801">
        <v>180</v>
      </c>
      <c r="CW14" s="801">
        <v>180</v>
      </c>
      <c r="CX14" s="801">
        <v>180</v>
      </c>
      <c r="CY14" s="801">
        <v>180</v>
      </c>
      <c r="CZ14" s="801">
        <v>180</v>
      </c>
      <c r="DA14" s="801">
        <v>180</v>
      </c>
      <c r="DB14" s="801">
        <v>180</v>
      </c>
      <c r="DC14" s="801">
        <v>180</v>
      </c>
      <c r="DD14" s="801">
        <v>180</v>
      </c>
      <c r="DE14" s="802" t="s">
        <v>1634</v>
      </c>
    </row>
    <row r="15" spans="1:109">
      <c r="A15" s="796" t="s">
        <v>1635</v>
      </c>
      <c r="B15" s="797">
        <v>232</v>
      </c>
      <c r="C15" s="798">
        <v>250.20400000000001</v>
      </c>
      <c r="D15" s="798">
        <v>236.113</v>
      </c>
      <c r="E15" s="798">
        <v>268.44600000000003</v>
      </c>
      <c r="F15" s="798">
        <v>274.851</v>
      </c>
      <c r="G15" s="799">
        <v>288.45400000000001</v>
      </c>
      <c r="H15" s="799">
        <v>289.03199999999998</v>
      </c>
      <c r="I15" s="799">
        <v>240.304</v>
      </c>
      <c r="J15" s="799">
        <v>236.23099999999999</v>
      </c>
      <c r="K15" s="799">
        <v>238.57900000000001</v>
      </c>
      <c r="L15" s="799">
        <v>233.018</v>
      </c>
      <c r="M15" s="799">
        <v>241.72200000000001</v>
      </c>
      <c r="N15" s="799">
        <v>257.50299999999999</v>
      </c>
      <c r="O15" s="799">
        <v>255.80699999999999</v>
      </c>
      <c r="P15" s="799">
        <v>206.404</v>
      </c>
      <c r="Q15" s="799">
        <v>258.92500000000001</v>
      </c>
      <c r="R15" s="799">
        <v>270.89699999999999</v>
      </c>
      <c r="S15" s="799">
        <v>246.643</v>
      </c>
      <c r="T15" s="799">
        <v>227.24</v>
      </c>
      <c r="U15" s="799">
        <v>228.374</v>
      </c>
      <c r="V15" s="799">
        <v>229.63499999999999</v>
      </c>
      <c r="W15" s="799">
        <v>220.881</v>
      </c>
      <c r="X15" s="799">
        <v>225.78</v>
      </c>
      <c r="Y15" s="799">
        <v>228.24700000000001</v>
      </c>
      <c r="Z15" s="799">
        <v>27.535000000000004</v>
      </c>
      <c r="AA15" s="799">
        <v>24.869399999999999</v>
      </c>
      <c r="AB15" s="799">
        <v>23.285</v>
      </c>
      <c r="AC15" s="799">
        <v>27.831499999999998</v>
      </c>
      <c r="AD15" s="799">
        <v>26.6647</v>
      </c>
      <c r="AE15" s="799">
        <v>26.326799999999999</v>
      </c>
      <c r="AF15" s="799">
        <v>28.148800000000001</v>
      </c>
      <c r="AG15" s="800">
        <v>28.110199999999999</v>
      </c>
      <c r="AH15" s="801">
        <v>27.983699999999999</v>
      </c>
      <c r="AI15" s="799">
        <v>26.800799999999999</v>
      </c>
      <c r="AJ15" s="799">
        <v>28.5</v>
      </c>
      <c r="AK15" s="799">
        <v>28.9346</v>
      </c>
      <c r="AL15" s="799">
        <v>28.8248</v>
      </c>
      <c r="AM15" s="799">
        <v>28.6553</v>
      </c>
      <c r="AN15" s="799">
        <v>32.085000000000001</v>
      </c>
      <c r="AO15" s="799">
        <v>29.326699999999999</v>
      </c>
      <c r="AP15" s="799">
        <v>30.436299999999999</v>
      </c>
      <c r="AQ15" s="799">
        <v>31.7546</v>
      </c>
      <c r="AR15" s="799">
        <v>33.111800000000002</v>
      </c>
      <c r="AS15" s="799">
        <v>28.557600000000001</v>
      </c>
      <c r="AT15" s="799">
        <v>25.524100000000001</v>
      </c>
      <c r="AU15" s="799">
        <v>28.105200000000004</v>
      </c>
      <c r="AV15" s="799">
        <v>29.4116</v>
      </c>
      <c r="AW15" s="799">
        <v>27.911200000000001</v>
      </c>
      <c r="AX15" s="801">
        <v>27.680500000000002</v>
      </c>
      <c r="AY15" s="799">
        <v>28.249500000000001</v>
      </c>
      <c r="AZ15" s="799">
        <v>26.2089</v>
      </c>
      <c r="BA15" s="801">
        <v>29.6281</v>
      </c>
      <c r="BB15" s="801">
        <v>26.691300000000002</v>
      </c>
      <c r="BC15" s="801">
        <v>25.450899999999997</v>
      </c>
      <c r="BD15" s="801">
        <v>28.562900000000003</v>
      </c>
      <c r="BE15" s="801">
        <v>26.626799999999996</v>
      </c>
      <c r="BF15" s="801">
        <v>27.5002</v>
      </c>
      <c r="BG15" s="801">
        <v>28.351600000000001</v>
      </c>
      <c r="BH15" s="801">
        <v>33.359500000000004</v>
      </c>
      <c r="BI15" s="801">
        <v>29.8139</v>
      </c>
      <c r="BJ15" s="801">
        <v>31.668299999999999</v>
      </c>
      <c r="BK15" s="801">
        <v>34.109699999999997</v>
      </c>
      <c r="BL15" s="801">
        <v>31.430799999999998</v>
      </c>
      <c r="BM15" s="801">
        <v>29.509599999999999</v>
      </c>
      <c r="BN15" s="801">
        <v>30.867599999999999</v>
      </c>
      <c r="BO15" s="801">
        <v>28.805299999999999</v>
      </c>
      <c r="BP15" s="801">
        <v>29.677100000000003</v>
      </c>
      <c r="BQ15" s="801">
        <v>29.731400000000001</v>
      </c>
      <c r="BR15" s="801">
        <v>27.3812</v>
      </c>
      <c r="BS15" s="801">
        <v>27.673000000000002</v>
      </c>
      <c r="BT15" s="801">
        <v>29.8581</v>
      </c>
      <c r="BU15" s="801">
        <v>32.779800000000002</v>
      </c>
      <c r="BV15" s="801">
        <v>30.961599999999997</v>
      </c>
      <c r="BW15" s="801">
        <v>32.119900000000001</v>
      </c>
      <c r="BX15" s="801">
        <v>32.970999999999997</v>
      </c>
      <c r="BY15" s="801">
        <v>33.077800000000003</v>
      </c>
      <c r="BZ15" s="801">
        <v>29.276499999999999</v>
      </c>
      <c r="CA15" s="801">
        <v>28.915100000000002</v>
      </c>
      <c r="CB15" s="801">
        <v>27.846300000000003</v>
      </c>
      <c r="CC15" s="801">
        <v>27.486799999999999</v>
      </c>
      <c r="CD15" s="801">
        <v>27.9207</v>
      </c>
      <c r="CE15" s="801">
        <v>27.847699999999996</v>
      </c>
      <c r="CF15" s="801">
        <v>36.077500000000001</v>
      </c>
      <c r="CG15" s="801">
        <v>44.680900000000001</v>
      </c>
      <c r="CH15" s="801">
        <v>43.662300000000002</v>
      </c>
      <c r="CI15" s="801">
        <v>45.619900000000001</v>
      </c>
      <c r="CJ15" s="801">
        <v>58.929400000000001</v>
      </c>
      <c r="CK15" s="801">
        <v>55.379300000000001</v>
      </c>
      <c r="CL15" s="801">
        <v>51.975099999999998</v>
      </c>
      <c r="CM15" s="801">
        <v>49.962599999999995</v>
      </c>
      <c r="CN15" s="801">
        <v>50.947500000000005</v>
      </c>
      <c r="CO15" s="801">
        <v>61.264300000000006</v>
      </c>
      <c r="CP15" s="801">
        <v>52.436099999999996</v>
      </c>
      <c r="CQ15" s="801">
        <v>47.947299999999998</v>
      </c>
      <c r="CR15" s="801">
        <v>44.279600000000002</v>
      </c>
      <c r="CS15" s="801">
        <v>49.479500000000002</v>
      </c>
      <c r="CT15" s="801">
        <v>48.464299999999994</v>
      </c>
      <c r="CU15" s="801">
        <v>52.773299999999992</v>
      </c>
      <c r="CV15" s="801">
        <v>50.075499999999998</v>
      </c>
      <c r="CW15" s="801">
        <v>44.783699999999996</v>
      </c>
      <c r="CX15" s="801">
        <v>42.9221</v>
      </c>
      <c r="CY15" s="801">
        <v>42.4726</v>
      </c>
      <c r="CZ15" s="801">
        <v>43.6751</v>
      </c>
      <c r="DA15" s="801">
        <v>45.006500000000003</v>
      </c>
      <c r="DB15" s="801">
        <v>46.1526</v>
      </c>
      <c r="DC15" s="801">
        <v>44.225299999999997</v>
      </c>
      <c r="DD15" s="801">
        <v>42.489100000000001</v>
      </c>
      <c r="DE15" s="802" t="s">
        <v>1636</v>
      </c>
    </row>
    <row r="16" spans="1:109" ht="21.6">
      <c r="A16" s="796" t="s">
        <v>1637</v>
      </c>
      <c r="B16" s="797">
        <v>3040</v>
      </c>
      <c r="C16" s="798">
        <v>3020</v>
      </c>
      <c r="D16" s="798">
        <v>3020</v>
      </c>
      <c r="E16" s="798">
        <v>3020</v>
      </c>
      <c r="F16" s="798">
        <v>3020</v>
      </c>
      <c r="G16" s="799">
        <v>3020</v>
      </c>
      <c r="H16" s="799">
        <v>3040</v>
      </c>
      <c r="I16" s="799">
        <v>3000</v>
      </c>
      <c r="J16" s="799">
        <v>3020</v>
      </c>
      <c r="K16" s="799">
        <v>3000</v>
      </c>
      <c r="L16" s="799">
        <v>3000</v>
      </c>
      <c r="M16" s="799">
        <v>3020</v>
      </c>
      <c r="N16" s="799">
        <v>3020</v>
      </c>
      <c r="O16" s="799">
        <v>3020</v>
      </c>
      <c r="P16" s="799">
        <v>3060</v>
      </c>
      <c r="Q16" s="799">
        <v>3080</v>
      </c>
      <c r="R16" s="799">
        <v>3040</v>
      </c>
      <c r="S16" s="799">
        <v>3040</v>
      </c>
      <c r="T16" s="799">
        <v>3040</v>
      </c>
      <c r="U16" s="799">
        <v>3040</v>
      </c>
      <c r="V16" s="799">
        <v>3040</v>
      </c>
      <c r="W16" s="799">
        <v>3040</v>
      </c>
      <c r="X16" s="799">
        <v>3040</v>
      </c>
      <c r="Y16" s="799">
        <v>3040</v>
      </c>
      <c r="Z16" s="799">
        <v>304</v>
      </c>
      <c r="AA16" s="799">
        <v>308</v>
      </c>
      <c r="AB16" s="799">
        <v>308</v>
      </c>
      <c r="AC16" s="799">
        <v>308</v>
      </c>
      <c r="AD16" s="799">
        <v>304</v>
      </c>
      <c r="AE16" s="799">
        <v>308</v>
      </c>
      <c r="AF16" s="799">
        <v>308</v>
      </c>
      <c r="AG16" s="800">
        <v>306</v>
      </c>
      <c r="AH16" s="801">
        <v>306</v>
      </c>
      <c r="AI16" s="799">
        <v>308</v>
      </c>
      <c r="AJ16" s="799">
        <v>308</v>
      </c>
      <c r="AK16" s="799">
        <v>308</v>
      </c>
      <c r="AL16" s="799">
        <v>308</v>
      </c>
      <c r="AM16" s="799">
        <v>304</v>
      </c>
      <c r="AN16" s="799">
        <v>306</v>
      </c>
      <c r="AO16" s="799">
        <v>302</v>
      </c>
      <c r="AP16" s="799">
        <v>304</v>
      </c>
      <c r="AQ16" s="799">
        <v>304</v>
      </c>
      <c r="AR16" s="799">
        <v>306</v>
      </c>
      <c r="AS16" s="799">
        <v>304</v>
      </c>
      <c r="AT16" s="799">
        <v>310</v>
      </c>
      <c r="AU16" s="799">
        <v>300</v>
      </c>
      <c r="AV16" s="799">
        <v>300</v>
      </c>
      <c r="AW16" s="799">
        <v>304</v>
      </c>
      <c r="AX16" s="801">
        <v>304</v>
      </c>
      <c r="AY16" s="799">
        <v>304</v>
      </c>
      <c r="AZ16" s="799">
        <v>304</v>
      </c>
      <c r="BA16" s="801">
        <v>304</v>
      </c>
      <c r="BB16" s="801">
        <v>304</v>
      </c>
      <c r="BC16" s="801">
        <v>304</v>
      </c>
      <c r="BD16" s="801">
        <v>304</v>
      </c>
      <c r="BE16" s="801">
        <v>296</v>
      </c>
      <c r="BF16" s="801">
        <v>300</v>
      </c>
      <c r="BG16" s="801">
        <v>300</v>
      </c>
      <c r="BH16" s="801">
        <v>300</v>
      </c>
      <c r="BI16" s="801">
        <v>300</v>
      </c>
      <c r="BJ16" s="801">
        <v>300</v>
      </c>
      <c r="BK16" s="801">
        <v>300</v>
      </c>
      <c r="BL16" s="801">
        <v>300</v>
      </c>
      <c r="BM16" s="801">
        <v>300</v>
      </c>
      <c r="BN16" s="801">
        <v>300</v>
      </c>
      <c r="BO16" s="801">
        <v>300</v>
      </c>
      <c r="BP16" s="801">
        <v>300</v>
      </c>
      <c r="BQ16" s="801">
        <v>304</v>
      </c>
      <c r="BR16" s="801">
        <v>304</v>
      </c>
      <c r="BS16" s="801">
        <v>304</v>
      </c>
      <c r="BT16" s="801">
        <v>308</v>
      </c>
      <c r="BU16" s="801">
        <v>304</v>
      </c>
      <c r="BV16" s="801">
        <v>304</v>
      </c>
      <c r="BW16" s="801">
        <v>304</v>
      </c>
      <c r="BX16" s="801">
        <v>298</v>
      </c>
      <c r="BY16" s="801">
        <v>298</v>
      </c>
      <c r="BZ16" s="801">
        <v>298</v>
      </c>
      <c r="CA16" s="801">
        <v>298</v>
      </c>
      <c r="CB16" s="801">
        <v>298</v>
      </c>
      <c r="CC16" s="801">
        <v>298</v>
      </c>
      <c r="CD16" s="801">
        <v>298</v>
      </c>
      <c r="CE16" s="801">
        <v>302</v>
      </c>
      <c r="CF16" s="801">
        <v>300</v>
      </c>
      <c r="CG16" s="801">
        <v>300</v>
      </c>
      <c r="CH16" s="801">
        <v>300</v>
      </c>
      <c r="CI16" s="801">
        <v>296</v>
      </c>
      <c r="CJ16" s="801">
        <v>300</v>
      </c>
      <c r="CK16" s="801">
        <v>300</v>
      </c>
      <c r="CL16" s="801">
        <v>300</v>
      </c>
      <c r="CM16" s="801">
        <v>300</v>
      </c>
      <c r="CN16" s="801">
        <v>300</v>
      </c>
      <c r="CO16" s="801">
        <v>300</v>
      </c>
      <c r="CP16" s="801">
        <v>300</v>
      </c>
      <c r="CQ16" s="801">
        <v>300</v>
      </c>
      <c r="CR16" s="801">
        <v>300</v>
      </c>
      <c r="CS16" s="801">
        <v>300</v>
      </c>
      <c r="CT16" s="801">
        <v>300</v>
      </c>
      <c r="CU16" s="801">
        <v>300</v>
      </c>
      <c r="CV16" s="801">
        <v>300</v>
      </c>
      <c r="CW16" s="801">
        <v>300</v>
      </c>
      <c r="CX16" s="801">
        <v>300</v>
      </c>
      <c r="CY16" s="801">
        <v>300</v>
      </c>
      <c r="CZ16" s="801">
        <v>300</v>
      </c>
      <c r="DA16" s="801">
        <v>300</v>
      </c>
      <c r="DB16" s="801">
        <v>300</v>
      </c>
      <c r="DC16" s="801">
        <v>300</v>
      </c>
      <c r="DD16" s="801">
        <v>300</v>
      </c>
      <c r="DE16" s="802" t="s">
        <v>1638</v>
      </c>
    </row>
    <row r="17" spans="1:109" ht="21.6">
      <c r="A17" s="796" t="s">
        <v>1639</v>
      </c>
      <c r="B17" s="797">
        <v>825</v>
      </c>
      <c r="C17" s="798">
        <v>825</v>
      </c>
      <c r="D17" s="798">
        <v>825</v>
      </c>
      <c r="E17" s="798">
        <v>800</v>
      </c>
      <c r="F17" s="798">
        <v>825</v>
      </c>
      <c r="G17" s="799">
        <v>825</v>
      </c>
      <c r="H17" s="799">
        <v>825</v>
      </c>
      <c r="I17" s="799">
        <v>825</v>
      </c>
      <c r="J17" s="799">
        <v>837.5</v>
      </c>
      <c r="K17" s="799">
        <v>825</v>
      </c>
      <c r="L17" s="799">
        <v>825</v>
      </c>
      <c r="M17" s="799">
        <v>825</v>
      </c>
      <c r="N17" s="799">
        <v>825</v>
      </c>
      <c r="O17" s="799">
        <v>825</v>
      </c>
      <c r="P17" s="799">
        <v>825</v>
      </c>
      <c r="Q17" s="799">
        <v>775</v>
      </c>
      <c r="R17" s="799">
        <v>800</v>
      </c>
      <c r="S17" s="799">
        <v>850</v>
      </c>
      <c r="T17" s="799">
        <v>825</v>
      </c>
      <c r="U17" s="799">
        <v>850</v>
      </c>
      <c r="V17" s="799">
        <v>825</v>
      </c>
      <c r="W17" s="799">
        <v>825</v>
      </c>
      <c r="X17" s="799">
        <v>825</v>
      </c>
      <c r="Y17" s="799">
        <v>825</v>
      </c>
      <c r="Z17" s="799">
        <v>82.5</v>
      </c>
      <c r="AA17" s="799">
        <v>82.5</v>
      </c>
      <c r="AB17" s="799">
        <v>80</v>
      </c>
      <c r="AC17" s="799">
        <v>77.5</v>
      </c>
      <c r="AD17" s="799">
        <v>80</v>
      </c>
      <c r="AE17" s="799">
        <v>80</v>
      </c>
      <c r="AF17" s="799">
        <v>80</v>
      </c>
      <c r="AG17" s="800">
        <v>80</v>
      </c>
      <c r="AH17" s="801">
        <v>80</v>
      </c>
      <c r="AI17" s="799">
        <v>80</v>
      </c>
      <c r="AJ17" s="799">
        <v>80</v>
      </c>
      <c r="AK17" s="799">
        <v>80</v>
      </c>
      <c r="AL17" s="799">
        <v>85</v>
      </c>
      <c r="AM17" s="799">
        <v>82.5</v>
      </c>
      <c r="AN17" s="799">
        <v>82.5</v>
      </c>
      <c r="AO17" s="799">
        <v>85</v>
      </c>
      <c r="AP17" s="799">
        <v>87.5</v>
      </c>
      <c r="AQ17" s="799">
        <v>80</v>
      </c>
      <c r="AR17" s="799">
        <v>82.5</v>
      </c>
      <c r="AS17" s="799">
        <v>85</v>
      </c>
      <c r="AT17" s="799">
        <v>85</v>
      </c>
      <c r="AU17" s="799">
        <v>80</v>
      </c>
      <c r="AV17" s="799">
        <v>82.5</v>
      </c>
      <c r="AW17" s="799">
        <v>82.5</v>
      </c>
      <c r="AX17" s="801">
        <v>85</v>
      </c>
      <c r="AY17" s="799">
        <v>85</v>
      </c>
      <c r="AZ17" s="799">
        <v>85</v>
      </c>
      <c r="BA17" s="801">
        <v>85</v>
      </c>
      <c r="BB17" s="801">
        <v>85</v>
      </c>
      <c r="BC17" s="801">
        <v>85</v>
      </c>
      <c r="BD17" s="801">
        <v>85</v>
      </c>
      <c r="BE17" s="801">
        <v>85</v>
      </c>
      <c r="BF17" s="801">
        <v>82.5</v>
      </c>
      <c r="BG17" s="801">
        <v>82.5</v>
      </c>
      <c r="BH17" s="801">
        <v>82.5</v>
      </c>
      <c r="BI17" s="801">
        <v>82.5</v>
      </c>
      <c r="BJ17" s="801">
        <v>82.5</v>
      </c>
      <c r="BK17" s="801">
        <v>82.5</v>
      </c>
      <c r="BL17" s="801">
        <v>85</v>
      </c>
      <c r="BM17" s="801">
        <v>85</v>
      </c>
      <c r="BN17" s="801">
        <v>85</v>
      </c>
      <c r="BO17" s="801">
        <v>85</v>
      </c>
      <c r="BP17" s="801">
        <v>85</v>
      </c>
      <c r="BQ17" s="801">
        <v>82.5</v>
      </c>
      <c r="BR17" s="801">
        <v>82.5</v>
      </c>
      <c r="BS17" s="801">
        <v>82.5</v>
      </c>
      <c r="BT17" s="801">
        <v>82.5</v>
      </c>
      <c r="BU17" s="801">
        <v>82.5</v>
      </c>
      <c r="BV17" s="801">
        <v>82.5</v>
      </c>
      <c r="BW17" s="801">
        <v>82.5</v>
      </c>
      <c r="BX17" s="801">
        <v>82.5</v>
      </c>
      <c r="BY17" s="801">
        <v>85</v>
      </c>
      <c r="BZ17" s="801">
        <v>85</v>
      </c>
      <c r="CA17" s="801">
        <v>82.5</v>
      </c>
      <c r="CB17" s="801">
        <v>85</v>
      </c>
      <c r="CC17" s="801">
        <v>82.5</v>
      </c>
      <c r="CD17" s="801">
        <v>85</v>
      </c>
      <c r="CE17" s="801">
        <v>85</v>
      </c>
      <c r="CF17" s="801">
        <v>87.5</v>
      </c>
      <c r="CG17" s="801">
        <v>85</v>
      </c>
      <c r="CH17" s="801">
        <v>85</v>
      </c>
      <c r="CI17" s="801">
        <v>87.5</v>
      </c>
      <c r="CJ17" s="801">
        <v>87.5</v>
      </c>
      <c r="CK17" s="801">
        <v>87.5</v>
      </c>
      <c r="CL17" s="801">
        <v>87.5</v>
      </c>
      <c r="CM17" s="801">
        <v>87.5</v>
      </c>
      <c r="CN17" s="801">
        <v>87.5</v>
      </c>
      <c r="CO17" s="801">
        <v>87.5</v>
      </c>
      <c r="CP17" s="801">
        <v>87.5</v>
      </c>
      <c r="CQ17" s="801">
        <v>87.5</v>
      </c>
      <c r="CR17" s="801">
        <v>87.5</v>
      </c>
      <c r="CS17" s="801">
        <v>87.5</v>
      </c>
      <c r="CT17" s="801">
        <v>87.5</v>
      </c>
      <c r="CU17" s="801">
        <v>87.5</v>
      </c>
      <c r="CV17" s="801">
        <v>87.5</v>
      </c>
      <c r="CW17" s="801">
        <v>87.5</v>
      </c>
      <c r="CX17" s="801">
        <v>87.5</v>
      </c>
      <c r="CY17" s="801">
        <v>87.5</v>
      </c>
      <c r="CZ17" s="801">
        <v>87.5</v>
      </c>
      <c r="DA17" s="801">
        <v>87.5</v>
      </c>
      <c r="DB17" s="801">
        <v>85</v>
      </c>
      <c r="DC17" s="801">
        <v>80</v>
      </c>
      <c r="DD17" s="801">
        <v>67</v>
      </c>
      <c r="DE17" s="802" t="s">
        <v>1640</v>
      </c>
    </row>
    <row r="18" spans="1:109">
      <c r="A18" s="796" t="s">
        <v>1641</v>
      </c>
      <c r="B18" s="803">
        <v>385</v>
      </c>
      <c r="C18" s="804">
        <v>385</v>
      </c>
      <c r="D18" s="804">
        <v>385</v>
      </c>
      <c r="E18" s="804">
        <v>384.75</v>
      </c>
      <c r="F18" s="804">
        <v>384.25</v>
      </c>
      <c r="G18" s="805">
        <v>385</v>
      </c>
      <c r="H18" s="805">
        <v>385</v>
      </c>
      <c r="I18" s="805">
        <v>385</v>
      </c>
      <c r="J18" s="805">
        <v>385</v>
      </c>
      <c r="K18" s="805">
        <v>385</v>
      </c>
      <c r="L18" s="805">
        <v>385</v>
      </c>
      <c r="M18" s="805">
        <v>385</v>
      </c>
      <c r="N18" s="805">
        <v>385</v>
      </c>
      <c r="O18" s="805">
        <v>385</v>
      </c>
      <c r="P18" s="805">
        <v>385</v>
      </c>
      <c r="Q18" s="805">
        <v>385</v>
      </c>
      <c r="R18" s="805">
        <v>385</v>
      </c>
      <c r="S18" s="805">
        <v>385</v>
      </c>
      <c r="T18" s="805">
        <v>385</v>
      </c>
      <c r="U18" s="805">
        <v>385</v>
      </c>
      <c r="V18" s="805">
        <v>385</v>
      </c>
      <c r="W18" s="805">
        <v>385</v>
      </c>
      <c r="X18" s="805">
        <v>385</v>
      </c>
      <c r="Y18" s="805">
        <v>385</v>
      </c>
      <c r="Z18" s="805">
        <v>38.5</v>
      </c>
      <c r="AA18" s="805">
        <v>38.5</v>
      </c>
      <c r="AB18" s="805">
        <v>38.5</v>
      </c>
      <c r="AC18" s="805">
        <v>38.5</v>
      </c>
      <c r="AD18" s="805">
        <v>38.5</v>
      </c>
      <c r="AE18" s="805">
        <v>38.5</v>
      </c>
      <c r="AF18" s="805">
        <v>38.5</v>
      </c>
      <c r="AG18" s="806">
        <v>38.5</v>
      </c>
      <c r="AH18" s="807">
        <v>38.5</v>
      </c>
      <c r="AI18" s="805">
        <v>38.5</v>
      </c>
      <c r="AJ18" s="805">
        <v>38.5</v>
      </c>
      <c r="AK18" s="805">
        <v>38.5</v>
      </c>
      <c r="AL18" s="805">
        <v>38.5</v>
      </c>
      <c r="AM18" s="805">
        <v>38.5</v>
      </c>
      <c r="AN18" s="805">
        <v>38.5</v>
      </c>
      <c r="AO18" s="805">
        <v>38.5</v>
      </c>
      <c r="AP18" s="805">
        <v>38.5</v>
      </c>
      <c r="AQ18" s="805">
        <v>38.5</v>
      </c>
      <c r="AR18" s="805">
        <v>38.5</v>
      </c>
      <c r="AS18" s="805">
        <v>38.5</v>
      </c>
      <c r="AT18" s="805">
        <v>38.5</v>
      </c>
      <c r="AU18" s="805">
        <v>38.5</v>
      </c>
      <c r="AV18" s="805">
        <v>38.5</v>
      </c>
      <c r="AW18" s="805">
        <v>38.5</v>
      </c>
      <c r="AX18" s="807">
        <v>38.5</v>
      </c>
      <c r="AY18" s="805">
        <v>38.5</v>
      </c>
      <c r="AZ18" s="805">
        <v>38.5</v>
      </c>
      <c r="BA18" s="807">
        <v>38.524999999999999</v>
      </c>
      <c r="BB18" s="807">
        <v>38.5</v>
      </c>
      <c r="BC18" s="807">
        <v>38.5</v>
      </c>
      <c r="BD18" s="807">
        <v>38.5</v>
      </c>
      <c r="BE18" s="807">
        <v>38.475000000000001</v>
      </c>
      <c r="BF18" s="807">
        <v>38.475000000000001</v>
      </c>
      <c r="BG18" s="807">
        <v>38.475000000000001</v>
      </c>
      <c r="BH18" s="807">
        <v>38.475000000000001</v>
      </c>
      <c r="BI18" s="807">
        <v>38.475000000000001</v>
      </c>
      <c r="BJ18" s="807">
        <v>38.475000000000001</v>
      </c>
      <c r="BK18" s="807">
        <v>38.475000000000001</v>
      </c>
      <c r="BL18" s="807">
        <v>38.475000000000001</v>
      </c>
      <c r="BM18" s="807">
        <v>38.475000000000001</v>
      </c>
      <c r="BN18" s="807">
        <v>38.475000000000001</v>
      </c>
      <c r="BO18" s="807">
        <v>38.475000000000001</v>
      </c>
      <c r="BP18" s="807">
        <v>38.475000000000001</v>
      </c>
      <c r="BQ18" s="807">
        <v>38.475000000000001</v>
      </c>
      <c r="BR18" s="807">
        <v>38.475000000000001</v>
      </c>
      <c r="BS18" s="807">
        <v>38.475000000000001</v>
      </c>
      <c r="BT18" s="807">
        <v>38.475000000000001</v>
      </c>
      <c r="BU18" s="807">
        <v>38.475000000000001</v>
      </c>
      <c r="BV18" s="807">
        <v>38.5</v>
      </c>
      <c r="BW18" s="807">
        <v>38.5</v>
      </c>
      <c r="BX18" s="807">
        <v>38.475000000000001</v>
      </c>
      <c r="BY18" s="807">
        <v>38.475000000000001</v>
      </c>
      <c r="BZ18" s="807">
        <v>38.475000000000001</v>
      </c>
      <c r="CA18" s="807">
        <v>38.475000000000001</v>
      </c>
      <c r="CB18" s="807">
        <v>44.25</v>
      </c>
      <c r="CC18" s="807">
        <v>50</v>
      </c>
      <c r="CD18" s="807">
        <v>50</v>
      </c>
      <c r="CE18" s="807">
        <v>50</v>
      </c>
      <c r="CF18" s="807">
        <v>50</v>
      </c>
      <c r="CG18" s="807">
        <v>50</v>
      </c>
      <c r="CH18" s="807">
        <v>50</v>
      </c>
      <c r="CI18" s="807">
        <v>50</v>
      </c>
      <c r="CJ18" s="807">
        <v>50</v>
      </c>
      <c r="CK18" s="807">
        <v>50</v>
      </c>
      <c r="CL18" s="807">
        <v>50</v>
      </c>
      <c r="CM18" s="807">
        <v>50</v>
      </c>
      <c r="CN18" s="807">
        <v>50</v>
      </c>
      <c r="CO18" s="807">
        <v>50</v>
      </c>
      <c r="CP18" s="807">
        <v>50</v>
      </c>
      <c r="CQ18" s="807">
        <v>50</v>
      </c>
      <c r="CR18" s="807">
        <v>50</v>
      </c>
      <c r="CS18" s="807">
        <v>50</v>
      </c>
      <c r="CT18" s="807">
        <v>50</v>
      </c>
      <c r="CU18" s="807">
        <v>50</v>
      </c>
      <c r="CV18" s="807">
        <v>50</v>
      </c>
      <c r="CW18" s="807">
        <v>50</v>
      </c>
      <c r="CX18" s="807">
        <v>50</v>
      </c>
      <c r="CY18" s="807">
        <v>50</v>
      </c>
      <c r="CZ18" s="807">
        <v>50</v>
      </c>
      <c r="DA18" s="807">
        <v>50</v>
      </c>
      <c r="DB18" s="807">
        <v>50</v>
      </c>
      <c r="DC18" s="807">
        <v>50</v>
      </c>
      <c r="DD18" s="807">
        <v>50</v>
      </c>
      <c r="DE18" s="802" t="s">
        <v>1642</v>
      </c>
    </row>
    <row r="19" spans="1:109">
      <c r="A19" s="808"/>
      <c r="B19" s="808"/>
      <c r="C19" s="808"/>
      <c r="D19" s="808"/>
      <c r="E19" s="808"/>
    </row>
    <row r="20" spans="1:109">
      <c r="A20" s="808"/>
      <c r="B20" s="808"/>
      <c r="C20" s="808"/>
      <c r="D20" s="808"/>
      <c r="E20" s="808"/>
    </row>
    <row r="21" spans="1:109">
      <c r="A21" s="808"/>
      <c r="B21" s="808"/>
      <c r="C21" s="808"/>
      <c r="D21" s="808"/>
      <c r="E21" s="808"/>
    </row>
    <row r="22" spans="1:109">
      <c r="A22" s="808"/>
      <c r="B22" s="808"/>
      <c r="C22" s="808"/>
      <c r="D22" s="808"/>
      <c r="E22" s="808"/>
    </row>
  </sheetData>
  <mergeCells count="2">
    <mergeCell ref="A4:A5"/>
    <mergeCell ref="DE4:DE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521D-0C9D-4557-B2DF-7CC7FA4D7B69}">
  <sheetPr>
    <tabColor theme="6"/>
  </sheetPr>
  <dimension ref="A1:AX9"/>
  <sheetViews>
    <sheetView workbookViewId="0">
      <selection activeCell="H15" sqref="H15"/>
    </sheetView>
  </sheetViews>
  <sheetFormatPr baseColWidth="10" defaultColWidth="11.44140625" defaultRowHeight="13.2"/>
  <cols>
    <col min="1" max="1" width="50.6640625" style="826" customWidth="1"/>
    <col min="2" max="2" width="11.44140625" style="826" bestFit="1" customWidth="1"/>
    <col min="3" max="4" width="12.33203125" style="826" bestFit="1" customWidth="1"/>
    <col min="5" max="5" width="10.88671875" style="826" bestFit="1" customWidth="1"/>
    <col min="6" max="8" width="12.33203125" style="826" bestFit="1" customWidth="1"/>
    <col min="9" max="9" width="14.5546875" style="826" bestFit="1" customWidth="1"/>
    <col min="10" max="11" width="12.33203125" style="827" bestFit="1" customWidth="1"/>
    <col min="12" max="12" width="12.33203125" style="826" bestFit="1" customWidth="1"/>
    <col min="13" max="13" width="14.5546875" style="826" bestFit="1" customWidth="1"/>
    <col min="14" max="15" width="16.109375" style="826" bestFit="1" customWidth="1"/>
    <col min="16" max="16" width="12.33203125" style="827" bestFit="1" customWidth="1"/>
    <col min="17" max="31" width="11.44140625" style="826"/>
    <col min="32" max="33" width="11.44140625" style="827"/>
    <col min="34" max="16384" width="11.44140625" style="826"/>
  </cols>
  <sheetData>
    <row r="1" spans="1:50" s="809" customFormat="1" ht="18">
      <c r="A1" s="787" t="s">
        <v>1643</v>
      </c>
      <c r="B1" s="787"/>
      <c r="C1" s="787"/>
      <c r="D1" s="787"/>
      <c r="E1" s="787"/>
      <c r="J1" s="810"/>
      <c r="K1" s="810"/>
      <c r="P1" s="810"/>
      <c r="AF1" s="810"/>
      <c r="AG1" s="810"/>
    </row>
    <row r="4" spans="1:50" s="814" customFormat="1" ht="40.799999999999997">
      <c r="A4" s="811"/>
      <c r="B4" s="812" t="s">
        <v>1644</v>
      </c>
      <c r="C4" s="813" t="s">
        <v>1645</v>
      </c>
      <c r="D4" s="813" t="s">
        <v>1646</v>
      </c>
      <c r="E4" s="813" t="s">
        <v>1647</v>
      </c>
      <c r="F4" s="813" t="s">
        <v>1648</v>
      </c>
      <c r="G4" s="813" t="s">
        <v>1649</v>
      </c>
      <c r="H4" s="813" t="s">
        <v>1650</v>
      </c>
      <c r="I4" s="813" t="s">
        <v>1651</v>
      </c>
      <c r="J4" s="813" t="s">
        <v>1652</v>
      </c>
      <c r="K4" s="813" t="s">
        <v>1653</v>
      </c>
      <c r="L4" s="813" t="s">
        <v>1654</v>
      </c>
      <c r="M4" s="813" t="s">
        <v>1655</v>
      </c>
      <c r="N4" s="813" t="s">
        <v>1656</v>
      </c>
      <c r="O4" s="813" t="s">
        <v>1657</v>
      </c>
      <c r="P4" s="813" t="s">
        <v>1658</v>
      </c>
      <c r="Q4" s="813" t="s">
        <v>1659</v>
      </c>
      <c r="R4" s="813" t="s">
        <v>1660</v>
      </c>
      <c r="S4" s="813" t="s">
        <v>1661</v>
      </c>
      <c r="T4" s="813" t="s">
        <v>1662</v>
      </c>
      <c r="U4" s="813" t="s">
        <v>1663</v>
      </c>
      <c r="V4" s="813" t="s">
        <v>1664</v>
      </c>
      <c r="W4" s="813" t="s">
        <v>1665</v>
      </c>
      <c r="X4" s="813" t="s">
        <v>1666</v>
      </c>
      <c r="Y4" s="813" t="s">
        <v>1667</v>
      </c>
      <c r="Z4" s="813" t="s">
        <v>1668</v>
      </c>
      <c r="AA4" s="813" t="s">
        <v>1669</v>
      </c>
      <c r="AB4" s="813" t="s">
        <v>1670</v>
      </c>
      <c r="AC4" s="813" t="s">
        <v>1671</v>
      </c>
      <c r="AD4" s="813" t="s">
        <v>1672</v>
      </c>
      <c r="AE4" s="813" t="s">
        <v>1673</v>
      </c>
      <c r="AF4" s="813" t="s">
        <v>1674</v>
      </c>
      <c r="AG4" s="813" t="s">
        <v>1675</v>
      </c>
      <c r="AH4" s="813" t="s">
        <v>1676</v>
      </c>
      <c r="AI4" s="813" t="s">
        <v>1677</v>
      </c>
      <c r="AJ4" s="813" t="s">
        <v>1678</v>
      </c>
      <c r="AK4" s="813" t="s">
        <v>1679</v>
      </c>
      <c r="AL4" s="813" t="s">
        <v>1680</v>
      </c>
      <c r="AM4" s="813" t="s">
        <v>1681</v>
      </c>
      <c r="AN4" s="813" t="s">
        <v>1682</v>
      </c>
      <c r="AO4" s="813" t="s">
        <v>1683</v>
      </c>
      <c r="AP4" s="813" t="s">
        <v>1684</v>
      </c>
      <c r="AQ4" s="813" t="s">
        <v>1685</v>
      </c>
      <c r="AR4" s="813" t="s">
        <v>1686</v>
      </c>
      <c r="AS4" s="813" t="s">
        <v>1687</v>
      </c>
      <c r="AT4" s="813" t="s">
        <v>1688</v>
      </c>
      <c r="AU4" s="813" t="s">
        <v>1689</v>
      </c>
      <c r="AV4" s="813" t="s">
        <v>1690</v>
      </c>
      <c r="AW4" s="813" t="s">
        <v>1691</v>
      </c>
      <c r="AX4" s="813" t="s">
        <v>1692</v>
      </c>
    </row>
    <row r="5" spans="1:50" s="814" customFormat="1" ht="18" customHeight="1">
      <c r="A5" s="815" t="s">
        <v>1693</v>
      </c>
      <c r="B5" s="816">
        <v>7803.4234831639806</v>
      </c>
      <c r="C5" s="817">
        <v>100.48275959338508</v>
      </c>
      <c r="D5" s="817">
        <v>100.68507143057495</v>
      </c>
      <c r="E5" s="817">
        <v>101.07461913499999</v>
      </c>
      <c r="F5" s="817">
        <v>102.05806363675224</v>
      </c>
      <c r="G5" s="817">
        <v>103.05943023599879</v>
      </c>
      <c r="H5" s="817">
        <v>104.14736202319575</v>
      </c>
      <c r="I5" s="817">
        <v>104.53241409760618</v>
      </c>
      <c r="J5" s="817">
        <v>105.42285920252364</v>
      </c>
      <c r="K5" s="817">
        <v>106.16047797567937</v>
      </c>
      <c r="L5" s="817">
        <v>106.24480886944018</v>
      </c>
      <c r="M5" s="817">
        <v>106.57210156106025</v>
      </c>
      <c r="N5" s="817">
        <v>107.04169890180135</v>
      </c>
      <c r="O5" s="817">
        <v>107.44132484155001</v>
      </c>
      <c r="P5" s="817">
        <v>107.73737237583505</v>
      </c>
      <c r="Q5" s="818">
        <v>104.11348692004152</v>
      </c>
      <c r="R5" s="818">
        <v>102.84627408952342</v>
      </c>
      <c r="S5" s="818">
        <v>102.90022168621324</v>
      </c>
      <c r="T5" s="818">
        <v>102.50175239970652</v>
      </c>
      <c r="U5" s="818">
        <v>96.337231873959396</v>
      </c>
      <c r="V5" s="818">
        <v>100.79892248880043</v>
      </c>
      <c r="W5" s="818">
        <v>102.96487167489748</v>
      </c>
      <c r="X5" s="818">
        <v>103.20551855284312</v>
      </c>
      <c r="Y5" s="818">
        <v>97.793019476424618</v>
      </c>
      <c r="Z5" s="818">
        <v>103.41331709239239</v>
      </c>
      <c r="AA5" s="818">
        <v>103.68571151621207</v>
      </c>
      <c r="AB5" s="818">
        <v>102.39784651622104</v>
      </c>
      <c r="AC5" s="818">
        <v>104.5849025201223</v>
      </c>
      <c r="AD5" s="818">
        <v>107.14870730624442</v>
      </c>
      <c r="AE5" s="818">
        <v>104.26390117632491</v>
      </c>
      <c r="AF5" s="818">
        <v>103.54057833023803</v>
      </c>
      <c r="AG5" s="818">
        <v>101.34087405801812</v>
      </c>
      <c r="AH5" s="818">
        <v>103.27336482148019</v>
      </c>
      <c r="AI5" s="818">
        <v>103.24570025212329</v>
      </c>
      <c r="AJ5" s="818">
        <v>102.38358969049439</v>
      </c>
      <c r="AK5" s="818">
        <v>114.26473281170409</v>
      </c>
      <c r="AL5" s="818">
        <v>113.85732443050051</v>
      </c>
      <c r="AM5" s="818">
        <v>117.17170781705643</v>
      </c>
      <c r="AN5" s="818">
        <v>116.17566138862315</v>
      </c>
      <c r="AO5" s="818">
        <v>118.67749091194787</v>
      </c>
      <c r="AP5" s="818">
        <v>124.47434321162756</v>
      </c>
      <c r="AQ5" s="818">
        <v>120.20006042466213</v>
      </c>
      <c r="AR5" s="818">
        <v>123.21783536691179</v>
      </c>
      <c r="AS5" s="818">
        <v>122.41759090140634</v>
      </c>
      <c r="AT5" s="818">
        <v>124.10237940184136</v>
      </c>
      <c r="AU5" s="818">
        <v>124.37831419203066</v>
      </c>
      <c r="AV5" s="818">
        <v>124.94835715177156</v>
      </c>
      <c r="AW5" s="818">
        <v>126.9157473296704</v>
      </c>
      <c r="AX5" s="818">
        <v>125.47674495644713</v>
      </c>
    </row>
    <row r="6" spans="1:50" s="814" customFormat="1" ht="13.8">
      <c r="A6" s="815" t="s">
        <v>1694</v>
      </c>
      <c r="B6" s="819">
        <v>98.5766686384178</v>
      </c>
      <c r="C6" s="820">
        <v>102.8877086943279</v>
      </c>
      <c r="D6" s="820">
        <v>104.80018464467048</v>
      </c>
      <c r="E6" s="820">
        <v>105.88740159320075</v>
      </c>
      <c r="F6" s="820">
        <v>106.4806878208431</v>
      </c>
      <c r="G6" s="820">
        <v>106.54574015829701</v>
      </c>
      <c r="H6" s="820">
        <v>106.80845463563789</v>
      </c>
      <c r="I6" s="820">
        <v>106.8046352091777</v>
      </c>
      <c r="J6" s="820">
        <v>106.94450947095849</v>
      </c>
      <c r="K6" s="820">
        <v>106.95998508590043</v>
      </c>
      <c r="L6" s="820">
        <v>106.95998508590043</v>
      </c>
      <c r="M6" s="820">
        <v>106.95998508590043</v>
      </c>
      <c r="N6" s="820">
        <v>106.95998508590043</v>
      </c>
      <c r="O6" s="820">
        <v>106.95998508590043</v>
      </c>
      <c r="P6" s="820">
        <v>106.95998508590043</v>
      </c>
      <c r="Q6" s="821">
        <v>108.03701690161255</v>
      </c>
      <c r="R6" s="821">
        <v>108.03701690161255</v>
      </c>
      <c r="S6" s="821">
        <v>107.92511749218791</v>
      </c>
      <c r="T6" s="821">
        <v>107.81321808276327</v>
      </c>
      <c r="U6" s="821">
        <v>108.04634185239793</v>
      </c>
      <c r="V6" s="821">
        <v>107.99039214768561</v>
      </c>
      <c r="W6" s="821">
        <v>108.00904204925639</v>
      </c>
      <c r="X6" s="821">
        <v>108.00904204925639</v>
      </c>
      <c r="Y6" s="821">
        <v>108.04634185239793</v>
      </c>
      <c r="Z6" s="821">
        <v>107.99039214768561</v>
      </c>
      <c r="AA6" s="821">
        <v>108.00904204925639</v>
      </c>
      <c r="AB6" s="821">
        <v>108.00904204925639</v>
      </c>
      <c r="AC6" s="821">
        <v>108.04634185239793</v>
      </c>
      <c r="AD6" s="821">
        <v>107.99039214768561</v>
      </c>
      <c r="AE6" s="821">
        <v>108.00904204925639</v>
      </c>
      <c r="AF6" s="821">
        <v>108.00904204925639</v>
      </c>
      <c r="AG6" s="821">
        <v>108.10229155711026</v>
      </c>
      <c r="AH6" s="821">
        <v>108.08364165553949</v>
      </c>
      <c r="AI6" s="821">
        <v>101.35201610201788</v>
      </c>
      <c r="AJ6" s="821">
        <v>108.2328408681057</v>
      </c>
      <c r="AK6" s="821">
        <v>104.28950215652304</v>
      </c>
      <c r="AL6" s="821">
        <v>104.82261102296525</v>
      </c>
      <c r="AM6" s="821">
        <v>105.16866414679613</v>
      </c>
      <c r="AN6" s="821">
        <v>105.81400645880512</v>
      </c>
      <c r="AO6" s="821">
        <v>106.28164581533336</v>
      </c>
      <c r="AP6" s="821">
        <v>106.51546549359749</v>
      </c>
      <c r="AQ6" s="821">
        <v>121.47538108423784</v>
      </c>
      <c r="AR6" s="821">
        <v>125.09430531268522</v>
      </c>
      <c r="AS6" s="821">
        <v>125.20653875825199</v>
      </c>
      <c r="AT6" s="821">
        <v>125.24394990677426</v>
      </c>
      <c r="AU6" s="821">
        <v>125.29071384242708</v>
      </c>
      <c r="AV6" s="821">
        <v>125.42165286225499</v>
      </c>
      <c r="AW6" s="821">
        <v>125.56194466921347</v>
      </c>
      <c r="AX6" s="821">
        <v>125.65547254051911</v>
      </c>
    </row>
    <row r="7" spans="1:50" s="814" customFormat="1" ht="13.8">
      <c r="A7" s="815" t="s">
        <v>1695</v>
      </c>
      <c r="B7" s="819">
        <v>209.79998481976028</v>
      </c>
      <c r="C7" s="820">
        <v>99.118756528416199</v>
      </c>
      <c r="D7" s="820">
        <v>98.576005347470598</v>
      </c>
      <c r="E7" s="820">
        <v>98.305966112646487</v>
      </c>
      <c r="F7" s="820">
        <v>98.002289960237704</v>
      </c>
      <c r="G7" s="820">
        <v>97.954214622615424</v>
      </c>
      <c r="H7" s="820">
        <v>97.834826860642011</v>
      </c>
      <c r="I7" s="820">
        <v>97.659786067595746</v>
      </c>
      <c r="J7" s="820">
        <v>97.045169718483166</v>
      </c>
      <c r="K7" s="820">
        <v>97.28873381585619</v>
      </c>
      <c r="L7" s="820">
        <v>96.519758284764364</v>
      </c>
      <c r="M7" s="820">
        <v>96.411334835816263</v>
      </c>
      <c r="N7" s="820">
        <v>95.631777137748472</v>
      </c>
      <c r="O7" s="820">
        <v>94.927357179783783</v>
      </c>
      <c r="P7" s="820">
        <v>94.910390292262392</v>
      </c>
      <c r="Q7" s="821">
        <v>94.859027664988432</v>
      </c>
      <c r="R7" s="821">
        <v>94.79163545367436</v>
      </c>
      <c r="S7" s="821">
        <v>103.08128116798297</v>
      </c>
      <c r="T7" s="821">
        <v>104.22075617883517</v>
      </c>
      <c r="U7" s="821">
        <v>102.80906049505006</v>
      </c>
      <c r="V7" s="821">
        <v>103.71006057029075</v>
      </c>
      <c r="W7" s="821">
        <v>105.23790815528035</v>
      </c>
      <c r="X7" s="821">
        <v>105.09229252360598</v>
      </c>
      <c r="Y7" s="821">
        <v>103.43623228195555</v>
      </c>
      <c r="Z7" s="821">
        <v>103.43623228195555</v>
      </c>
      <c r="AA7" s="821">
        <v>104.55876112906674</v>
      </c>
      <c r="AB7" s="821">
        <v>105.40123022775556</v>
      </c>
      <c r="AC7" s="821">
        <v>92.413320193275936</v>
      </c>
      <c r="AD7" s="821">
        <v>104.122554754158</v>
      </c>
      <c r="AE7" s="821">
        <v>104.74560165260398</v>
      </c>
      <c r="AF7" s="821">
        <v>103.67161134938425</v>
      </c>
      <c r="AG7" s="821">
        <v>103.67161134938425</v>
      </c>
      <c r="AH7" s="821">
        <v>103.66322353641446</v>
      </c>
      <c r="AI7" s="821">
        <v>94.482093448045092</v>
      </c>
      <c r="AJ7" s="821">
        <v>94.482093448045092</v>
      </c>
      <c r="AK7" s="821">
        <v>97.518998766704669</v>
      </c>
      <c r="AL7" s="821">
        <v>98.987591053463689</v>
      </c>
      <c r="AM7" s="821">
        <v>99.752395352331675</v>
      </c>
      <c r="AN7" s="821">
        <v>105.17178822034988</v>
      </c>
      <c r="AO7" s="821">
        <v>106.32985812129904</v>
      </c>
      <c r="AP7" s="821">
        <v>116.43622538581128</v>
      </c>
      <c r="AQ7" s="821">
        <v>116.30461776846856</v>
      </c>
      <c r="AR7" s="821">
        <v>116.30461776846856</v>
      </c>
      <c r="AS7" s="821">
        <v>116.90703860803514</v>
      </c>
      <c r="AT7" s="821">
        <v>130.21955960084043</v>
      </c>
      <c r="AU7" s="821">
        <v>155.77484550093641</v>
      </c>
      <c r="AV7" s="821">
        <v>159.57838169353963</v>
      </c>
      <c r="AW7" s="821">
        <v>159.3498889326583</v>
      </c>
      <c r="AX7" s="821">
        <v>154.7288359099592</v>
      </c>
    </row>
    <row r="8" spans="1:50" s="814" customFormat="1" ht="13.8">
      <c r="A8" s="815" t="s">
        <v>1696</v>
      </c>
      <c r="B8" s="819">
        <v>1888.1998633778421</v>
      </c>
      <c r="C8" s="820">
        <v>101.68359864755594</v>
      </c>
      <c r="D8" s="820">
        <v>102.78585985662966</v>
      </c>
      <c r="E8" s="820">
        <v>104.53909203750949</v>
      </c>
      <c r="F8" s="820">
        <v>105.43638517507715</v>
      </c>
      <c r="G8" s="820">
        <v>106.10757628596313</v>
      </c>
      <c r="H8" s="820">
        <v>106.90168709126742</v>
      </c>
      <c r="I8" s="820">
        <v>109.55972260793793</v>
      </c>
      <c r="J8" s="820">
        <v>109.6633337621725</v>
      </c>
      <c r="K8" s="820">
        <v>109.09648947947692</v>
      </c>
      <c r="L8" s="820">
        <v>113.13666132271248</v>
      </c>
      <c r="M8" s="820">
        <v>113.88445373438788</v>
      </c>
      <c r="N8" s="820">
        <v>114.17162185087659</v>
      </c>
      <c r="O8" s="820">
        <v>116.44503942765046</v>
      </c>
      <c r="P8" s="820">
        <v>117.0042873215351</v>
      </c>
      <c r="Q8" s="821">
        <v>125.49938499758042</v>
      </c>
      <c r="R8" s="821">
        <v>126.47024473846314</v>
      </c>
      <c r="S8" s="821">
        <v>128.56473810118459</v>
      </c>
      <c r="T8" s="821">
        <v>127.40135690002704</v>
      </c>
      <c r="U8" s="821">
        <v>136.86451819033692</v>
      </c>
      <c r="V8" s="821">
        <v>134.52076260897422</v>
      </c>
      <c r="W8" s="821">
        <v>127.14010713333255</v>
      </c>
      <c r="X8" s="821">
        <v>126.89747292162447</v>
      </c>
      <c r="Y8" s="821">
        <v>126.92253181720405</v>
      </c>
      <c r="Z8" s="821">
        <v>126.96922761355069</v>
      </c>
      <c r="AA8" s="821">
        <v>140.0951039097861</v>
      </c>
      <c r="AB8" s="821">
        <v>136.83555868244341</v>
      </c>
      <c r="AC8" s="821">
        <v>134.28440902537477</v>
      </c>
      <c r="AD8" s="821">
        <v>140.20555601281191</v>
      </c>
      <c r="AE8" s="821">
        <v>143.55869533285565</v>
      </c>
      <c r="AF8" s="821">
        <v>143.58893398682545</v>
      </c>
      <c r="AG8" s="821">
        <v>137.21187824478849</v>
      </c>
      <c r="AH8" s="821">
        <v>140.67397412594178</v>
      </c>
      <c r="AI8" s="821">
        <v>137.31044694833977</v>
      </c>
      <c r="AJ8" s="821">
        <v>140.79494220408924</v>
      </c>
      <c r="AK8" s="821">
        <v>152.89387177270399</v>
      </c>
      <c r="AL8" s="821">
        <v>146.93128633694215</v>
      </c>
      <c r="AM8" s="821">
        <v>166.00938419859006</v>
      </c>
      <c r="AN8" s="821">
        <v>163.69846919442955</v>
      </c>
      <c r="AO8" s="821">
        <v>171.36260551137912</v>
      </c>
      <c r="AP8" s="821">
        <v>188.34007066719175</v>
      </c>
      <c r="AQ8" s="821">
        <v>187.88008210345365</v>
      </c>
      <c r="AR8" s="821">
        <v>187.75741671108676</v>
      </c>
      <c r="AS8" s="821">
        <v>192.90153357871904</v>
      </c>
      <c r="AT8" s="821">
        <v>196.55500850193687</v>
      </c>
      <c r="AU8" s="821">
        <v>196.99805029929306</v>
      </c>
      <c r="AV8" s="821">
        <v>193.47697017119344</v>
      </c>
      <c r="AW8" s="821">
        <v>201.45644488475659</v>
      </c>
      <c r="AX8" s="821">
        <v>196.94632741362409</v>
      </c>
    </row>
    <row r="9" spans="1:50" s="814" customFormat="1" ht="17.25" customHeight="1">
      <c r="A9" s="822" t="s">
        <v>1697</v>
      </c>
      <c r="B9" s="823">
        <v>10000</v>
      </c>
      <c r="C9" s="824">
        <v>100.70459241201665</v>
      </c>
      <c r="D9" s="824">
        <v>101.07805948443081</v>
      </c>
      <c r="E9" s="824">
        <v>101.71813733107444</v>
      </c>
      <c r="F9" s="824">
        <v>102.65446489375761</v>
      </c>
      <c r="G9" s="824">
        <v>103.56224059748781</v>
      </c>
      <c r="H9" s="824">
        <v>104.56122883125836</v>
      </c>
      <c r="I9" s="824">
        <v>105.3598814949649</v>
      </c>
      <c r="J9" s="824">
        <v>106.06278155971414</v>
      </c>
      <c r="K9" s="824">
        <v>106.53660772345627</v>
      </c>
      <c r="L9" s="824">
        <v>107.34914677789624</v>
      </c>
      <c r="M9" s="824">
        <v>107.74347055462356</v>
      </c>
      <c r="N9" s="824">
        <v>108.14778520677059</v>
      </c>
      <c r="O9" s="824">
        <v>108.87411819717994</v>
      </c>
      <c r="P9" s="824">
        <v>109.21037783970552</v>
      </c>
      <c r="Q9" s="825">
        <v>107.99609021323</v>
      </c>
      <c r="R9" s="825">
        <v>107.18913421176494</v>
      </c>
      <c r="S9" s="825">
        <v>107.79952770158746</v>
      </c>
      <c r="T9" s="825">
        <v>107.29171873721221</v>
      </c>
      <c r="U9" s="825">
        <v>104.2407969826109</v>
      </c>
      <c r="V9" s="825">
        <v>107.29824666426579</v>
      </c>
      <c r="W9" s="825">
        <v>107.6270513569347</v>
      </c>
      <c r="X9" s="825">
        <v>107.76596910251457</v>
      </c>
      <c r="Y9" s="825">
        <v>103.51272203096033</v>
      </c>
      <c r="Z9" s="825">
        <v>107.90674383691972</v>
      </c>
      <c r="AA9" s="825">
        <v>110.62146702222316</v>
      </c>
      <c r="AB9" s="825">
        <v>109.01869913893303</v>
      </c>
      <c r="AC9" s="825">
        <v>109.97152486974949</v>
      </c>
      <c r="AD9" s="825">
        <v>113.33530940021097</v>
      </c>
      <c r="AE9" s="825">
        <v>111.73056809845173</v>
      </c>
      <c r="AF9" s="825">
        <v>111.14930599744362</v>
      </c>
      <c r="AG9" s="825">
        <v>108.22958724455485</v>
      </c>
      <c r="AH9" s="825">
        <v>110.39094470117395</v>
      </c>
      <c r="AI9" s="825">
        <v>109.47527749295971</v>
      </c>
      <c r="AJ9" s="825">
        <v>109.52830733766712</v>
      </c>
      <c r="AK9" s="825">
        <v>121.10749904910959</v>
      </c>
      <c r="AL9" s="825">
        <v>119.69998037478432</v>
      </c>
      <c r="AM9" s="825">
        <v>125.9076254237952</v>
      </c>
      <c r="AN9" s="825">
        <v>124.81430578202048</v>
      </c>
      <c r="AO9" s="825">
        <v>128.2424213932604</v>
      </c>
      <c r="AP9" s="825">
        <v>136.18559919148743</v>
      </c>
      <c r="AQ9" s="825">
        <v>132.90886989636769</v>
      </c>
      <c r="AR9" s="825">
        <v>135.27630780758787</v>
      </c>
      <c r="AS9" s="825">
        <v>135.63684826450495</v>
      </c>
      <c r="AT9" s="825">
        <v>137.92119810811721</v>
      </c>
      <c r="AU9" s="825">
        <v>138.75728028310775</v>
      </c>
      <c r="AV9" s="825">
        <v>138.61847543274931</v>
      </c>
      <c r="AW9" s="825">
        <v>141.65674535539486</v>
      </c>
      <c r="AX9" s="825">
        <v>139.58626543746823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D7BB-A2FB-49D9-A389-8B5EE23B391E}">
  <dimension ref="A1:I63"/>
  <sheetViews>
    <sheetView showGridLines="0" view="pageLayout" topLeftCell="B18" workbookViewId="0">
      <selection activeCell="A39" sqref="A39:I39"/>
    </sheetView>
  </sheetViews>
  <sheetFormatPr baseColWidth="10" defaultColWidth="14.44140625" defaultRowHeight="15" customHeight="1"/>
  <cols>
    <col min="1" max="1" width="4.5546875" style="304" hidden="1" customWidth="1"/>
    <col min="2" max="2" width="21.5546875" style="304" customWidth="1"/>
    <col min="3" max="5" width="14.6640625" style="304" customWidth="1"/>
    <col min="6" max="6" width="4.6640625" style="304" customWidth="1"/>
    <col min="7" max="7" width="18.6640625" style="304" customWidth="1"/>
    <col min="8" max="8" width="14.44140625" style="304"/>
    <col min="9" max="9" width="13" style="304" customWidth="1"/>
    <col min="10" max="16384" width="14.44140625" style="304"/>
  </cols>
  <sheetData>
    <row r="1" spans="1:7" ht="12.75" customHeight="1">
      <c r="A1" s="305"/>
      <c r="B1" s="305"/>
      <c r="C1" s="305"/>
      <c r="D1" s="305"/>
      <c r="E1" s="305"/>
      <c r="F1" s="305"/>
      <c r="G1" s="305"/>
    </row>
    <row r="2" spans="1:7" ht="12.75" customHeight="1">
      <c r="A2" s="305"/>
      <c r="B2" s="305"/>
      <c r="C2" s="305"/>
      <c r="D2" s="305"/>
      <c r="E2" s="305"/>
      <c r="F2" s="305"/>
      <c r="G2" s="305"/>
    </row>
    <row r="3" spans="1:7" ht="12.75" customHeight="1">
      <c r="A3" s="305"/>
      <c r="B3" s="305"/>
      <c r="C3" s="305"/>
      <c r="D3" s="305"/>
      <c r="E3" s="305"/>
      <c r="F3" s="305"/>
      <c r="G3" s="305"/>
    </row>
    <row r="4" spans="1:7" ht="12.75" customHeight="1">
      <c r="A4" s="305"/>
      <c r="B4" s="305"/>
      <c r="C4" s="305"/>
      <c r="D4" s="305"/>
      <c r="E4" s="305"/>
      <c r="F4" s="305"/>
      <c r="G4" s="305"/>
    </row>
    <row r="5" spans="1:7" ht="12.75" customHeight="1">
      <c r="A5" s="305"/>
      <c r="B5" s="305"/>
      <c r="C5" s="305"/>
      <c r="D5" s="305"/>
      <c r="E5" s="305"/>
      <c r="F5" s="305"/>
      <c r="G5" s="305"/>
    </row>
    <row r="6" spans="1:7" ht="12.75" customHeight="1">
      <c r="A6" s="305"/>
      <c r="B6" s="305"/>
      <c r="C6" s="305"/>
      <c r="D6" s="305"/>
      <c r="E6" s="305"/>
      <c r="F6" s="305"/>
      <c r="G6" s="305"/>
    </row>
    <row r="7" spans="1:7" ht="12.75" customHeight="1">
      <c r="A7" s="305"/>
      <c r="B7" s="305"/>
      <c r="C7" s="305"/>
      <c r="D7" s="305"/>
      <c r="E7" s="305"/>
      <c r="F7" s="305"/>
      <c r="G7" s="305"/>
    </row>
    <row r="8" spans="1:7" ht="12.75" customHeight="1">
      <c r="A8" s="305"/>
      <c r="B8" s="305"/>
      <c r="C8" s="305"/>
      <c r="D8" s="305"/>
      <c r="E8" s="305"/>
      <c r="F8" s="305"/>
      <c r="G8" s="305"/>
    </row>
    <row r="9" spans="1:7" ht="12.75" customHeight="1">
      <c r="A9" s="305"/>
      <c r="B9" s="305"/>
      <c r="C9" s="305"/>
      <c r="D9" s="305"/>
      <c r="E9" s="305"/>
      <c r="F9" s="305"/>
      <c r="G9" s="305"/>
    </row>
    <row r="10" spans="1:7" ht="12.75" customHeight="1">
      <c r="A10" s="305"/>
      <c r="B10" s="305"/>
      <c r="C10" s="305"/>
      <c r="D10" s="305"/>
      <c r="E10" s="305"/>
      <c r="F10" s="305"/>
      <c r="G10" s="305"/>
    </row>
    <row r="11" spans="1:7" ht="12.75" customHeight="1">
      <c r="A11" s="305"/>
      <c r="B11" s="305"/>
      <c r="C11" s="305"/>
      <c r="D11" s="305"/>
      <c r="E11" s="305"/>
      <c r="F11" s="305"/>
      <c r="G11" s="305"/>
    </row>
    <row r="12" spans="1:7" ht="12.75" customHeight="1">
      <c r="A12" s="305"/>
      <c r="B12" s="305"/>
      <c r="C12" s="305"/>
      <c r="D12" s="305"/>
      <c r="E12" s="305"/>
      <c r="F12" s="305"/>
      <c r="G12" s="305"/>
    </row>
    <row r="13" spans="1:7" ht="12.75" customHeight="1">
      <c r="A13" s="305"/>
      <c r="B13" s="305"/>
      <c r="C13" s="305"/>
      <c r="D13" s="305"/>
      <c r="E13" s="305"/>
      <c r="F13" s="305"/>
      <c r="G13" s="305"/>
    </row>
    <row r="14" spans="1:7" ht="12.75" customHeight="1">
      <c r="A14" s="305"/>
      <c r="B14" s="305"/>
      <c r="C14" s="305"/>
      <c r="D14" s="305"/>
      <c r="E14" s="305"/>
      <c r="F14" s="305"/>
      <c r="G14" s="305"/>
    </row>
    <row r="15" spans="1:7" ht="12.75" customHeight="1">
      <c r="A15" s="305"/>
      <c r="B15" s="305"/>
      <c r="C15" s="305"/>
      <c r="D15" s="305"/>
      <c r="E15" s="305"/>
      <c r="F15" s="305"/>
      <c r="G15" s="305"/>
    </row>
    <row r="16" spans="1:7" ht="12.75" customHeight="1">
      <c r="A16" s="305"/>
      <c r="B16" s="305"/>
      <c r="C16" s="305"/>
      <c r="D16" s="305"/>
      <c r="E16" s="305"/>
      <c r="F16" s="305"/>
      <c r="G16" s="305"/>
    </row>
    <row r="17" spans="1:7" ht="12.75" customHeight="1">
      <c r="A17" s="305"/>
      <c r="B17" s="305"/>
      <c r="C17" s="305"/>
      <c r="D17" s="305"/>
      <c r="E17" s="305"/>
      <c r="F17" s="305"/>
      <c r="G17" s="305"/>
    </row>
    <row r="18" spans="1:7" ht="12.75" customHeight="1">
      <c r="A18" s="305"/>
      <c r="B18" s="305"/>
      <c r="C18" s="305"/>
      <c r="D18" s="305"/>
      <c r="E18" s="305"/>
      <c r="F18" s="305"/>
      <c r="G18" s="305"/>
    </row>
    <row r="19" spans="1:7" ht="12.75" customHeight="1">
      <c r="A19" s="305"/>
      <c r="B19" s="305"/>
      <c r="C19" s="305"/>
      <c r="D19" s="305"/>
      <c r="E19" s="305"/>
      <c r="F19" s="305"/>
      <c r="G19" s="305"/>
    </row>
    <row r="20" spans="1:7" ht="12.75" customHeight="1">
      <c r="A20" s="305"/>
      <c r="B20" s="305"/>
      <c r="C20" s="305"/>
      <c r="D20" s="305"/>
      <c r="E20" s="305"/>
      <c r="F20" s="305"/>
      <c r="G20" s="305"/>
    </row>
    <row r="21" spans="1:7" ht="12.75" hidden="1" customHeight="1">
      <c r="A21" s="305"/>
      <c r="B21" s="305"/>
      <c r="C21" s="305"/>
      <c r="D21" s="305"/>
      <c r="E21" s="305"/>
      <c r="F21" s="305"/>
      <c r="G21" s="305"/>
    </row>
    <row r="22" spans="1:7" ht="12.75" hidden="1" customHeight="1">
      <c r="A22" s="305"/>
      <c r="B22" s="305"/>
      <c r="C22" s="305"/>
      <c r="D22" s="305"/>
      <c r="E22" s="305"/>
      <c r="F22" s="305"/>
      <c r="G22" s="305"/>
    </row>
    <row r="23" spans="1:7" ht="12.75" hidden="1" customHeight="1">
      <c r="A23" s="305"/>
      <c r="B23" s="305"/>
      <c r="C23" s="305"/>
      <c r="D23" s="305"/>
      <c r="E23" s="305"/>
      <c r="F23" s="305"/>
      <c r="G23" s="305"/>
    </row>
    <row r="24" spans="1:7" ht="12.75" hidden="1" customHeight="1">
      <c r="A24" s="305"/>
      <c r="B24" s="305"/>
      <c r="C24" s="305"/>
      <c r="D24" s="305"/>
      <c r="E24" s="305"/>
      <c r="F24" s="305"/>
      <c r="G24" s="305"/>
    </row>
    <row r="25" spans="1:7" ht="12.75" hidden="1" customHeight="1">
      <c r="A25" s="305"/>
      <c r="B25" s="305"/>
      <c r="C25" s="305"/>
      <c r="D25" s="305"/>
      <c r="E25" s="305"/>
      <c r="F25" s="305"/>
      <c r="G25" s="305"/>
    </row>
    <row r="26" spans="1:7" ht="12.75" hidden="1" customHeight="1">
      <c r="A26" s="305"/>
      <c r="B26" s="305"/>
      <c r="C26" s="305"/>
      <c r="D26" s="305"/>
      <c r="E26" s="305"/>
      <c r="F26" s="305"/>
      <c r="G26" s="305"/>
    </row>
    <row r="27" spans="1:7" ht="12.75" hidden="1" customHeight="1">
      <c r="A27" s="305"/>
      <c r="B27" s="305"/>
      <c r="C27" s="305"/>
      <c r="D27" s="305"/>
      <c r="E27" s="305"/>
      <c r="F27" s="305"/>
      <c r="G27" s="305"/>
    </row>
    <row r="28" spans="1:7" ht="12.75" hidden="1" customHeight="1">
      <c r="A28" s="305"/>
      <c r="B28" s="305"/>
      <c r="C28" s="305"/>
      <c r="D28" s="305"/>
      <c r="E28" s="305"/>
      <c r="F28" s="305"/>
      <c r="G28" s="305"/>
    </row>
    <row r="29" spans="1:7" ht="12.75" hidden="1" customHeight="1">
      <c r="A29" s="305"/>
      <c r="B29" s="305"/>
      <c r="C29" s="305"/>
      <c r="D29" s="305"/>
      <c r="E29" s="305"/>
      <c r="F29" s="305"/>
      <c r="G29" s="305"/>
    </row>
    <row r="30" spans="1:7" ht="12.75" hidden="1" customHeight="1">
      <c r="A30" s="305"/>
      <c r="B30" s="305"/>
      <c r="C30" s="305"/>
      <c r="D30" s="305"/>
      <c r="E30" s="305"/>
      <c r="F30" s="305"/>
      <c r="G30" s="305"/>
    </row>
    <row r="31" spans="1:7" ht="12.75" hidden="1" customHeight="1">
      <c r="A31" s="305"/>
      <c r="B31" s="305"/>
      <c r="C31" s="305"/>
      <c r="D31" s="305"/>
      <c r="E31" s="305"/>
      <c r="F31" s="305"/>
      <c r="G31" s="305"/>
    </row>
    <row r="32" spans="1:7" ht="12.75" hidden="1" customHeight="1">
      <c r="A32" s="305"/>
      <c r="B32" s="305"/>
      <c r="C32" s="305"/>
      <c r="D32" s="305"/>
      <c r="E32" s="305"/>
      <c r="F32" s="305"/>
      <c r="G32" s="305"/>
    </row>
    <row r="33" spans="1:9" ht="12.75" hidden="1" customHeight="1">
      <c r="A33" s="305"/>
      <c r="B33" s="305"/>
      <c r="C33" s="305"/>
      <c r="D33" s="305"/>
      <c r="E33" s="305"/>
      <c r="F33" s="305"/>
      <c r="G33" s="305"/>
    </row>
    <row r="34" spans="1:9" ht="37.5" customHeight="1">
      <c r="A34" s="840" t="s">
        <v>1014</v>
      </c>
      <c r="B34" s="840"/>
      <c r="C34" s="840"/>
      <c r="D34" s="840"/>
      <c r="E34" s="840"/>
      <c r="F34" s="840"/>
      <c r="G34" s="840"/>
      <c r="H34" s="840"/>
      <c r="I34" s="840"/>
    </row>
    <row r="35" spans="1:9" ht="12" customHeight="1">
      <c r="A35" s="840"/>
      <c r="B35" s="840"/>
      <c r="C35" s="840"/>
      <c r="D35" s="840"/>
      <c r="E35" s="840"/>
      <c r="F35" s="840"/>
      <c r="G35" s="840"/>
      <c r="H35" s="840"/>
      <c r="I35" s="840"/>
    </row>
    <row r="36" spans="1:9" ht="49.5" customHeight="1">
      <c r="A36" s="840" t="s">
        <v>885</v>
      </c>
      <c r="B36" s="840"/>
      <c r="C36" s="840"/>
      <c r="D36" s="840"/>
      <c r="E36" s="840"/>
      <c r="F36" s="840"/>
      <c r="G36" s="840"/>
      <c r="H36" s="840"/>
      <c r="I36" s="840"/>
    </row>
    <row r="37" spans="1:9" ht="12" customHeight="1">
      <c r="A37" s="190"/>
      <c r="B37" s="190"/>
      <c r="C37" s="190"/>
      <c r="D37" s="190"/>
      <c r="E37" s="190"/>
      <c r="F37" s="190"/>
      <c r="G37" s="190"/>
      <c r="H37" s="190"/>
      <c r="I37" s="190"/>
    </row>
    <row r="38" spans="1:9" ht="12" customHeight="1">
      <c r="A38" s="190"/>
      <c r="B38" s="190"/>
      <c r="C38" s="190"/>
      <c r="D38" s="190"/>
      <c r="E38" s="190"/>
      <c r="F38" s="190"/>
      <c r="G38" s="190"/>
      <c r="H38" s="190"/>
      <c r="I38" s="190"/>
    </row>
    <row r="39" spans="1:9" ht="25.5" customHeight="1">
      <c r="A39" s="840" t="s">
        <v>1015</v>
      </c>
      <c r="B39" s="840"/>
      <c r="C39" s="840"/>
      <c r="D39" s="840"/>
      <c r="E39" s="840"/>
      <c r="F39" s="840"/>
      <c r="G39" s="840"/>
      <c r="H39" s="840"/>
      <c r="I39" s="840"/>
    </row>
    <row r="40" spans="1:9" ht="12" customHeight="1">
      <c r="A40" s="190"/>
      <c r="B40" s="190"/>
      <c r="C40" s="190"/>
      <c r="D40" s="190"/>
      <c r="E40" s="190"/>
      <c r="F40" s="190"/>
      <c r="G40" s="190"/>
      <c r="H40" s="190"/>
      <c r="I40" s="190"/>
    </row>
    <row r="41" spans="1:9" ht="123" customHeight="1">
      <c r="A41" s="840" t="s">
        <v>886</v>
      </c>
      <c r="B41" s="840"/>
      <c r="C41" s="840"/>
      <c r="D41" s="840"/>
      <c r="E41" s="840"/>
      <c r="F41" s="840"/>
      <c r="G41" s="840"/>
      <c r="H41" s="840"/>
      <c r="I41" s="840"/>
    </row>
    <row r="42" spans="1:9" ht="12.75" customHeight="1">
      <c r="A42" s="305"/>
      <c r="B42" s="305"/>
      <c r="C42" s="305"/>
      <c r="D42" s="305"/>
      <c r="E42" s="305"/>
      <c r="F42" s="305"/>
      <c r="G42" s="305"/>
    </row>
    <row r="43" spans="1:9" ht="12.75" customHeight="1">
      <c r="A43" s="305"/>
      <c r="B43" s="305"/>
      <c r="C43" s="305"/>
      <c r="D43" s="305"/>
      <c r="E43" s="305"/>
      <c r="F43" s="305"/>
      <c r="G43" s="305"/>
    </row>
    <row r="44" spans="1:9" ht="12.75" customHeight="1">
      <c r="A44" s="305"/>
      <c r="B44" s="305"/>
      <c r="C44" s="305"/>
      <c r="D44" s="305"/>
      <c r="E44" s="305"/>
      <c r="F44" s="305"/>
      <c r="G44" s="305"/>
    </row>
    <row r="45" spans="1:9" ht="12.75" customHeight="1">
      <c r="A45" s="305"/>
      <c r="B45" s="305"/>
      <c r="C45" s="305"/>
      <c r="D45" s="305"/>
      <c r="E45" s="305"/>
      <c r="F45" s="305"/>
      <c r="G45" s="305"/>
    </row>
    <row r="46" spans="1:9" ht="12.75" customHeight="1">
      <c r="A46" s="305"/>
      <c r="B46" s="305"/>
      <c r="C46" s="305"/>
      <c r="D46" s="305"/>
      <c r="E46" s="305"/>
      <c r="F46" s="305"/>
      <c r="G46" s="305"/>
    </row>
    <row r="47" spans="1:9" ht="12.75" customHeight="1">
      <c r="A47" s="305"/>
      <c r="B47" s="305"/>
      <c r="C47" s="305"/>
      <c r="D47" s="305"/>
      <c r="E47" s="305"/>
      <c r="F47" s="305"/>
      <c r="G47" s="305"/>
    </row>
    <row r="48" spans="1:9" ht="12.75" customHeight="1">
      <c r="A48" s="305"/>
      <c r="B48" s="305"/>
      <c r="C48" s="305"/>
      <c r="D48" s="305"/>
      <c r="E48" s="305"/>
      <c r="F48" s="305"/>
      <c r="G48" s="305"/>
    </row>
    <row r="49" spans="1:7" ht="12.75" customHeight="1">
      <c r="A49" s="305"/>
      <c r="B49" s="305"/>
      <c r="C49" s="305"/>
      <c r="D49" s="305"/>
      <c r="E49" s="305"/>
      <c r="F49" s="305"/>
      <c r="G49" s="305"/>
    </row>
    <row r="50" spans="1:7" ht="12.75" customHeight="1">
      <c r="A50" s="305"/>
      <c r="B50" s="305"/>
      <c r="C50" s="305"/>
      <c r="D50" s="305"/>
      <c r="E50" s="305"/>
      <c r="F50" s="305"/>
      <c r="G50" s="305"/>
    </row>
    <row r="51" spans="1:7" ht="12.75" customHeight="1">
      <c r="A51" s="305"/>
      <c r="B51" s="305"/>
      <c r="C51" s="305"/>
      <c r="D51" s="305"/>
      <c r="E51" s="305"/>
      <c r="F51" s="305"/>
      <c r="G51" s="305"/>
    </row>
    <row r="52" spans="1:7" ht="12.75" customHeight="1">
      <c r="A52" s="305"/>
      <c r="B52" s="305"/>
      <c r="C52" s="305"/>
      <c r="D52" s="305"/>
      <c r="E52" s="305"/>
      <c r="F52" s="305"/>
      <c r="G52" s="305"/>
    </row>
    <row r="53" spans="1:7" ht="12.75" customHeight="1">
      <c r="A53" s="305"/>
      <c r="B53" s="305"/>
      <c r="C53" s="305"/>
      <c r="D53" s="305"/>
      <c r="E53" s="305"/>
      <c r="F53" s="305"/>
      <c r="G53" s="305"/>
    </row>
    <row r="54" spans="1:7" ht="12.75" customHeight="1">
      <c r="A54" s="305"/>
      <c r="B54" s="305"/>
      <c r="C54" s="305"/>
      <c r="D54" s="305"/>
      <c r="E54" s="305"/>
      <c r="F54" s="305"/>
      <c r="G54" s="305"/>
    </row>
    <row r="55" spans="1:7" ht="12.75" customHeight="1">
      <c r="A55" s="305"/>
      <c r="B55" s="305"/>
      <c r="C55" s="305"/>
      <c r="D55" s="305"/>
      <c r="E55" s="305"/>
      <c r="F55" s="305"/>
      <c r="G55" s="305"/>
    </row>
    <row r="56" spans="1:7" ht="12.75" customHeight="1">
      <c r="A56" s="305"/>
      <c r="B56" s="305"/>
      <c r="C56" s="305"/>
      <c r="D56" s="305"/>
      <c r="E56" s="305"/>
      <c r="F56" s="305"/>
      <c r="G56" s="305"/>
    </row>
    <row r="57" spans="1:7" ht="12.75" customHeight="1">
      <c r="A57" s="305"/>
      <c r="B57" s="305"/>
      <c r="C57" s="305"/>
      <c r="D57" s="305"/>
      <c r="E57" s="305"/>
      <c r="F57" s="305"/>
      <c r="G57" s="305"/>
    </row>
    <row r="58" spans="1:7" ht="12.75" customHeight="1">
      <c r="A58" s="305"/>
      <c r="B58" s="305"/>
      <c r="C58" s="305"/>
      <c r="D58" s="305"/>
      <c r="E58" s="305"/>
      <c r="F58" s="305"/>
      <c r="G58" s="305"/>
    </row>
    <row r="59" spans="1:7" ht="12.75" customHeight="1">
      <c r="A59" s="305"/>
      <c r="B59" s="305"/>
      <c r="C59" s="305"/>
      <c r="D59" s="305"/>
      <c r="E59" s="305"/>
      <c r="F59" s="305"/>
      <c r="G59" s="305"/>
    </row>
    <row r="60" spans="1:7" ht="12.75" customHeight="1">
      <c r="A60" s="305"/>
      <c r="B60" s="305"/>
      <c r="C60" s="305"/>
      <c r="D60" s="305"/>
      <c r="E60" s="305"/>
      <c r="F60" s="305"/>
      <c r="G60" s="305"/>
    </row>
    <row r="61" spans="1:7" ht="12.75" customHeight="1">
      <c r="A61" s="305"/>
      <c r="B61" s="305"/>
      <c r="C61" s="305"/>
      <c r="D61" s="305"/>
      <c r="E61" s="305"/>
      <c r="F61" s="305"/>
      <c r="G61" s="305"/>
    </row>
    <row r="62" spans="1:7" ht="12.75" customHeight="1">
      <c r="A62" s="305"/>
      <c r="B62" s="305"/>
      <c r="C62" s="305"/>
      <c r="D62" s="305"/>
      <c r="E62" s="305"/>
      <c r="F62" s="305"/>
      <c r="G62" s="305"/>
    </row>
    <row r="63" spans="1:7" ht="12.75" customHeight="1">
      <c r="A63" s="305"/>
      <c r="B63" s="305"/>
      <c r="C63" s="305"/>
      <c r="D63" s="305"/>
      <c r="E63" s="305"/>
      <c r="F63" s="305"/>
      <c r="G63" s="305"/>
    </row>
  </sheetData>
  <mergeCells count="4">
    <mergeCell ref="A36:I36"/>
    <mergeCell ref="A39:I39"/>
    <mergeCell ref="A41:I41"/>
    <mergeCell ref="A34:I35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3:AE40"/>
  <sheetViews>
    <sheetView topLeftCell="I1" zoomScale="53" workbookViewId="0">
      <selection activeCell="G3" sqref="G3"/>
    </sheetView>
  </sheetViews>
  <sheetFormatPr baseColWidth="10" defaultRowHeight="14.4"/>
  <cols>
    <col min="1" max="1" width="34.109375" customWidth="1"/>
    <col min="2" max="6" width="16.109375" customWidth="1"/>
    <col min="7" max="7" width="17.6640625" customWidth="1"/>
    <col min="8" max="8" width="17.109375" customWidth="1"/>
    <col min="9" max="9" width="13.5546875" customWidth="1"/>
    <col min="10" max="10" width="16.6640625" customWidth="1"/>
    <col min="11" max="11" width="18" customWidth="1"/>
    <col min="12" max="14" width="13.5546875" customWidth="1"/>
    <col min="15" max="15" width="20.33203125" customWidth="1"/>
    <col min="16" max="16" width="13.5546875" customWidth="1"/>
    <col min="17" max="17" width="16.5546875" customWidth="1"/>
    <col min="20" max="20" width="16.5546875" customWidth="1"/>
    <col min="21" max="21" width="17.5546875" customWidth="1"/>
    <col min="28" max="28" width="15.77734375" customWidth="1"/>
    <col min="31" max="31" width="30.77734375" customWidth="1"/>
  </cols>
  <sheetData>
    <row r="3" spans="1:31" ht="2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 t="s">
        <v>1590</v>
      </c>
    </row>
    <row r="4" spans="1:31" ht="27.6" thickBot="1">
      <c r="A4" s="19" t="s">
        <v>1591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20"/>
    </row>
    <row r="5" spans="1:31" ht="30">
      <c r="A5" s="307" t="s">
        <v>595</v>
      </c>
      <c r="B5" s="307">
        <v>1995</v>
      </c>
      <c r="C5" s="307">
        <v>1996</v>
      </c>
      <c r="D5" s="307">
        <v>1997</v>
      </c>
      <c r="E5" s="307">
        <v>1998</v>
      </c>
      <c r="F5" s="307">
        <v>1999</v>
      </c>
      <c r="G5" s="307">
        <v>2000</v>
      </c>
      <c r="H5" s="307">
        <v>2001</v>
      </c>
      <c r="I5" s="307">
        <v>2002</v>
      </c>
      <c r="J5" s="307">
        <v>2003</v>
      </c>
      <c r="K5" s="307">
        <v>2004</v>
      </c>
      <c r="L5" s="307">
        <v>2005</v>
      </c>
      <c r="M5" s="307">
        <v>2006</v>
      </c>
      <c r="N5" s="307">
        <v>2007</v>
      </c>
      <c r="O5" s="307">
        <v>2008</v>
      </c>
      <c r="P5" s="307">
        <v>2009</v>
      </c>
      <c r="Q5" s="307">
        <v>2010</v>
      </c>
      <c r="R5" s="307">
        <v>2011</v>
      </c>
      <c r="S5" s="307">
        <v>2012</v>
      </c>
      <c r="T5" s="307">
        <v>2013</v>
      </c>
      <c r="U5" s="307">
        <v>2014</v>
      </c>
      <c r="V5" s="307">
        <v>2015</v>
      </c>
      <c r="W5" s="307">
        <v>2016</v>
      </c>
      <c r="X5" s="307">
        <v>2017</v>
      </c>
      <c r="Y5" s="307">
        <v>2018</v>
      </c>
      <c r="Z5" s="307">
        <v>2019</v>
      </c>
      <c r="AA5" s="307">
        <v>2020</v>
      </c>
      <c r="AB5" s="307">
        <v>2021</v>
      </c>
      <c r="AC5" s="307">
        <v>2022</v>
      </c>
      <c r="AD5" s="307">
        <v>2023</v>
      </c>
      <c r="AE5" s="307" t="s">
        <v>596</v>
      </c>
    </row>
    <row r="6" spans="1:31" ht="27">
      <c r="A6" s="272" t="s">
        <v>163</v>
      </c>
      <c r="B6" s="430">
        <v>16.59</v>
      </c>
      <c r="C6" s="430">
        <v>17.93</v>
      </c>
      <c r="D6" s="430">
        <v>23.45</v>
      </c>
      <c r="E6" s="430">
        <v>15.203999999999999</v>
      </c>
      <c r="F6" s="430">
        <v>11.064736842105262</v>
      </c>
      <c r="G6" s="430">
        <v>25.306999999999999</v>
      </c>
      <c r="H6" s="430">
        <v>25.448571428571427</v>
      </c>
      <c r="I6" s="430">
        <v>19.475000000000001</v>
      </c>
      <c r="J6" s="430">
        <v>31.289523809523811</v>
      </c>
      <c r="K6" s="430">
        <v>31.296875</v>
      </c>
      <c r="L6" s="430">
        <v>44.28</v>
      </c>
      <c r="M6" s="430">
        <v>62.99</v>
      </c>
      <c r="N6" s="430">
        <v>54.3</v>
      </c>
      <c r="O6" s="430">
        <v>91.920454545454547</v>
      </c>
      <c r="P6" s="430">
        <v>44.86</v>
      </c>
      <c r="Q6" s="268">
        <v>76.37</v>
      </c>
      <c r="R6" s="268">
        <v>96.29</v>
      </c>
      <c r="S6" s="268">
        <v>111.16</v>
      </c>
      <c r="T6" s="268">
        <v>112.97</v>
      </c>
      <c r="U6" s="268">
        <v>107.4</v>
      </c>
      <c r="V6" s="268">
        <v>48.07</v>
      </c>
      <c r="W6" s="268">
        <v>30.8</v>
      </c>
      <c r="X6" s="268">
        <v>54.9</v>
      </c>
      <c r="Y6" s="268">
        <v>62.57</v>
      </c>
      <c r="Z6" s="268">
        <v>74.569999999999993</v>
      </c>
      <c r="AA6" s="268">
        <f>'[31]Cours matières premières princi'!$B$15</f>
        <v>63.6</v>
      </c>
      <c r="AB6" s="426">
        <v>54.6</v>
      </c>
      <c r="AC6" s="426" t="s">
        <v>1016</v>
      </c>
      <c r="AD6" s="426">
        <v>83</v>
      </c>
      <c r="AE6" s="273" t="s">
        <v>244</v>
      </c>
    </row>
    <row r="7" spans="1:31" ht="27">
      <c r="A7" s="272" t="s">
        <v>165</v>
      </c>
      <c r="B7" s="430">
        <v>17.149999999999999</v>
      </c>
      <c r="C7" s="430">
        <v>17.940000000000001</v>
      </c>
      <c r="D7" s="430">
        <v>20.82</v>
      </c>
      <c r="E7" s="430">
        <v>14.159473684210528</v>
      </c>
      <c r="F7" s="430">
        <v>10.278421052631579</v>
      </c>
      <c r="G7" s="430">
        <v>27.678095238095246</v>
      </c>
      <c r="H7" s="430">
        <v>27.506315789473685</v>
      </c>
      <c r="I7" s="430">
        <v>20.071999999999999</v>
      </c>
      <c r="J7" s="430">
        <v>32.718947368421055</v>
      </c>
      <c r="K7" s="430">
        <v>30.861875000000001</v>
      </c>
      <c r="L7" s="430">
        <v>45.56</v>
      </c>
      <c r="M7" s="430">
        <v>60.21</v>
      </c>
      <c r="N7" s="430">
        <v>57.76</v>
      </c>
      <c r="O7" s="430">
        <v>94.816666666666677</v>
      </c>
      <c r="P7" s="430">
        <v>43.24</v>
      </c>
      <c r="Q7" s="268">
        <v>74.31</v>
      </c>
      <c r="R7" s="268">
        <v>103.96</v>
      </c>
      <c r="S7" s="268">
        <v>119.7</v>
      </c>
      <c r="T7" s="268">
        <v>116.52</v>
      </c>
      <c r="U7" s="268">
        <v>108.8</v>
      </c>
      <c r="V7" s="268">
        <v>57.93</v>
      </c>
      <c r="W7" s="268">
        <v>33.200000000000003</v>
      </c>
      <c r="X7" s="268">
        <v>55.5</v>
      </c>
      <c r="Y7" s="268">
        <v>63.57</v>
      </c>
      <c r="Z7" s="268">
        <v>75.569999999999993</v>
      </c>
      <c r="AA7" s="268">
        <f>55</f>
        <v>55</v>
      </c>
      <c r="AB7" s="426">
        <v>62</v>
      </c>
      <c r="AC7" s="426" t="s">
        <v>1017</v>
      </c>
      <c r="AD7" s="426">
        <v>82.7</v>
      </c>
      <c r="AE7" s="273" t="s">
        <v>245</v>
      </c>
    </row>
    <row r="8" spans="1:31" ht="27">
      <c r="A8" s="272" t="s">
        <v>167</v>
      </c>
      <c r="B8" s="430">
        <v>16.98</v>
      </c>
      <c r="C8" s="430">
        <v>19.95</v>
      </c>
      <c r="D8" s="430">
        <v>19.100000000000001</v>
      </c>
      <c r="E8" s="430">
        <v>13.118636363636362</v>
      </c>
      <c r="F8" s="430">
        <v>12.394347826086959</v>
      </c>
      <c r="G8" s="430">
        <v>27.79</v>
      </c>
      <c r="H8" s="430">
        <v>24.570909090909087</v>
      </c>
      <c r="I8" s="430">
        <v>23.541999999999998</v>
      </c>
      <c r="J8" s="430">
        <v>30.458571428571425</v>
      </c>
      <c r="K8" s="430">
        <v>33.463333333333331</v>
      </c>
      <c r="L8" s="430">
        <v>53.08</v>
      </c>
      <c r="M8" s="430">
        <v>62.06</v>
      </c>
      <c r="N8" s="430">
        <v>62.14</v>
      </c>
      <c r="O8" s="430">
        <v>103.2775</v>
      </c>
      <c r="P8" s="430">
        <v>46.84</v>
      </c>
      <c r="Q8" s="268">
        <v>79.27</v>
      </c>
      <c r="R8" s="268">
        <v>114.44</v>
      </c>
      <c r="S8" s="268">
        <v>124.93</v>
      </c>
      <c r="T8" s="268">
        <v>109.24</v>
      </c>
      <c r="U8" s="268">
        <v>107.4</v>
      </c>
      <c r="V8" s="268">
        <v>55.79</v>
      </c>
      <c r="W8" s="268">
        <v>39.07</v>
      </c>
      <c r="X8" s="268">
        <v>52</v>
      </c>
      <c r="Y8" s="268">
        <v>64.569999999999993</v>
      </c>
      <c r="Z8" s="268">
        <v>76.569999999999993</v>
      </c>
      <c r="AA8" s="268">
        <f>33</f>
        <v>33</v>
      </c>
      <c r="AB8" s="426">
        <v>65.2</v>
      </c>
      <c r="AC8" s="426" t="s">
        <v>1018</v>
      </c>
      <c r="AD8" s="426">
        <v>78.5</v>
      </c>
      <c r="AE8" s="273" t="s">
        <v>246</v>
      </c>
    </row>
    <row r="9" spans="1:31" ht="27">
      <c r="A9" s="272" t="s">
        <v>169</v>
      </c>
      <c r="B9" s="430">
        <v>18.64</v>
      </c>
      <c r="C9" s="430">
        <v>20.93</v>
      </c>
      <c r="D9" s="430">
        <v>17.559999999999999</v>
      </c>
      <c r="E9" s="430">
        <v>13.445909090909094</v>
      </c>
      <c r="F9" s="430">
        <v>15.247619047619045</v>
      </c>
      <c r="G9" s="430">
        <v>22.903333333333329</v>
      </c>
      <c r="H9" s="430">
        <v>25.645</v>
      </c>
      <c r="I9" s="430">
        <v>25.594999999999999</v>
      </c>
      <c r="J9" s="430">
        <v>24.886190476190471</v>
      </c>
      <c r="K9" s="430">
        <v>33.524090909090908</v>
      </c>
      <c r="L9" s="430">
        <v>51.86</v>
      </c>
      <c r="M9" s="430">
        <v>70.260000000000005</v>
      </c>
      <c r="N9" s="430">
        <v>67.400000000000006</v>
      </c>
      <c r="O9" s="430">
        <v>110.18772727272727</v>
      </c>
      <c r="P9" s="430">
        <v>50.85</v>
      </c>
      <c r="Q9" s="268">
        <v>84.98</v>
      </c>
      <c r="R9" s="268">
        <v>123.07</v>
      </c>
      <c r="S9" s="268">
        <v>120.46</v>
      </c>
      <c r="T9" s="268">
        <v>102.9</v>
      </c>
      <c r="U9" s="268">
        <v>107.8</v>
      </c>
      <c r="V9" s="268">
        <v>59.39</v>
      </c>
      <c r="W9" s="268">
        <v>42.25</v>
      </c>
      <c r="X9" s="268">
        <v>53</v>
      </c>
      <c r="Y9" s="268">
        <v>65.569999999999993</v>
      </c>
      <c r="Z9" s="268">
        <v>77.569999999999993</v>
      </c>
      <c r="AA9" s="268">
        <f>23.3</f>
        <v>23.3</v>
      </c>
      <c r="AB9" s="426">
        <v>64.8</v>
      </c>
      <c r="AC9" s="426" t="s">
        <v>1019</v>
      </c>
      <c r="AD9" s="426">
        <v>84.1</v>
      </c>
      <c r="AE9" s="273" t="s">
        <v>247</v>
      </c>
    </row>
    <row r="10" spans="1:31" ht="27">
      <c r="A10" s="272" t="s">
        <v>171</v>
      </c>
      <c r="B10" s="430">
        <v>18.34</v>
      </c>
      <c r="C10" s="430">
        <v>19.079999999999998</v>
      </c>
      <c r="D10" s="430">
        <v>19.07</v>
      </c>
      <c r="E10" s="430">
        <v>14.38952380952381</v>
      </c>
      <c r="F10" s="430">
        <v>15.2255</v>
      </c>
      <c r="G10" s="430">
        <v>27.516363636363632</v>
      </c>
      <c r="H10" s="430">
        <v>28.316363636363644</v>
      </c>
      <c r="I10" s="430">
        <v>25.461428571428574</v>
      </c>
      <c r="J10" s="430">
        <v>25.68333333333333</v>
      </c>
      <c r="K10" s="430">
        <v>37.567619047619054</v>
      </c>
      <c r="L10" s="430">
        <v>48.67</v>
      </c>
      <c r="M10" s="430">
        <v>69.64</v>
      </c>
      <c r="N10" s="430">
        <v>67.48</v>
      </c>
      <c r="O10" s="430">
        <v>123.93619047619048</v>
      </c>
      <c r="P10" s="430">
        <v>57.94</v>
      </c>
      <c r="Q10" s="268">
        <v>76.25</v>
      </c>
      <c r="R10" s="268">
        <v>114.46</v>
      </c>
      <c r="S10" s="268">
        <v>110.52</v>
      </c>
      <c r="T10" s="268">
        <v>103</v>
      </c>
      <c r="U10" s="268">
        <v>109.7</v>
      </c>
      <c r="V10" s="268">
        <v>64.56</v>
      </c>
      <c r="W10" s="268">
        <v>47.13</v>
      </c>
      <c r="X10" s="268">
        <v>50.9</v>
      </c>
      <c r="Y10" s="268">
        <v>66.569999999999993</v>
      </c>
      <c r="Z10" s="268">
        <v>78.569999999999993</v>
      </c>
      <c r="AA10" s="268">
        <f>31</f>
        <v>31</v>
      </c>
      <c r="AB10" s="426">
        <v>68</v>
      </c>
      <c r="AC10" s="426" t="s">
        <v>1020</v>
      </c>
      <c r="AD10" s="426">
        <v>75.7</v>
      </c>
      <c r="AE10" s="273" t="s">
        <v>172</v>
      </c>
    </row>
    <row r="11" spans="1:31" ht="27">
      <c r="A11" s="272" t="s">
        <v>173</v>
      </c>
      <c r="B11" s="430">
        <v>17.34</v>
      </c>
      <c r="C11" s="430">
        <v>18.43</v>
      </c>
      <c r="D11" s="430">
        <v>17.579999999999998</v>
      </c>
      <c r="E11" s="430">
        <v>12.234090909090908</v>
      </c>
      <c r="F11" s="430">
        <v>15.722727272727271</v>
      </c>
      <c r="G11" s="430">
        <v>29.602272727272734</v>
      </c>
      <c r="H11" s="430">
        <v>27.751428571428576</v>
      </c>
      <c r="I11" s="430">
        <v>24.087777777777777</v>
      </c>
      <c r="J11" s="430">
        <v>27.536818181818184</v>
      </c>
      <c r="K11" s="430">
        <v>35.183636363636367</v>
      </c>
      <c r="L11" s="430">
        <v>54.31</v>
      </c>
      <c r="M11" s="430">
        <v>68.56</v>
      </c>
      <c r="N11" s="430">
        <v>71.319999999999993</v>
      </c>
      <c r="O11" s="430">
        <v>133.04857142857148</v>
      </c>
      <c r="P11" s="430">
        <v>68.62</v>
      </c>
      <c r="Q11" s="268">
        <v>74.84</v>
      </c>
      <c r="R11" s="268">
        <v>113.76</v>
      </c>
      <c r="S11" s="268">
        <v>95.59</v>
      </c>
      <c r="T11" s="268">
        <v>103.1</v>
      </c>
      <c r="U11" s="268">
        <v>111.9</v>
      </c>
      <c r="V11" s="268">
        <v>62.34</v>
      </c>
      <c r="W11" s="268">
        <v>48.48</v>
      </c>
      <c r="X11" s="268">
        <v>46.9</v>
      </c>
      <c r="Y11" s="268">
        <v>67.569999999999993</v>
      </c>
      <c r="Z11" s="268">
        <v>79.569999999999993</v>
      </c>
      <c r="AA11" s="268">
        <f>39.9</f>
        <v>39.9</v>
      </c>
      <c r="AB11" s="426">
        <v>73.099999999999994</v>
      </c>
      <c r="AC11" s="426" t="s">
        <v>1021</v>
      </c>
      <c r="AD11" s="426">
        <v>74.8</v>
      </c>
      <c r="AE11" s="273" t="s">
        <v>248</v>
      </c>
    </row>
    <row r="12" spans="1:31" ht="27">
      <c r="A12" s="272" t="s">
        <v>175</v>
      </c>
      <c r="B12" s="430">
        <v>15.8</v>
      </c>
      <c r="C12" s="430">
        <v>19.61</v>
      </c>
      <c r="D12" s="430">
        <v>18.440000000000001</v>
      </c>
      <c r="E12" s="430">
        <v>12.187727272727273</v>
      </c>
      <c r="F12" s="430">
        <v>18.97</v>
      </c>
      <c r="G12" s="430">
        <v>28.482500000000002</v>
      </c>
      <c r="H12" s="430">
        <v>24.52571428571429</v>
      </c>
      <c r="I12" s="430">
        <v>25.691363636363636</v>
      </c>
      <c r="J12" s="430">
        <v>28.404285714285709</v>
      </c>
      <c r="K12" s="430">
        <v>38.217727272727274</v>
      </c>
      <c r="L12" s="430">
        <v>57.58</v>
      </c>
      <c r="M12" s="430">
        <v>73.67</v>
      </c>
      <c r="N12" s="430">
        <v>77.2</v>
      </c>
      <c r="O12" s="430">
        <v>133.87304347826085</v>
      </c>
      <c r="P12" s="430">
        <v>64.91</v>
      </c>
      <c r="Q12" s="268">
        <v>74.58</v>
      </c>
      <c r="R12" s="268">
        <v>116.43</v>
      </c>
      <c r="S12" s="268">
        <v>103.14</v>
      </c>
      <c r="T12" s="268">
        <v>107.7</v>
      </c>
      <c r="U12" s="268">
        <v>107</v>
      </c>
      <c r="V12" s="268">
        <v>55.87</v>
      </c>
      <c r="W12" s="268">
        <v>45.07</v>
      </c>
      <c r="X12" s="268">
        <v>48.7</v>
      </c>
      <c r="Y12" s="268">
        <v>68.569999999999993</v>
      </c>
      <c r="Z12" s="268">
        <v>77.569999999999993</v>
      </c>
      <c r="AA12" s="268">
        <f>42.8</f>
        <v>42.8</v>
      </c>
      <c r="AB12" s="426">
        <v>74.400000000000006</v>
      </c>
      <c r="AC12" s="426" t="s">
        <v>1022</v>
      </c>
      <c r="AD12" s="426">
        <v>80.099999999999994</v>
      </c>
      <c r="AE12" s="273" t="s">
        <v>249</v>
      </c>
    </row>
    <row r="13" spans="1:31" ht="27">
      <c r="A13" s="272" t="s">
        <v>177</v>
      </c>
      <c r="B13" s="430">
        <v>16.04</v>
      </c>
      <c r="C13" s="430">
        <v>20.56</v>
      </c>
      <c r="D13" s="430">
        <v>18.600000000000001</v>
      </c>
      <c r="E13" s="430">
        <v>11.970952380952379</v>
      </c>
      <c r="F13" s="430">
        <v>20.248636363636361</v>
      </c>
      <c r="G13" s="430">
        <v>29.787826086956521</v>
      </c>
      <c r="H13" s="430">
        <v>25.753478260869564</v>
      </c>
      <c r="I13" s="430">
        <v>26.555</v>
      </c>
      <c r="J13" s="430">
        <v>29.713999999999999</v>
      </c>
      <c r="K13" s="430">
        <v>43.162857142857142</v>
      </c>
      <c r="L13" s="430">
        <v>64.09</v>
      </c>
      <c r="M13" s="430">
        <v>73.23</v>
      </c>
      <c r="N13" s="430">
        <v>71.099999999999994</v>
      </c>
      <c r="O13" s="430">
        <v>113.84904761904761</v>
      </c>
      <c r="P13" s="430">
        <v>72.5</v>
      </c>
      <c r="Q13" s="268">
        <v>76.69</v>
      </c>
      <c r="R13" s="268">
        <v>110.09</v>
      </c>
      <c r="S13" s="268">
        <v>113.34</v>
      </c>
      <c r="T13" s="268">
        <v>111</v>
      </c>
      <c r="U13" s="268">
        <v>101.9</v>
      </c>
      <c r="V13" s="268">
        <v>46.99</v>
      </c>
      <c r="W13" s="268">
        <v>46.14</v>
      </c>
      <c r="X13" s="268">
        <v>51.4</v>
      </c>
      <c r="Y13" s="268">
        <v>69.569999999999993</v>
      </c>
      <c r="Z13" s="268">
        <v>78.569999999999993</v>
      </c>
      <c r="AA13" s="268">
        <f>44.3</f>
        <v>44.3</v>
      </c>
      <c r="AB13" s="426">
        <v>70</v>
      </c>
      <c r="AC13" s="426" t="s">
        <v>1023</v>
      </c>
      <c r="AD13" s="426">
        <v>86.1</v>
      </c>
      <c r="AE13" s="273" t="s">
        <v>250</v>
      </c>
    </row>
    <row r="14" spans="1:31" ht="27">
      <c r="A14" s="272" t="s">
        <v>179</v>
      </c>
      <c r="B14" s="430">
        <v>16.71</v>
      </c>
      <c r="C14" s="430">
        <v>22.64</v>
      </c>
      <c r="D14" s="430">
        <v>18.440000000000001</v>
      </c>
      <c r="E14" s="430">
        <v>13.363809523809524</v>
      </c>
      <c r="F14" s="430">
        <v>22.48619047619048</v>
      </c>
      <c r="G14" s="430">
        <v>32.930999999999997</v>
      </c>
      <c r="H14" s="430">
        <v>25.223749999999999</v>
      </c>
      <c r="I14" s="430">
        <v>28.33</v>
      </c>
      <c r="J14" s="430">
        <v>26.851428571428567</v>
      </c>
      <c r="K14" s="430">
        <v>43.326111111111103</v>
      </c>
      <c r="L14" s="430">
        <v>62.98</v>
      </c>
      <c r="M14" s="430">
        <v>61.96</v>
      </c>
      <c r="N14" s="430">
        <v>77.13</v>
      </c>
      <c r="O14" s="430">
        <v>99.064090909090908</v>
      </c>
      <c r="P14" s="430">
        <v>67.69</v>
      </c>
      <c r="Q14" s="268">
        <v>77.790000000000006</v>
      </c>
      <c r="R14" s="268">
        <v>110.88</v>
      </c>
      <c r="S14" s="268">
        <v>113.38</v>
      </c>
      <c r="T14" s="268">
        <v>111.6</v>
      </c>
      <c r="U14" s="268">
        <v>97.3</v>
      </c>
      <c r="V14" s="268">
        <v>47.24</v>
      </c>
      <c r="W14" s="268">
        <v>46.19</v>
      </c>
      <c r="X14" s="268">
        <v>55.2</v>
      </c>
      <c r="Y14" s="268">
        <v>70.569999999999993</v>
      </c>
      <c r="Z14" s="268">
        <v>79.569999999999993</v>
      </c>
      <c r="AA14" s="268">
        <f>41.1</f>
        <v>41.1</v>
      </c>
      <c r="AB14" s="426">
        <v>74.599999999999994</v>
      </c>
      <c r="AC14" s="426" t="s">
        <v>1024</v>
      </c>
      <c r="AD14" s="426">
        <v>94</v>
      </c>
      <c r="AE14" s="273" t="s">
        <v>180</v>
      </c>
    </row>
    <row r="15" spans="1:31" ht="27">
      <c r="A15" s="272" t="s">
        <v>181</v>
      </c>
      <c r="B15" s="430">
        <v>16.059999999999999</v>
      </c>
      <c r="C15" s="430">
        <v>24.16</v>
      </c>
      <c r="D15" s="430">
        <v>19.87</v>
      </c>
      <c r="E15" s="430">
        <v>12.730909090909091</v>
      </c>
      <c r="F15" s="430">
        <v>21.976190476190474</v>
      </c>
      <c r="G15" s="430">
        <v>30.837272727272726</v>
      </c>
      <c r="H15" s="430">
        <v>20.556956521739131</v>
      </c>
      <c r="I15" s="430">
        <v>27.497391304347818</v>
      </c>
      <c r="J15" s="430">
        <v>29.62142857142857</v>
      </c>
      <c r="K15" s="430">
        <v>49.665999999999997</v>
      </c>
      <c r="L15" s="430">
        <v>58.52</v>
      </c>
      <c r="M15" s="430">
        <v>57.81</v>
      </c>
      <c r="N15" s="430">
        <v>82.86</v>
      </c>
      <c r="O15" s="430">
        <v>72.842608695652174</v>
      </c>
      <c r="P15" s="430">
        <v>73.19</v>
      </c>
      <c r="Q15" s="268">
        <v>82.92</v>
      </c>
      <c r="R15" s="268">
        <v>109.47</v>
      </c>
      <c r="S15" s="268">
        <v>111.97</v>
      </c>
      <c r="T15" s="268">
        <v>109.5</v>
      </c>
      <c r="U15" s="268">
        <v>87.3</v>
      </c>
      <c r="V15" s="268">
        <v>48.12</v>
      </c>
      <c r="W15" s="268">
        <v>49.73</v>
      </c>
      <c r="X15" s="268">
        <v>57.6</v>
      </c>
      <c r="Y15" s="268">
        <v>71.569999999999993</v>
      </c>
      <c r="Z15" s="268">
        <v>71.569999999999993</v>
      </c>
      <c r="AA15" s="268">
        <f>40.5</f>
        <v>40.5</v>
      </c>
      <c r="AB15" s="426">
        <v>83.7</v>
      </c>
      <c r="AC15" s="426" t="s">
        <v>1025</v>
      </c>
      <c r="AD15" s="426">
        <v>91</v>
      </c>
      <c r="AE15" s="273" t="s">
        <v>182</v>
      </c>
    </row>
    <row r="16" spans="1:31" ht="27">
      <c r="A16" s="272" t="s">
        <v>183</v>
      </c>
      <c r="B16" s="430">
        <v>16.82</v>
      </c>
      <c r="C16" s="430">
        <v>22.69</v>
      </c>
      <c r="D16" s="430">
        <v>19.170000000000002</v>
      </c>
      <c r="E16" s="430">
        <v>11.088000000000001</v>
      </c>
      <c r="F16" s="430">
        <v>24.418571428571425</v>
      </c>
      <c r="G16" s="430">
        <v>32.444761904761904</v>
      </c>
      <c r="H16" s="430">
        <v>18.847142857142856</v>
      </c>
      <c r="I16" s="430">
        <v>24.230999999999998</v>
      </c>
      <c r="J16" s="430">
        <v>28.686666666666664</v>
      </c>
      <c r="K16" s="430">
        <v>43.17</v>
      </c>
      <c r="L16" s="430">
        <v>55.54</v>
      </c>
      <c r="M16" s="430">
        <v>58.76</v>
      </c>
      <c r="N16" s="430">
        <v>92.53</v>
      </c>
      <c r="O16" s="430">
        <v>53.241</v>
      </c>
      <c r="P16" s="430">
        <v>77.040000000000006</v>
      </c>
      <c r="Q16" s="268">
        <v>85.67</v>
      </c>
      <c r="R16" s="268">
        <v>110.5</v>
      </c>
      <c r="S16" s="268">
        <v>109.71</v>
      </c>
      <c r="T16" s="268">
        <v>108.1</v>
      </c>
      <c r="U16" s="268">
        <v>78.400000000000006</v>
      </c>
      <c r="V16" s="268">
        <v>44.42</v>
      </c>
      <c r="W16" s="268">
        <v>46.44</v>
      </c>
      <c r="X16" s="268">
        <v>62.6</v>
      </c>
      <c r="Y16" s="268">
        <v>72.569999999999993</v>
      </c>
      <c r="Z16" s="268">
        <v>72.569999999999993</v>
      </c>
      <c r="AA16" s="268">
        <f>43.2</f>
        <v>43.2</v>
      </c>
      <c r="AB16" s="426">
        <v>80.8</v>
      </c>
      <c r="AC16" s="426" t="s">
        <v>1026</v>
      </c>
      <c r="AD16" s="426">
        <v>83.1</v>
      </c>
      <c r="AE16" s="273" t="s">
        <v>184</v>
      </c>
    </row>
    <row r="17" spans="1:31" ht="27">
      <c r="A17" s="272" t="s">
        <v>185</v>
      </c>
      <c r="B17" s="430">
        <v>18</v>
      </c>
      <c r="C17" s="430">
        <v>23.89</v>
      </c>
      <c r="D17" s="430">
        <v>17.18</v>
      </c>
      <c r="E17" s="430">
        <v>9.8481818181818177</v>
      </c>
      <c r="F17" s="430">
        <v>25.432380952380953</v>
      </c>
      <c r="G17" s="430">
        <v>25.567499999999999</v>
      </c>
      <c r="H17" s="430">
        <v>18.669500000000003</v>
      </c>
      <c r="I17" s="430">
        <v>28.234210526315785</v>
      </c>
      <c r="J17" s="430">
        <v>29.756000000000004</v>
      </c>
      <c r="K17" s="430">
        <v>39.56</v>
      </c>
      <c r="L17" s="430">
        <v>56.75</v>
      </c>
      <c r="M17" s="430">
        <v>62.47</v>
      </c>
      <c r="N17" s="430">
        <v>91.45</v>
      </c>
      <c r="O17" s="430">
        <v>41.580909090909088</v>
      </c>
      <c r="P17" s="430">
        <v>74.67</v>
      </c>
      <c r="Q17" s="268">
        <v>91.8</v>
      </c>
      <c r="R17" s="268">
        <v>107.91</v>
      </c>
      <c r="S17" s="268">
        <v>109.68</v>
      </c>
      <c r="T17" s="268">
        <v>110.7</v>
      </c>
      <c r="U17" s="268">
        <v>62.3</v>
      </c>
      <c r="V17" s="268">
        <v>37.72</v>
      </c>
      <c r="W17" s="268">
        <v>54.07</v>
      </c>
      <c r="X17" s="268">
        <v>64.2</v>
      </c>
      <c r="Y17" s="268">
        <v>73.569999999999993</v>
      </c>
      <c r="Z17" s="268">
        <v>73.569999999999993</v>
      </c>
      <c r="AA17" s="268">
        <f>49.9</f>
        <v>49.9</v>
      </c>
      <c r="AB17" s="426">
        <v>74.3</v>
      </c>
      <c r="AC17" s="426" t="s">
        <v>1027</v>
      </c>
      <c r="AD17" s="426">
        <v>77.8</v>
      </c>
      <c r="AE17" s="273" t="s">
        <v>186</v>
      </c>
    </row>
    <row r="18" spans="1:31" ht="27">
      <c r="A18" s="274" t="s">
        <v>251</v>
      </c>
      <c r="B18" s="270">
        <v>17.039166666666667</v>
      </c>
      <c r="C18" s="270">
        <v>20.650833333333335</v>
      </c>
      <c r="D18" s="270">
        <v>19.106666666666669</v>
      </c>
      <c r="E18" s="270">
        <v>12.811767828662566</v>
      </c>
      <c r="F18" s="270">
        <v>17.788776811511649</v>
      </c>
      <c r="G18" s="270">
        <v>28.403993804504676</v>
      </c>
      <c r="H18" s="270">
        <v>24.401260870184355</v>
      </c>
      <c r="I18" s="270">
        <v>24.897680984686133</v>
      </c>
      <c r="J18" s="270">
        <v>28.800599510138984</v>
      </c>
      <c r="K18" s="270">
        <v>38.250010431697937</v>
      </c>
      <c r="L18" s="270">
        <v>54.435000000000002</v>
      </c>
      <c r="M18" s="270">
        <v>65.135000000000005</v>
      </c>
      <c r="N18" s="270">
        <v>72.722499999999997</v>
      </c>
      <c r="O18" s="270">
        <v>97.636484181880917</v>
      </c>
      <c r="P18" s="270">
        <v>61.862500000000004</v>
      </c>
      <c r="Q18" s="270">
        <v>79.622499999999988</v>
      </c>
      <c r="R18" s="270">
        <f t="shared" ref="R18:AA18" si="0">AVERAGE(R6:R17)</f>
        <v>110.93833333333335</v>
      </c>
      <c r="S18" s="270">
        <f t="shared" si="0"/>
        <v>111.96500000000002</v>
      </c>
      <c r="T18" s="270">
        <f t="shared" si="0"/>
        <v>108.86083333333335</v>
      </c>
      <c r="U18" s="270">
        <f t="shared" si="0"/>
        <v>98.933333333333337</v>
      </c>
      <c r="V18" s="270">
        <f t="shared" si="0"/>
        <v>52.370000000000005</v>
      </c>
      <c r="W18" s="270">
        <f t="shared" si="0"/>
        <v>44.047500000000007</v>
      </c>
      <c r="X18" s="270">
        <f t="shared" si="0"/>
        <v>54.408333333333331</v>
      </c>
      <c r="Y18" s="270">
        <f t="shared" si="0"/>
        <v>68.069999999999979</v>
      </c>
      <c r="Z18" s="270">
        <f t="shared" si="0"/>
        <v>76.319999999999979</v>
      </c>
      <c r="AA18" s="270">
        <f t="shared" si="0"/>
        <v>42.300000000000004</v>
      </c>
      <c r="AB18" s="427">
        <v>70.400000000000006</v>
      </c>
      <c r="AC18" s="427" t="s">
        <v>1028</v>
      </c>
      <c r="AD18" s="427">
        <v>82.6</v>
      </c>
      <c r="AE18" s="275" t="s">
        <v>252</v>
      </c>
    </row>
    <row r="19" spans="1:31" ht="26.4">
      <c r="A19" s="21" t="s">
        <v>597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22" t="s">
        <v>598</v>
      </c>
    </row>
    <row r="23" spans="1:31" ht="2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AE23" s="23" t="s">
        <v>1589</v>
      </c>
    </row>
    <row r="24" spans="1:31" ht="27.6" thickBot="1">
      <c r="A24" s="24" t="s">
        <v>1588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1:31" ht="30">
      <c r="A25" s="307" t="s">
        <v>599</v>
      </c>
      <c r="B25" s="307">
        <v>1995</v>
      </c>
      <c r="C25" s="307">
        <v>1996</v>
      </c>
      <c r="D25" s="307">
        <v>1997</v>
      </c>
      <c r="E25" s="307">
        <v>1998</v>
      </c>
      <c r="F25" s="307">
        <v>1999</v>
      </c>
      <c r="G25" s="307">
        <v>2000</v>
      </c>
      <c r="H25" s="307">
        <v>2001</v>
      </c>
      <c r="I25" s="307">
        <v>2002</v>
      </c>
      <c r="J25" s="307">
        <v>2003</v>
      </c>
      <c r="K25" s="307">
        <v>2004</v>
      </c>
      <c r="L25" s="307">
        <v>2005</v>
      </c>
      <c r="M25" s="307">
        <v>2006</v>
      </c>
      <c r="N25" s="307">
        <v>2007</v>
      </c>
      <c r="O25" s="307">
        <v>2008</v>
      </c>
      <c r="P25" s="307">
        <v>2009</v>
      </c>
      <c r="Q25" s="307">
        <v>2010</v>
      </c>
      <c r="R25" s="307">
        <v>2011</v>
      </c>
      <c r="S25" s="307">
        <v>2012</v>
      </c>
      <c r="T25" s="307">
        <v>2013</v>
      </c>
      <c r="U25" s="307">
        <v>2014</v>
      </c>
      <c r="V25" s="307">
        <v>2015</v>
      </c>
      <c r="W25" s="307">
        <v>2016</v>
      </c>
      <c r="X25" s="307">
        <v>2017</v>
      </c>
      <c r="Y25" s="307">
        <v>2018</v>
      </c>
      <c r="Z25" s="307">
        <v>2019</v>
      </c>
      <c r="AA25" s="307">
        <v>2020</v>
      </c>
      <c r="AB25" s="307">
        <v>2021</v>
      </c>
      <c r="AC25" s="307">
        <v>2022</v>
      </c>
      <c r="AD25" s="307">
        <v>2023</v>
      </c>
      <c r="AE25" s="307" t="s">
        <v>600</v>
      </c>
    </row>
    <row r="26" spans="1:31" ht="27">
      <c r="A26" s="272" t="s">
        <v>163</v>
      </c>
      <c r="B26" s="287">
        <v>1635.9426681367145</v>
      </c>
      <c r="C26" s="287">
        <v>1744.4321940463064</v>
      </c>
      <c r="D26" s="287">
        <v>1893.9360529217199</v>
      </c>
      <c r="E26" s="287">
        <v>3174.4211686879826</v>
      </c>
      <c r="F26" s="287">
        <v>2250.4961411245868</v>
      </c>
      <c r="G26" s="287">
        <v>2280.4851157662624</v>
      </c>
      <c r="H26" s="287">
        <v>2361.4112458654904</v>
      </c>
      <c r="I26" s="287">
        <v>1729.4377067254686</v>
      </c>
      <c r="J26" s="287">
        <v>1816.9790518191842</v>
      </c>
      <c r="K26" s="287">
        <v>2028</v>
      </c>
      <c r="L26" s="287">
        <v>2367</v>
      </c>
      <c r="M26" s="287">
        <v>2250</v>
      </c>
      <c r="N26" s="287">
        <v>2497</v>
      </c>
      <c r="O26" s="287">
        <v>2297</v>
      </c>
      <c r="P26" s="287">
        <v>2616</v>
      </c>
      <c r="Q26" s="287">
        <v>3220</v>
      </c>
      <c r="R26" s="287">
        <v>3681</v>
      </c>
      <c r="S26" s="287">
        <v>3058</v>
      </c>
      <c r="T26" s="287">
        <v>3389</v>
      </c>
      <c r="U26" s="287">
        <v>2490</v>
      </c>
      <c r="V26" s="287">
        <v>2696</v>
      </c>
      <c r="W26" s="287">
        <f>'[32]Cours-alim-pres'!E18*1000</f>
        <v>2552.2033511230097</v>
      </c>
      <c r="X26" s="287">
        <f>'[32]Cours-alim-pres'!E30*1000</f>
        <v>3044.1348482868702</v>
      </c>
      <c r="Y26" s="287">
        <f>'[32]Cours-alim-pres'!E42*1000</f>
        <v>3102.2047415587999</v>
      </c>
      <c r="Z26" s="287">
        <v>2540.4576683751802</v>
      </c>
      <c r="AA26" s="287">
        <f>'[33]Cours matières premières alimen'!$E$15*1000</f>
        <v>2500</v>
      </c>
      <c r="AB26" s="287">
        <v>2679.5</v>
      </c>
      <c r="AC26" s="287" t="s">
        <v>1029</v>
      </c>
      <c r="AD26" s="287">
        <v>2769.6</v>
      </c>
      <c r="AE26" s="273" t="s">
        <v>244</v>
      </c>
    </row>
    <row r="27" spans="1:31" ht="27">
      <c r="A27" s="272" t="s">
        <v>165</v>
      </c>
      <c r="B27" s="287">
        <v>1690.6284454244762</v>
      </c>
      <c r="C27" s="287">
        <v>1770.6725468577729</v>
      </c>
      <c r="D27" s="287">
        <v>1936.0529217199557</v>
      </c>
      <c r="E27" s="287">
        <v>3292.171995589857</v>
      </c>
      <c r="F27" s="287">
        <v>2252.9217199558984</v>
      </c>
      <c r="G27" s="287">
        <v>2342.8886438809263</v>
      </c>
      <c r="H27" s="287">
        <v>2300.5512679162071</v>
      </c>
      <c r="I27" s="287">
        <v>1699.4487320837925</v>
      </c>
      <c r="J27" s="287">
        <v>1922.8224917309813</v>
      </c>
      <c r="K27" s="287">
        <v>1981</v>
      </c>
      <c r="L27" s="287">
        <v>2581</v>
      </c>
      <c r="M27" s="287">
        <v>2789</v>
      </c>
      <c r="N27" s="287">
        <v>2125</v>
      </c>
      <c r="O27" s="287">
        <v>2647</v>
      </c>
      <c r="P27" s="287">
        <v>2700</v>
      </c>
      <c r="Q27" s="287">
        <v>3176</v>
      </c>
      <c r="R27" s="287">
        <v>3498</v>
      </c>
      <c r="S27" s="287">
        <v>2970</v>
      </c>
      <c r="T27" s="287">
        <v>3209</v>
      </c>
      <c r="U27" s="287">
        <v>2570</v>
      </c>
      <c r="V27" s="287">
        <v>2964</v>
      </c>
      <c r="W27" s="287">
        <f>'[32]Cours-alim-pres'!E19*1000</f>
        <v>2351.73727426816</v>
      </c>
      <c r="X27" s="287">
        <f>'[32]Cours-alim-pres'!E31*1000</f>
        <v>2960.1471321782601</v>
      </c>
      <c r="Y27" s="287">
        <f>'[32]Cours-alim-pres'!E43*1000</f>
        <v>2999.5987059361</v>
      </c>
      <c r="Z27" s="287">
        <v>2381.97139038972</v>
      </c>
      <c r="AA27" s="287">
        <f>2.4*1000</f>
        <v>2400</v>
      </c>
      <c r="AB27" s="287">
        <v>2555.4</v>
      </c>
      <c r="AC27" s="287" t="s">
        <v>1030</v>
      </c>
      <c r="AD27" s="287">
        <v>2702.8</v>
      </c>
      <c r="AE27" s="273" t="s">
        <v>245</v>
      </c>
    </row>
    <row r="28" spans="1:31" ht="27">
      <c r="A28" s="272" t="s">
        <v>167</v>
      </c>
      <c r="B28" s="287">
        <v>1721.2789415656009</v>
      </c>
      <c r="C28" s="287">
        <v>1686.8798235942668</v>
      </c>
      <c r="D28" s="287">
        <v>2132.3042998897463</v>
      </c>
      <c r="E28" s="287">
        <v>2615.4355016538034</v>
      </c>
      <c r="F28" s="287">
        <v>2317.9713340683575</v>
      </c>
      <c r="G28" s="287">
        <v>2531.4222712238147</v>
      </c>
      <c r="H28" s="287">
        <v>2248.7320837927232</v>
      </c>
      <c r="I28" s="287">
        <v>1952.3704520396914</v>
      </c>
      <c r="J28" s="287">
        <v>1922.3814773980155</v>
      </c>
      <c r="K28" s="287">
        <v>1917.8</v>
      </c>
      <c r="L28" s="287">
        <v>2415.1999999999998</v>
      </c>
      <c r="M28" s="287">
        <v>2597</v>
      </c>
      <c r="N28" s="287">
        <v>2033</v>
      </c>
      <c r="O28" s="287">
        <v>2463</v>
      </c>
      <c r="P28" s="287">
        <v>2629</v>
      </c>
      <c r="Q28" s="287">
        <v>3175</v>
      </c>
      <c r="R28" s="287">
        <v>3307</v>
      </c>
      <c r="S28" s="287">
        <v>2754</v>
      </c>
      <c r="T28" s="287">
        <v>2974</v>
      </c>
      <c r="U28" s="287">
        <v>2377</v>
      </c>
      <c r="V28" s="287">
        <v>3076</v>
      </c>
      <c r="W28" s="287">
        <f>'[32]Cours-alim-pres'!E20*1000</f>
        <v>2312.8862265107</v>
      </c>
      <c r="X28" s="287">
        <f>'[32]Cours-alim-pres'!E32*1000</f>
        <v>2874.3858089438199</v>
      </c>
      <c r="Y28" s="287">
        <f>'[32]Cours-alim-pres'!E44*1000</f>
        <v>2835.5024763901401</v>
      </c>
      <c r="Z28" s="287">
        <v>2381.0223084651598</v>
      </c>
      <c r="AA28" s="287">
        <f>2.1*1000</f>
        <v>2100</v>
      </c>
      <c r="AB28" s="287">
        <v>2429.6999999999998</v>
      </c>
      <c r="AC28" s="287" t="s">
        <v>1031</v>
      </c>
      <c r="AD28" s="287">
        <v>2687.8</v>
      </c>
      <c r="AE28" s="273" t="s">
        <v>246</v>
      </c>
    </row>
    <row r="29" spans="1:31" ht="27">
      <c r="A29" s="272" t="s">
        <v>169</v>
      </c>
      <c r="B29" s="287">
        <v>1680.0441014332964</v>
      </c>
      <c r="C29" s="287">
        <v>1723.925027563396</v>
      </c>
      <c r="D29" s="287">
        <v>2442.9988974641678</v>
      </c>
      <c r="E29" s="287">
        <v>2341.1245865490628</v>
      </c>
      <c r="F29" s="287">
        <v>2368.0264608599778</v>
      </c>
      <c r="G29" s="287">
        <v>2494.5975744211687</v>
      </c>
      <c r="H29" s="287">
        <v>2123.9250275633954</v>
      </c>
      <c r="I29" s="287">
        <v>1856.6703417861081</v>
      </c>
      <c r="J29" s="287">
        <v>1885.3362734288862</v>
      </c>
      <c r="K29" s="287">
        <v>1779.5</v>
      </c>
      <c r="L29" s="287">
        <v>1907.1</v>
      </c>
      <c r="M29" s="287">
        <v>2305</v>
      </c>
      <c r="N29" s="287">
        <v>1921</v>
      </c>
      <c r="O29" s="287">
        <v>2609</v>
      </c>
      <c r="P29" s="287">
        <v>2774</v>
      </c>
      <c r="Q29" s="287">
        <v>3146</v>
      </c>
      <c r="R29" s="287">
        <v>3253</v>
      </c>
      <c r="S29" s="287">
        <v>3410</v>
      </c>
      <c r="T29" s="287">
        <v>2663</v>
      </c>
      <c r="U29" s="287">
        <v>2234</v>
      </c>
      <c r="V29" s="287">
        <v>2904</v>
      </c>
      <c r="W29" s="287">
        <f>'[32]Cours-alim-pres'!E21*1000</f>
        <v>2537.5545113356802</v>
      </c>
      <c r="X29" s="287">
        <f>'[32]Cours-alim-pres'!E33*1000</f>
        <v>3034.1561189117301</v>
      </c>
      <c r="Y29" s="287">
        <f>'[32]Cours-alim-pres'!E45*1000</f>
        <v>2947.8436449794999</v>
      </c>
      <c r="Z29" s="287">
        <v>2646.6043320163003</v>
      </c>
      <c r="AA29" s="287">
        <f>2.4*1000</f>
        <v>2400</v>
      </c>
      <c r="AB29" s="287">
        <v>2666.8</v>
      </c>
      <c r="AC29" s="287" t="s">
        <v>1032</v>
      </c>
      <c r="AD29" s="287">
        <v>2958</v>
      </c>
      <c r="AE29" s="273" t="s">
        <v>247</v>
      </c>
    </row>
    <row r="30" spans="1:31" ht="27">
      <c r="A30" s="272" t="s">
        <v>171</v>
      </c>
      <c r="B30" s="287">
        <v>1644.1014332965822</v>
      </c>
      <c r="C30" s="287">
        <v>1761.6317530319734</v>
      </c>
      <c r="D30" s="287">
        <v>2456.2293274531426</v>
      </c>
      <c r="E30" s="287">
        <v>1903.4178610804847</v>
      </c>
      <c r="F30" s="287">
        <v>2220.5071664829106</v>
      </c>
      <c r="G30" s="287">
        <v>2520.6174200661521</v>
      </c>
      <c r="H30" s="287">
        <v>1956.1190738699006</v>
      </c>
      <c r="I30" s="287">
        <v>1641.2348401323045</v>
      </c>
      <c r="J30" s="287">
        <v>1821.3891951488422</v>
      </c>
      <c r="K30" s="287">
        <v>1866.2</v>
      </c>
      <c r="L30" s="287">
        <v>2003</v>
      </c>
      <c r="M30" s="287">
        <v>2383</v>
      </c>
      <c r="N30" s="287">
        <v>1900</v>
      </c>
      <c r="O30" s="287">
        <v>2651</v>
      </c>
      <c r="P30" s="287">
        <v>2880</v>
      </c>
      <c r="Q30" s="287">
        <v>2861</v>
      </c>
      <c r="R30" s="287">
        <v>3277</v>
      </c>
      <c r="S30" s="287">
        <v>3410</v>
      </c>
      <c r="T30" s="287">
        <v>2724</v>
      </c>
      <c r="U30" s="287">
        <v>2195</v>
      </c>
      <c r="V30" s="287">
        <v>3136</v>
      </c>
      <c r="W30" s="287">
        <f>'[32]Cours-alim-pres'!E22*1000</f>
        <v>2574.8771625797899</v>
      </c>
      <c r="X30" s="287">
        <f>'[32]Cours-alim-pres'!E34*1000</f>
        <v>3198.0497770578299</v>
      </c>
      <c r="Y30" s="287">
        <f>'[32]Cours-alim-pres'!E46*1000</f>
        <v>3020.4523658708399</v>
      </c>
      <c r="Z30" s="287">
        <v>2730.0252655497397</v>
      </c>
      <c r="AA30" s="287">
        <f>2.5*1000</f>
        <v>2500</v>
      </c>
      <c r="AB30" s="287">
        <v>2711.9</v>
      </c>
      <c r="AC30" s="287" t="s">
        <v>1033</v>
      </c>
      <c r="AD30" s="287">
        <v>2712.2</v>
      </c>
      <c r="AE30" s="273" t="s">
        <v>172</v>
      </c>
    </row>
    <row r="31" spans="1:31" ht="27">
      <c r="A31" s="272" t="s">
        <v>173</v>
      </c>
      <c r="B31" s="287">
        <v>1455.3472987872105</v>
      </c>
      <c r="C31" s="287">
        <v>1712.6791620727672</v>
      </c>
      <c r="D31" s="287">
        <v>2280.7056229327454</v>
      </c>
      <c r="E31" s="287">
        <v>2181.918412348401</v>
      </c>
      <c r="F31" s="287">
        <v>2072.9878721058435</v>
      </c>
      <c r="G31" s="287">
        <v>2406.8357221609704</v>
      </c>
      <c r="H31" s="287">
        <v>1910.4740904079383</v>
      </c>
      <c r="I31" s="287">
        <v>1683.0948180815872</v>
      </c>
      <c r="J31" s="287">
        <v>1970</v>
      </c>
      <c r="K31" s="287">
        <v>1866.2</v>
      </c>
      <c r="L31" s="287">
        <v>2234</v>
      </c>
      <c r="M31" s="287">
        <v>2501</v>
      </c>
      <c r="N31" s="287">
        <v>2021</v>
      </c>
      <c r="O31" s="287">
        <v>2845</v>
      </c>
      <c r="P31" s="287">
        <v>2871</v>
      </c>
      <c r="Q31" s="287">
        <v>2624</v>
      </c>
      <c r="R31" s="287">
        <v>3341</v>
      </c>
      <c r="S31" s="287">
        <v>3410</v>
      </c>
      <c r="T31" s="287">
        <v>2540</v>
      </c>
      <c r="U31" s="287">
        <v>2237</v>
      </c>
      <c r="V31" s="287">
        <v>3559</v>
      </c>
      <c r="W31" s="287">
        <f>'[32]Cours-alim-pres'!E23*1000</f>
        <v>2648.11273690389</v>
      </c>
      <c r="X31" s="287">
        <f>'[32]Cours-alim-pres'!E35*1000</f>
        <v>3237.6042981167702</v>
      </c>
      <c r="Y31" s="287">
        <f>'[32]Cours-alim-pres'!E47*1000</f>
        <v>2867.8030204341799</v>
      </c>
      <c r="Z31" s="287">
        <v>2572.51045659589</v>
      </c>
      <c r="AA31" s="287">
        <f>2.8*1000</f>
        <v>2800</v>
      </c>
      <c r="AB31" s="287">
        <v>2698.5</v>
      </c>
      <c r="AC31" s="287" t="s">
        <v>1034</v>
      </c>
      <c r="AD31" s="287">
        <v>2694.5</v>
      </c>
      <c r="AE31" s="273" t="s">
        <v>248</v>
      </c>
    </row>
    <row r="32" spans="1:31" ht="27">
      <c r="A32" s="272" t="s">
        <v>175</v>
      </c>
      <c r="B32" s="287">
        <v>1433.9581036383681</v>
      </c>
      <c r="C32" s="287">
        <v>1601.9845644983463</v>
      </c>
      <c r="D32" s="287">
        <v>2448.2910694597572</v>
      </c>
      <c r="E32" s="287">
        <v>2262.4035281146635</v>
      </c>
      <c r="F32" s="287">
        <v>2056.4498346196251</v>
      </c>
      <c r="G32" s="287">
        <v>2470.5622932745314</v>
      </c>
      <c r="H32" s="287">
        <v>1961.4112458654906</v>
      </c>
      <c r="I32" s="287">
        <v>1754</v>
      </c>
      <c r="J32" s="287">
        <v>2045</v>
      </c>
      <c r="K32" s="287">
        <v>1907</v>
      </c>
      <c r="L32" s="287">
        <v>2014</v>
      </c>
      <c r="M32" s="287">
        <v>2638</v>
      </c>
      <c r="N32" s="287">
        <v>2119</v>
      </c>
      <c r="O32" s="287">
        <v>2875</v>
      </c>
      <c r="P32" s="287">
        <v>3377</v>
      </c>
      <c r="Q32" s="287">
        <v>2592</v>
      </c>
      <c r="R32" s="287">
        <v>3561</v>
      </c>
      <c r="S32" s="287">
        <v>3456</v>
      </c>
      <c r="T32" s="287">
        <v>2562</v>
      </c>
      <c r="U32" s="287">
        <v>2324</v>
      </c>
      <c r="V32" s="287">
        <v>4030</v>
      </c>
      <c r="W32" s="287">
        <f>'[32]Cours-alim-pres'!E24*1000</f>
        <v>2772.4328782335201</v>
      </c>
      <c r="X32" s="287">
        <f>'[32]Cours-alim-pres'!E36*1000</f>
        <v>3225.8837908628498</v>
      </c>
      <c r="Y32" s="287">
        <f>'[32]Cours-alim-pres'!E48*1000</f>
        <v>2888.54244742634</v>
      </c>
      <c r="Z32" s="287">
        <v>2635.9737887728197</v>
      </c>
      <c r="AA32" s="287">
        <f>3*1000</f>
        <v>3000</v>
      </c>
      <c r="AB32" s="287">
        <v>2652.6</v>
      </c>
      <c r="AC32" s="287" t="s">
        <v>1035</v>
      </c>
      <c r="AD32" s="287">
        <v>2466.6999999999998</v>
      </c>
      <c r="AE32" s="273" t="s">
        <v>249</v>
      </c>
    </row>
    <row r="33" spans="1:31" ht="27">
      <c r="A33" s="272" t="s">
        <v>177</v>
      </c>
      <c r="B33" s="287">
        <v>1503.858875413451</v>
      </c>
      <c r="C33" s="287">
        <v>1680.0441014332964</v>
      </c>
      <c r="D33" s="287">
        <v>2578.1697905181918</v>
      </c>
      <c r="E33" s="287">
        <v>2377.9492833517088</v>
      </c>
      <c r="F33" s="287">
        <v>2090.4079382579935</v>
      </c>
      <c r="G33" s="287">
        <v>2614.1124586549058</v>
      </c>
      <c r="H33" s="287">
        <v>1977.7287761852258</v>
      </c>
      <c r="I33" s="287">
        <v>1818.9636163175303</v>
      </c>
      <c r="J33" s="287">
        <v>1920</v>
      </c>
      <c r="K33" s="287">
        <v>2065</v>
      </c>
      <c r="L33" s="287">
        <v>2118</v>
      </c>
      <c r="M33" s="287">
        <v>2472</v>
      </c>
      <c r="N33" s="287">
        <v>2104</v>
      </c>
      <c r="O33" s="287">
        <v>3219</v>
      </c>
      <c r="P33" s="287">
        <v>3284</v>
      </c>
      <c r="Q33" s="287">
        <v>3151</v>
      </c>
      <c r="R33" s="287">
        <v>3582</v>
      </c>
      <c r="S33" s="287">
        <v>3532</v>
      </c>
      <c r="T33" s="287">
        <v>2480</v>
      </c>
      <c r="U33" s="287">
        <v>2358</v>
      </c>
      <c r="V33" s="287">
        <v>3873</v>
      </c>
      <c r="W33" s="287">
        <f>'[32]Cours-alim-pres'!E25*1000</f>
        <v>2775.2354889752501</v>
      </c>
      <c r="X33" s="287">
        <f>'[32]Cours-alim-pres'!E37*1000</f>
        <v>3264.4997906499798</v>
      </c>
      <c r="Y33" s="287">
        <f>'[32]Cours-alim-pres'!E49*1000</f>
        <v>2774.10472822671</v>
      </c>
      <c r="Z33" s="287">
        <v>2632.4942620573302</v>
      </c>
      <c r="AA33" s="287">
        <f>3.1*1000</f>
        <v>3100</v>
      </c>
      <c r="AB33" s="287">
        <v>2715.2</v>
      </c>
      <c r="AC33" s="287" t="s">
        <v>1036</v>
      </c>
      <c r="AD33" s="287">
        <v>2835</v>
      </c>
      <c r="AE33" s="273" t="s">
        <v>250</v>
      </c>
    </row>
    <row r="34" spans="1:31" ht="27">
      <c r="A34" s="272" t="s">
        <v>179</v>
      </c>
      <c r="B34" s="287">
        <v>1634.1786108048511</v>
      </c>
      <c r="C34" s="287">
        <v>1887.5413450937153</v>
      </c>
      <c r="D34" s="287">
        <v>2475.8544652701212</v>
      </c>
      <c r="E34" s="287">
        <v>2252.9217199558984</v>
      </c>
      <c r="F34" s="287">
        <v>2390.5181918412345</v>
      </c>
      <c r="G34" s="287">
        <v>2624.9173098125689</v>
      </c>
      <c r="H34" s="287">
        <v>1909.3715545755238</v>
      </c>
      <c r="I34" s="287">
        <v>1934.7298787210582</v>
      </c>
      <c r="J34" s="287">
        <v>1954</v>
      </c>
      <c r="K34" s="287">
        <v>2407.3000000000002</v>
      </c>
      <c r="L34" s="287">
        <v>2244</v>
      </c>
      <c r="M34" s="287">
        <v>2298</v>
      </c>
      <c r="N34" s="287">
        <v>2313</v>
      </c>
      <c r="O34" s="287">
        <v>3216</v>
      </c>
      <c r="P34" s="287">
        <v>3744</v>
      </c>
      <c r="Q34" s="287">
        <v>3372</v>
      </c>
      <c r="R34" s="287">
        <v>3623</v>
      </c>
      <c r="S34" s="287">
        <v>3582</v>
      </c>
      <c r="T34" s="287">
        <v>2305</v>
      </c>
      <c r="U34" s="287">
        <v>2330</v>
      </c>
      <c r="V34" s="287">
        <v>3712</v>
      </c>
      <c r="W34" s="287">
        <f>'[32]Cours-alim-pres'!E26*1000</f>
        <v>2790.7128300317099</v>
      </c>
      <c r="X34" s="287">
        <f>'[32]Cours-alim-pres'!E38*1000</f>
        <v>3281.76302309121</v>
      </c>
      <c r="Y34" s="287">
        <f>'[32]Cours-alim-pres'!E50*1000</f>
        <v>2671.61271273906</v>
      </c>
      <c r="Z34" s="287">
        <v>2539.49871921256</v>
      </c>
      <c r="AA34" s="287">
        <f>3.1*1000</f>
        <v>3100</v>
      </c>
      <c r="AB34" s="287">
        <v>2727.4</v>
      </c>
      <c r="AC34" s="287" t="s">
        <v>1037</v>
      </c>
      <c r="AD34" s="287">
        <v>2847</v>
      </c>
      <c r="AE34" s="273" t="s">
        <v>180</v>
      </c>
    </row>
    <row r="35" spans="1:31" ht="27">
      <c r="A35" s="272" t="s">
        <v>181</v>
      </c>
      <c r="B35" s="287">
        <v>1769.5700110253583</v>
      </c>
      <c r="C35" s="287">
        <v>1835.5016538037485</v>
      </c>
      <c r="D35" s="287">
        <v>2525.6890848952589</v>
      </c>
      <c r="E35" s="287">
        <v>2098.3461962513779</v>
      </c>
      <c r="F35" s="280">
        <v>2800.661521499449</v>
      </c>
      <c r="G35" s="280">
        <v>2530.5402425578832</v>
      </c>
      <c r="H35" s="287">
        <v>1772.877618522602</v>
      </c>
      <c r="I35" s="287">
        <v>1811.2458654906286</v>
      </c>
      <c r="J35" s="287">
        <v>2005</v>
      </c>
      <c r="K35" s="287">
        <v>2016</v>
      </c>
      <c r="L35" s="287">
        <v>2116</v>
      </c>
      <c r="M35" s="287">
        <v>2243</v>
      </c>
      <c r="N35" s="287">
        <v>2243</v>
      </c>
      <c r="O35" s="287">
        <v>2824</v>
      </c>
      <c r="P35" s="287">
        <v>3448</v>
      </c>
      <c r="Q35" s="287">
        <v>3399</v>
      </c>
      <c r="R35" s="287">
        <v>3571</v>
      </c>
      <c r="S35" s="287">
        <v>3682</v>
      </c>
      <c r="T35" s="287">
        <v>2217</v>
      </c>
      <c r="U35" s="280">
        <v>2562</v>
      </c>
      <c r="V35" s="280">
        <v>3918</v>
      </c>
      <c r="W35" s="287">
        <f>'[32]Cours-alim-pres'!E27*1000</f>
        <v>2888.2686298752401</v>
      </c>
      <c r="X35" s="287">
        <f>'[32]Cours-alim-pres'!E39*1000</f>
        <v>3294.3355926680701</v>
      </c>
      <c r="Y35" s="287">
        <f>'[32]Cours-alim-pres'!E51*1000</f>
        <v>2736.68443040273</v>
      </c>
      <c r="Z35" s="287">
        <v>2581.7884204553397</v>
      </c>
      <c r="AA35" s="287">
        <f>3*1000</f>
        <v>3000</v>
      </c>
      <c r="AB35" s="287">
        <v>2780.2</v>
      </c>
      <c r="AC35" s="287" t="s">
        <v>1038</v>
      </c>
      <c r="AD35" s="287">
        <v>2756</v>
      </c>
      <c r="AE35" s="273" t="s">
        <v>182</v>
      </c>
    </row>
    <row r="36" spans="1:31" ht="27">
      <c r="A36" s="272" t="s">
        <v>183</v>
      </c>
      <c r="B36" s="287">
        <v>1736.2734288864385</v>
      </c>
      <c r="C36" s="287">
        <v>1902.5358324145534</v>
      </c>
      <c r="D36" s="287">
        <v>2647.4090407938256</v>
      </c>
      <c r="E36" s="287">
        <v>2067.9162072767367</v>
      </c>
      <c r="F36" s="280">
        <v>2780.5953693495039</v>
      </c>
      <c r="G36" s="280">
        <v>2508.710033076075</v>
      </c>
      <c r="H36" s="287">
        <v>1621.1686879823592</v>
      </c>
      <c r="I36" s="287">
        <v>1789.4156560088204</v>
      </c>
      <c r="J36" s="287">
        <v>2000</v>
      </c>
      <c r="K36" s="287">
        <v>1925</v>
      </c>
      <c r="L36" s="287">
        <v>1948</v>
      </c>
      <c r="M36" s="287">
        <v>2132</v>
      </c>
      <c r="N36" s="287">
        <v>2096</v>
      </c>
      <c r="O36" s="287">
        <v>2410</v>
      </c>
      <c r="P36" s="287">
        <v>3611</v>
      </c>
      <c r="Q36" s="287">
        <v>3317</v>
      </c>
      <c r="R36" s="287">
        <v>3513</v>
      </c>
      <c r="S36" s="287">
        <v>3681</v>
      </c>
      <c r="T36" s="287">
        <v>2353</v>
      </c>
      <c r="U36" s="280">
        <v>2433</v>
      </c>
      <c r="V36" s="280">
        <v>3538</v>
      </c>
      <c r="W36" s="287">
        <f>'[32]Cours-alim-pres'!E28*1000</f>
        <v>3034.3618636381602</v>
      </c>
      <c r="X36" s="287">
        <f>'[32]Cours-alim-pres'!E40*1000</f>
        <v>3234.6425633222798</v>
      </c>
      <c r="Y36" s="287">
        <f>'[32]Cours-alim-pres'!E52*1000</f>
        <v>2701.7389015605204</v>
      </c>
      <c r="Z36" s="287">
        <v>2604.4871310690401</v>
      </c>
      <c r="AA36" s="287">
        <f>2.8*1000</f>
        <v>2800</v>
      </c>
      <c r="AB36" s="287">
        <v>2830.8</v>
      </c>
      <c r="AC36" s="287" t="s">
        <v>1039</v>
      </c>
      <c r="AD36" s="287">
        <v>2741.2</v>
      </c>
      <c r="AE36" s="273" t="s">
        <v>184</v>
      </c>
    </row>
    <row r="37" spans="1:31" ht="27">
      <c r="A37" s="272" t="s">
        <v>185</v>
      </c>
      <c r="B37" s="287">
        <v>1796.9128996692391</v>
      </c>
      <c r="C37" s="287">
        <v>1969.5700110253581</v>
      </c>
      <c r="D37" s="287">
        <v>2651.1576626240353</v>
      </c>
      <c r="E37" s="287">
        <v>2065.4906284454246</v>
      </c>
      <c r="F37" s="280">
        <v>2287.3208379272328</v>
      </c>
      <c r="G37" s="280">
        <v>2454.6857772877615</v>
      </c>
      <c r="H37" s="287">
        <v>1635.9426681367145</v>
      </c>
      <c r="I37" s="287">
        <v>1837.7067254685778</v>
      </c>
      <c r="J37" s="287">
        <v>2052</v>
      </c>
      <c r="K37" s="287">
        <v>2017.8</v>
      </c>
      <c r="L37" s="287">
        <v>2019</v>
      </c>
      <c r="M37" s="287">
        <v>2396</v>
      </c>
      <c r="N37" s="287">
        <v>2061</v>
      </c>
      <c r="O37" s="287">
        <v>2285</v>
      </c>
      <c r="P37" s="287">
        <v>3742</v>
      </c>
      <c r="Q37" s="287">
        <v>3521</v>
      </c>
      <c r="R37" s="287">
        <v>3111</v>
      </c>
      <c r="S37" s="287">
        <v>3514</v>
      </c>
      <c r="T37" s="287">
        <v>2457</v>
      </c>
      <c r="U37" s="280">
        <v>2433</v>
      </c>
      <c r="V37" s="280">
        <v>3538</v>
      </c>
      <c r="W37" s="287">
        <f>'[32]Cours-alim-pres'!E29*1000</f>
        <v>2980.8206027214301</v>
      </c>
      <c r="X37" s="287">
        <f>'[32]Cours-alim-pres'!E41*1000</f>
        <v>3132.1481661287999</v>
      </c>
      <c r="Y37" s="287">
        <f>'[32]Cours-alim-pres'!E53*1000</f>
        <v>2623.5660911196801</v>
      </c>
      <c r="Z37" s="287">
        <v>2576.4664726819401</v>
      </c>
      <c r="AA37" s="287">
        <f>2.6*1000</f>
        <v>2600</v>
      </c>
      <c r="AB37" s="287">
        <v>2818.9</v>
      </c>
      <c r="AC37" s="287" t="s">
        <v>1040</v>
      </c>
      <c r="AD37" s="287">
        <v>2714</v>
      </c>
      <c r="AE37" s="273" t="s">
        <v>186</v>
      </c>
    </row>
    <row r="38" spans="1:31" ht="27">
      <c r="A38" s="429" t="s">
        <v>251</v>
      </c>
      <c r="B38" s="428">
        <v>1641.8412348401318</v>
      </c>
      <c r="C38" s="428">
        <v>1773.1165012862919</v>
      </c>
      <c r="D38" s="428">
        <v>2372.3998529952223</v>
      </c>
      <c r="E38" s="428">
        <v>2386.1264241087833</v>
      </c>
      <c r="F38" s="428">
        <v>2324.072032341051</v>
      </c>
      <c r="G38" s="428">
        <v>2481.6979051819185</v>
      </c>
      <c r="H38" s="428">
        <v>1981.6427783902973</v>
      </c>
      <c r="I38" s="428">
        <v>1792.3598860712973</v>
      </c>
      <c r="J38" s="428">
        <v>1942.9090407938256</v>
      </c>
      <c r="K38" s="428">
        <v>1981.3999999999999</v>
      </c>
      <c r="L38" s="428">
        <v>2163.8583333333331</v>
      </c>
      <c r="M38" s="428">
        <v>2417</v>
      </c>
      <c r="N38" s="428">
        <v>2119.4166666666665</v>
      </c>
      <c r="O38" s="428">
        <v>2695.0833333333335</v>
      </c>
      <c r="P38" s="428">
        <v>3139.6666666666665</v>
      </c>
      <c r="Q38" s="428">
        <f t="shared" ref="Q38:AA38" si="1">AVERAGE(Q26:Q37)</f>
        <v>3129.5</v>
      </c>
      <c r="R38" s="428">
        <f t="shared" si="1"/>
        <v>3443.1666666666665</v>
      </c>
      <c r="S38" s="428">
        <f t="shared" si="1"/>
        <v>3371.5833333333335</v>
      </c>
      <c r="T38" s="428">
        <f t="shared" si="1"/>
        <v>2656.0833333333335</v>
      </c>
      <c r="U38" s="428">
        <f t="shared" si="1"/>
        <v>2378.5833333333335</v>
      </c>
      <c r="V38" s="428">
        <f t="shared" si="1"/>
        <v>3412</v>
      </c>
      <c r="W38" s="428">
        <f t="shared" si="1"/>
        <v>2684.9336296830447</v>
      </c>
      <c r="X38" s="428">
        <f t="shared" si="1"/>
        <v>3148.4792425182059</v>
      </c>
      <c r="Y38" s="428">
        <f t="shared" si="1"/>
        <v>2847.4711888870502</v>
      </c>
      <c r="Z38" s="428">
        <f t="shared" si="1"/>
        <v>2568.6083513034182</v>
      </c>
      <c r="AA38" s="428">
        <f t="shared" si="1"/>
        <v>2691.6666666666665</v>
      </c>
      <c r="AB38" s="428">
        <v>2688.9</v>
      </c>
      <c r="AC38" s="428" t="s">
        <v>1041</v>
      </c>
      <c r="AD38" s="428">
        <v>2740.4</v>
      </c>
      <c r="AE38" s="281" t="s">
        <v>252</v>
      </c>
    </row>
    <row r="39" spans="1:31" ht="27.6" thickBot="1">
      <c r="A39" s="276"/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3"/>
      <c r="P39" s="282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84"/>
      <c r="AC39" s="284"/>
      <c r="AD39" s="425"/>
      <c r="AE39" s="279"/>
    </row>
    <row r="40" spans="1:31" ht="26.4">
      <c r="A40" s="21" t="s">
        <v>601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AE40" s="22" t="s">
        <v>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2:AE39"/>
  <sheetViews>
    <sheetView zoomScale="70" workbookViewId="0">
      <selection activeCell="F22" sqref="F22"/>
    </sheetView>
  </sheetViews>
  <sheetFormatPr baseColWidth="10" defaultRowHeight="14.4"/>
  <cols>
    <col min="1" max="1" width="19.88671875" customWidth="1"/>
    <col min="2" max="5" width="14.6640625" customWidth="1"/>
    <col min="6" max="6" width="20.44140625" customWidth="1"/>
    <col min="7" max="7" width="17.44140625" customWidth="1"/>
    <col min="8" max="8" width="18.88671875" customWidth="1"/>
    <col min="9" max="14" width="12.44140625" customWidth="1"/>
    <col min="15" max="15" width="16.44140625" customWidth="1"/>
    <col min="16" max="16" width="14.88671875" customWidth="1"/>
    <col min="28" max="30" width="9.6640625" customWidth="1"/>
    <col min="31" max="31" width="33.109375" customWidth="1"/>
  </cols>
  <sheetData>
    <row r="2" spans="1:31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27" t="s">
        <v>1585</v>
      </c>
    </row>
    <row r="3" spans="1:31" ht="27.6" thickBot="1">
      <c r="A3" s="19" t="s">
        <v>1584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0"/>
    </row>
    <row r="4" spans="1:31" ht="30">
      <c r="A4" s="307" t="s">
        <v>599</v>
      </c>
      <c r="B4" s="307">
        <v>1995</v>
      </c>
      <c r="C4" s="307">
        <v>1996</v>
      </c>
      <c r="D4" s="307">
        <v>1997</v>
      </c>
      <c r="E4" s="307">
        <v>1998</v>
      </c>
      <c r="F4" s="307">
        <v>1999</v>
      </c>
      <c r="G4" s="307">
        <v>2000</v>
      </c>
      <c r="H4" s="307">
        <v>2001</v>
      </c>
      <c r="I4" s="307">
        <v>2002</v>
      </c>
      <c r="J4" s="307">
        <v>2003</v>
      </c>
      <c r="K4" s="307">
        <v>2004</v>
      </c>
      <c r="L4" s="307">
        <v>2005</v>
      </c>
      <c r="M4" s="307">
        <v>2006</v>
      </c>
      <c r="N4" s="307">
        <v>2007</v>
      </c>
      <c r="O4" s="307">
        <v>2008</v>
      </c>
      <c r="P4" s="307">
        <v>2009</v>
      </c>
      <c r="Q4" s="307">
        <v>2010</v>
      </c>
      <c r="R4" s="307">
        <v>2011</v>
      </c>
      <c r="S4" s="307">
        <v>2012</v>
      </c>
      <c r="T4" s="307">
        <v>2013</v>
      </c>
      <c r="U4" s="307">
        <v>2014</v>
      </c>
      <c r="V4" s="307">
        <v>2015</v>
      </c>
      <c r="W4" s="307">
        <v>2016</v>
      </c>
      <c r="X4" s="307">
        <v>2017</v>
      </c>
      <c r="Y4" s="307">
        <v>2018</v>
      </c>
      <c r="Z4" s="307">
        <v>2019</v>
      </c>
      <c r="AA4" s="307">
        <v>2020</v>
      </c>
      <c r="AB4" s="307">
        <v>2021</v>
      </c>
      <c r="AC4" s="307">
        <v>2022</v>
      </c>
      <c r="AD4" s="307">
        <v>2023</v>
      </c>
      <c r="AE4" s="307" t="s">
        <v>603</v>
      </c>
    </row>
    <row r="5" spans="1:31" ht="26.4">
      <c r="A5" s="272" t="s">
        <v>163</v>
      </c>
      <c r="B5" s="433">
        <v>326.35060639470788</v>
      </c>
      <c r="C5" s="433">
        <v>276.29547960308707</v>
      </c>
      <c r="D5" s="433">
        <v>235.72216097023153</v>
      </c>
      <c r="E5" s="433">
        <v>254.02425578831313</v>
      </c>
      <c r="F5" s="433">
        <v>178.83131201764056</v>
      </c>
      <c r="G5" s="433">
        <v>124.14553472987872</v>
      </c>
      <c r="H5" s="433">
        <v>221.83020948180814</v>
      </c>
      <c r="I5" s="433">
        <v>171.3</v>
      </c>
      <c r="J5" s="433">
        <v>180.6</v>
      </c>
      <c r="K5" s="433">
        <v>128.1</v>
      </c>
      <c r="L5" s="433">
        <v>192.2</v>
      </c>
      <c r="M5" s="433">
        <v>347.2</v>
      </c>
      <c r="N5" s="433">
        <v>241.4</v>
      </c>
      <c r="O5" s="433">
        <v>263.89999999999998</v>
      </c>
      <c r="P5" s="433">
        <v>277.60000000000002</v>
      </c>
      <c r="Q5" s="426">
        <v>583.6</v>
      </c>
      <c r="R5" s="426">
        <v>652.79999999999995</v>
      </c>
      <c r="S5" s="426">
        <v>519.4</v>
      </c>
      <c r="T5" s="426">
        <v>416.1</v>
      </c>
      <c r="U5" s="426">
        <v>340</v>
      </c>
      <c r="V5" s="426">
        <f>'[34]Monthly Prices'!AX669*1000</f>
        <v>321.65405800000002</v>
      </c>
      <c r="W5" s="426">
        <f>'[35]Monthly Prices'!AX681*1000</f>
        <v>292.77353599999998</v>
      </c>
      <c r="X5" s="426">
        <v>448.2</v>
      </c>
      <c r="Y5" s="426">
        <f>'[32]Cours-alim-pres'!D43</f>
        <v>298.94647200000003</v>
      </c>
      <c r="Z5" s="426">
        <v>281.97089800000003</v>
      </c>
      <c r="AA5" s="426">
        <f>'[33]Cours matières premières alimen'!$D$15</f>
        <v>312</v>
      </c>
      <c r="AB5" s="426">
        <v>335.5</v>
      </c>
      <c r="AC5" s="426">
        <v>401.7</v>
      </c>
      <c r="AD5" s="426">
        <v>416</v>
      </c>
      <c r="AE5" s="431" t="s">
        <v>244</v>
      </c>
    </row>
    <row r="6" spans="1:31" ht="26.4">
      <c r="A6" s="272" t="s">
        <v>165</v>
      </c>
      <c r="B6" s="433">
        <v>317.75082690187435</v>
      </c>
      <c r="C6" s="433">
        <v>282.69018743109149</v>
      </c>
      <c r="D6" s="433">
        <v>238.36824696802648</v>
      </c>
      <c r="E6" s="433">
        <v>236.16317530319736</v>
      </c>
      <c r="F6" s="433">
        <v>150.38588754134511</v>
      </c>
      <c r="G6" s="433">
        <v>117.97133406835721</v>
      </c>
      <c r="H6" s="433">
        <v>206.39470782800439</v>
      </c>
      <c r="I6" s="433">
        <v>143.69999999999999</v>
      </c>
      <c r="J6" s="433">
        <v>198.6</v>
      </c>
      <c r="K6" s="433">
        <v>128.69999999999999</v>
      </c>
      <c r="L6" s="433">
        <v>200.6</v>
      </c>
      <c r="M6" s="433">
        <v>397.7</v>
      </c>
      <c r="N6" s="433">
        <v>233</v>
      </c>
      <c r="O6" s="433">
        <v>297.8</v>
      </c>
      <c r="P6" s="433">
        <v>292.60000000000002</v>
      </c>
      <c r="Q6" s="426">
        <v>559.79999999999995</v>
      </c>
      <c r="R6" s="426">
        <v>649.70000000000005</v>
      </c>
      <c r="S6" s="426">
        <v>531.79999999999995</v>
      </c>
      <c r="T6" s="426">
        <v>402.8</v>
      </c>
      <c r="U6" s="426">
        <v>370</v>
      </c>
      <c r="V6" s="426">
        <f>'[34]Monthly Prices'!AX670*1000</f>
        <v>290.12799200000001</v>
      </c>
      <c r="W6" s="426">
        <f>'[35]Monthly Prices'!AX682*1000</f>
        <v>340.393328</v>
      </c>
      <c r="X6" s="426">
        <v>447.3</v>
      </c>
      <c r="Y6" s="426">
        <f>'[32]Cours-alim-pres'!D44</f>
        <v>275.13657600000005</v>
      </c>
      <c r="Z6" s="426">
        <v>286.15967599999999</v>
      </c>
      <c r="AA6" s="426">
        <v>325.8</v>
      </c>
      <c r="AB6" s="426">
        <v>356.9</v>
      </c>
      <c r="AC6" s="426">
        <v>393.7</v>
      </c>
      <c r="AD6" s="426">
        <v>446</v>
      </c>
      <c r="AE6" s="431" t="s">
        <v>245</v>
      </c>
    </row>
    <row r="7" spans="1:31" ht="26.4">
      <c r="A7" s="272" t="s">
        <v>167</v>
      </c>
      <c r="B7" s="433">
        <v>321.7199558985667</v>
      </c>
      <c r="C7" s="433">
        <v>284.45424476295477</v>
      </c>
      <c r="D7" s="433">
        <v>245.64498346196254</v>
      </c>
      <c r="E7" s="433">
        <v>216.97905181918412</v>
      </c>
      <c r="F7" s="433">
        <v>132.96582138919516</v>
      </c>
      <c r="G7" s="433">
        <v>112.67916207276737</v>
      </c>
      <c r="H7" s="433">
        <v>191.17971334068358</v>
      </c>
      <c r="I7" s="433">
        <v>147.69999999999999</v>
      </c>
      <c r="J7" s="433">
        <v>181.4</v>
      </c>
      <c r="K7" s="433">
        <v>142.4</v>
      </c>
      <c r="L7" s="433">
        <v>196.7</v>
      </c>
      <c r="M7" s="433">
        <v>380.1</v>
      </c>
      <c r="N7" s="433">
        <v>230.2</v>
      </c>
      <c r="O7" s="433">
        <v>291</v>
      </c>
      <c r="P7" s="433">
        <v>295.39999999999998</v>
      </c>
      <c r="Q7" s="426">
        <v>411.4</v>
      </c>
      <c r="R7" s="426">
        <v>578.5</v>
      </c>
      <c r="S7" s="426">
        <v>531.29999999999995</v>
      </c>
      <c r="T7" s="426">
        <v>408.2</v>
      </c>
      <c r="U7" s="426">
        <v>390</v>
      </c>
      <c r="V7" s="426">
        <f>'[34]Monthly Prices'!AX671*1000</f>
        <v>288.36429600000002</v>
      </c>
      <c r="W7" s="426">
        <f>'[35]Monthly Prices'!AX683*1000</f>
        <v>335.76362599999999</v>
      </c>
      <c r="X7" s="426">
        <v>398.6</v>
      </c>
      <c r="Y7" s="426">
        <f>'[32]Cours-alim-pres'!D45</f>
        <v>265.21578600000004</v>
      </c>
      <c r="Z7" s="426">
        <v>280.207202</v>
      </c>
      <c r="AA7" s="426">
        <v>260.8</v>
      </c>
      <c r="AB7" s="426">
        <v>342.6</v>
      </c>
      <c r="AC7" s="426">
        <v>420</v>
      </c>
      <c r="AD7" s="426">
        <v>452.4</v>
      </c>
      <c r="AE7" s="431" t="s">
        <v>246</v>
      </c>
    </row>
    <row r="8" spans="1:31" ht="26.4">
      <c r="A8" s="272" t="s">
        <v>169</v>
      </c>
      <c r="B8" s="433">
        <v>300.11025358324144</v>
      </c>
      <c r="C8" s="433">
        <v>264.16758544652703</v>
      </c>
      <c r="D8" s="433">
        <v>249.17309812568911</v>
      </c>
      <c r="E8" s="433">
        <v>213.45093715545755</v>
      </c>
      <c r="F8" s="433">
        <v>119.51488423373759</v>
      </c>
      <c r="G8" s="433">
        <v>132.52480705622932</v>
      </c>
      <c r="H8" s="433">
        <v>177.50826901874311</v>
      </c>
      <c r="I8" s="433">
        <v>151.9</v>
      </c>
      <c r="J8" s="433">
        <v>170.9</v>
      </c>
      <c r="K8" s="433">
        <v>145.1</v>
      </c>
      <c r="L8" s="433">
        <v>189.4</v>
      </c>
      <c r="M8" s="433">
        <v>385.8</v>
      </c>
      <c r="N8" s="433">
        <v>214.3</v>
      </c>
      <c r="O8" s="433">
        <v>276.89999999999998</v>
      </c>
      <c r="P8" s="433">
        <v>300.89999999999998</v>
      </c>
      <c r="Q8" s="426">
        <v>362.7</v>
      </c>
      <c r="R8" s="426">
        <v>537</v>
      </c>
      <c r="S8" s="426">
        <v>501.6</v>
      </c>
      <c r="T8" s="426">
        <v>393</v>
      </c>
      <c r="U8" s="426">
        <v>390</v>
      </c>
      <c r="V8" s="426">
        <f>'[34]Monthly Prices'!AX672*1000</f>
        <v>294.09630799999996</v>
      </c>
      <c r="W8" s="426">
        <f>'[35]Monthly Prices'!AX684*1000</f>
        <v>375.00586200000004</v>
      </c>
      <c r="X8" s="426">
        <v>362.9</v>
      </c>
      <c r="Y8" s="426">
        <f>'[32]Cours-alim-pres'!D46</f>
        <v>272.27056999999996</v>
      </c>
      <c r="Z8" s="426">
        <v>282.41182199999997</v>
      </c>
      <c r="AA8" s="426">
        <v>225.1</v>
      </c>
      <c r="AB8" s="426">
        <v>356.3</v>
      </c>
      <c r="AC8" s="426">
        <v>433.4</v>
      </c>
      <c r="AD8" s="426">
        <v>532.20000000000005</v>
      </c>
      <c r="AE8" s="431" t="s">
        <v>247</v>
      </c>
    </row>
    <row r="9" spans="1:31" ht="26.4">
      <c r="A9" s="272" t="s">
        <v>171</v>
      </c>
      <c r="B9" s="433">
        <v>298.12568908489521</v>
      </c>
      <c r="C9" s="433">
        <v>250.71664829106942</v>
      </c>
      <c r="D9" s="433">
        <v>245.42447629547962</v>
      </c>
      <c r="E9" s="433">
        <v>203.52811466372657</v>
      </c>
      <c r="F9" s="433">
        <v>126.79162072767366</v>
      </c>
      <c r="G9" s="433">
        <v>149.50385887541344</v>
      </c>
      <c r="H9" s="433">
        <v>197.57442116868799</v>
      </c>
      <c r="I9" s="433">
        <v>134</v>
      </c>
      <c r="J9" s="433">
        <v>158.1</v>
      </c>
      <c r="K9" s="433">
        <v>139.80000000000001</v>
      </c>
      <c r="L9" s="433">
        <v>189.4</v>
      </c>
      <c r="M9" s="433">
        <v>370.8</v>
      </c>
      <c r="N9" s="433">
        <v>207.9</v>
      </c>
      <c r="O9" s="433">
        <v>266.10000000000002</v>
      </c>
      <c r="P9" s="433">
        <v>353.6</v>
      </c>
      <c r="Q9" s="426">
        <v>335.1</v>
      </c>
      <c r="R9" s="426">
        <v>483.9</v>
      </c>
      <c r="S9" s="426">
        <v>458.8</v>
      </c>
      <c r="T9" s="426">
        <v>389</v>
      </c>
      <c r="U9" s="426">
        <v>400</v>
      </c>
      <c r="V9" s="426">
        <f>'[34]Monthly Prices'!AX673*1000</f>
        <v>274.695652</v>
      </c>
      <c r="W9" s="426">
        <f>'[35]Monthly Prices'!AX685*1000</f>
        <v>428.79858999999999</v>
      </c>
      <c r="X9" s="426">
        <v>354.1</v>
      </c>
      <c r="Y9" s="426">
        <f>'[32]Cours-alim-pres'!D47</f>
        <v>275.57749999999999</v>
      </c>
      <c r="Z9" s="426">
        <v>273.37288000000001</v>
      </c>
      <c r="AA9" s="426">
        <v>241.6</v>
      </c>
      <c r="AB9" s="426">
        <v>380.5</v>
      </c>
      <c r="AC9" s="426">
        <v>428.8</v>
      </c>
      <c r="AD9" s="426">
        <v>560</v>
      </c>
      <c r="AE9" s="431" t="s">
        <v>172</v>
      </c>
    </row>
    <row r="10" spans="1:31" ht="26.4">
      <c r="A10" s="272" t="s">
        <v>173</v>
      </c>
      <c r="B10" s="433">
        <v>309.15104740904076</v>
      </c>
      <c r="C10" s="433">
        <v>268.35722160970232</v>
      </c>
      <c r="D10" s="433">
        <v>252.0396912899669</v>
      </c>
      <c r="E10" s="433">
        <v>178.61080485115764</v>
      </c>
      <c r="F10" s="433">
        <v>133.18632855567805</v>
      </c>
      <c r="G10" s="433">
        <v>183.6824696802646</v>
      </c>
      <c r="H10" s="433">
        <v>192.72326350606394</v>
      </c>
      <c r="I10" s="433">
        <v>126.8</v>
      </c>
      <c r="J10" s="433">
        <v>148.4</v>
      </c>
      <c r="K10" s="433">
        <v>152.80000000000001</v>
      </c>
      <c r="L10" s="433">
        <v>199.5</v>
      </c>
      <c r="M10" s="433">
        <v>339.5</v>
      </c>
      <c r="N10" s="433">
        <v>204.8</v>
      </c>
      <c r="O10" s="433">
        <v>267.39999999999998</v>
      </c>
      <c r="P10" s="433">
        <v>362.2</v>
      </c>
      <c r="Q10" s="426">
        <v>350.1</v>
      </c>
      <c r="R10" s="426">
        <v>555.79999999999995</v>
      </c>
      <c r="S10" s="426">
        <v>451.3</v>
      </c>
      <c r="T10" s="426">
        <v>377</v>
      </c>
      <c r="U10" s="426">
        <v>400</v>
      </c>
      <c r="V10" s="426">
        <f>'[34]Monthly Prices'!AX674*1000</f>
        <v>282.85274599999997</v>
      </c>
      <c r="W10" s="426">
        <f>'[35]Monthly Prices'!AX686*1000</f>
        <v>432.10552000000001</v>
      </c>
      <c r="X10" s="426">
        <v>306.39999999999998</v>
      </c>
      <c r="Y10" s="426">
        <f>'[32]Cours-alim-pres'!D48</f>
        <v>258.38146399999999</v>
      </c>
      <c r="Z10" s="426">
        <v>284.836904</v>
      </c>
      <c r="AA10" s="426">
        <v>266.8</v>
      </c>
      <c r="AB10" s="426">
        <v>383.8</v>
      </c>
      <c r="AC10" s="426">
        <v>417.8</v>
      </c>
      <c r="AD10" s="426">
        <v>542.1</v>
      </c>
      <c r="AE10" s="431" t="s">
        <v>248</v>
      </c>
    </row>
    <row r="11" spans="1:31" ht="26.4">
      <c r="A11" s="272" t="s">
        <v>175</v>
      </c>
      <c r="B11" s="433">
        <v>299.66923925027561</v>
      </c>
      <c r="C11" s="433">
        <v>282.4696802646086</v>
      </c>
      <c r="D11" s="433">
        <v>255.12679162072766</v>
      </c>
      <c r="E11" s="433">
        <v>190.07717750826899</v>
      </c>
      <c r="F11" s="433">
        <v>118.63285556780595</v>
      </c>
      <c r="G11" s="433">
        <v>212.56890848952588</v>
      </c>
      <c r="H11" s="433">
        <v>193.8</v>
      </c>
      <c r="I11" s="433">
        <v>140.9</v>
      </c>
      <c r="J11" s="433">
        <v>150.80000000000001</v>
      </c>
      <c r="K11" s="433">
        <v>174.4</v>
      </c>
      <c r="L11" s="433">
        <v>212.5</v>
      </c>
      <c r="M11" s="433">
        <v>353.8</v>
      </c>
      <c r="N11" s="433">
        <v>224.4</v>
      </c>
      <c r="O11" s="433">
        <v>313.7</v>
      </c>
      <c r="P11" s="433">
        <v>404.5</v>
      </c>
      <c r="Q11" s="426">
        <v>348.9</v>
      </c>
      <c r="R11" s="426">
        <v>622.1</v>
      </c>
      <c r="S11" s="426">
        <v>504.4</v>
      </c>
      <c r="T11" s="426">
        <v>371</v>
      </c>
      <c r="U11" s="426">
        <v>400</v>
      </c>
      <c r="V11" s="426">
        <f>'[34]Monthly Prices'!AX675*1000</f>
        <v>253.53130000000002</v>
      </c>
      <c r="W11" s="426">
        <f>'[35]Monthly Prices'!AX687*1000</f>
        <v>443.79000600000001</v>
      </c>
      <c r="X11" s="426">
        <v>322.3</v>
      </c>
      <c r="Y11" s="426">
        <f>'[32]Cours-alim-pres'!D49</f>
        <v>244.492358</v>
      </c>
      <c r="Z11" s="426">
        <v>282.85274599999997</v>
      </c>
      <c r="AA11" s="426">
        <v>270.7</v>
      </c>
      <c r="AB11" s="426">
        <v>390.2</v>
      </c>
      <c r="AC11" s="426">
        <v>402.8</v>
      </c>
      <c r="AD11" s="426">
        <v>521.20000000000005</v>
      </c>
      <c r="AE11" s="431" t="s">
        <v>249</v>
      </c>
    </row>
    <row r="12" spans="1:31" ht="26.4">
      <c r="A12" s="272" t="s">
        <v>177</v>
      </c>
      <c r="B12" s="433">
        <v>286.21830209481806</v>
      </c>
      <c r="C12" s="433">
        <v>272.7673649393605</v>
      </c>
      <c r="D12" s="433">
        <v>257.9933847850055</v>
      </c>
      <c r="E12" s="433">
        <v>186.99007717750825</v>
      </c>
      <c r="F12" s="433">
        <v>126.13009922822491</v>
      </c>
      <c r="G12" s="433">
        <v>233.73759647188533</v>
      </c>
      <c r="H12" s="433">
        <v>178.8</v>
      </c>
      <c r="I12" s="433">
        <v>138.69999999999999</v>
      </c>
      <c r="J12" s="433">
        <v>150.6</v>
      </c>
      <c r="K12" s="433">
        <v>167</v>
      </c>
      <c r="L12" s="433">
        <v>218.9</v>
      </c>
      <c r="M12" s="433">
        <v>298</v>
      </c>
      <c r="N12" s="433">
        <v>216.3</v>
      </c>
      <c r="O12" s="433">
        <v>322.10000000000002</v>
      </c>
      <c r="P12" s="433">
        <v>494.7</v>
      </c>
      <c r="Q12" s="426">
        <v>407.1</v>
      </c>
      <c r="R12" s="426">
        <v>611.79999999999995</v>
      </c>
      <c r="S12" s="426">
        <v>460.3</v>
      </c>
      <c r="T12" s="426">
        <v>375</v>
      </c>
      <c r="U12" s="426">
        <v>380</v>
      </c>
      <c r="V12" s="426">
        <f>'[34]Monthly Prices'!AX676*1000</f>
        <v>261.46793200000002</v>
      </c>
      <c r="W12" s="426">
        <f>'[35]Monthly Prices'!AX688*1000</f>
        <v>474.65468599999997</v>
      </c>
      <c r="X12" s="426">
        <v>316.8</v>
      </c>
      <c r="Y12" s="426">
        <f>'[32]Cours-alim-pres'!D50</f>
        <v>250.66529399999999</v>
      </c>
      <c r="Z12" s="426">
        <v>271.60918400000003</v>
      </c>
      <c r="AA12" s="426">
        <v>288.8</v>
      </c>
      <c r="AB12" s="426">
        <v>429.5</v>
      </c>
      <c r="AC12" s="426">
        <v>393.5</v>
      </c>
      <c r="AD12" s="426">
        <v>528</v>
      </c>
      <c r="AE12" s="431" t="s">
        <v>250</v>
      </c>
    </row>
    <row r="13" spans="1:31" ht="26.4">
      <c r="A13" s="272" t="s">
        <v>179</v>
      </c>
      <c r="B13" s="433">
        <v>257.77287761852256</v>
      </c>
      <c r="C13" s="433">
        <v>262.84454244762958</v>
      </c>
      <c r="D13" s="433">
        <v>249.83461962513783</v>
      </c>
      <c r="E13" s="433">
        <v>159.42668136714445</v>
      </c>
      <c r="F13" s="433">
        <v>147.07828004410143</v>
      </c>
      <c r="G13" s="433">
        <v>217.42006615214993</v>
      </c>
      <c r="H13" s="433">
        <v>166.2</v>
      </c>
      <c r="I13" s="433">
        <v>153.4</v>
      </c>
      <c r="J13" s="433">
        <v>131.80000000000001</v>
      </c>
      <c r="K13" s="433">
        <v>169.5</v>
      </c>
      <c r="L13" s="433">
        <v>227.3</v>
      </c>
      <c r="M13" s="433">
        <v>266.3</v>
      </c>
      <c r="N13" s="433">
        <v>215.2</v>
      </c>
      <c r="O13" s="433">
        <v>298.3</v>
      </c>
      <c r="P13" s="433">
        <v>508.4</v>
      </c>
      <c r="Q13" s="426">
        <v>496.3</v>
      </c>
      <c r="R13" s="426">
        <v>587.79999999999995</v>
      </c>
      <c r="S13" s="426">
        <v>440.7</v>
      </c>
      <c r="T13" s="426">
        <v>384</v>
      </c>
      <c r="U13" s="426">
        <v>350</v>
      </c>
      <c r="V13" s="426">
        <f>'[34]Monthly Prices'!AX677*1000</f>
        <v>306.66264200000001</v>
      </c>
      <c r="W13" s="426">
        <f>'[35]Monthly Prices'!AX689*1000</f>
        <v>489.86656399999998</v>
      </c>
      <c r="X13" s="426">
        <v>317.2</v>
      </c>
      <c r="Y13" s="426">
        <f>'[32]Cours-alim-pres'!D51</f>
        <v>292.77353599999998</v>
      </c>
      <c r="Z13" s="426">
        <v>261.90885600000001</v>
      </c>
      <c r="AA13" s="426">
        <v>281.3</v>
      </c>
      <c r="AB13" s="426">
        <v>431.7</v>
      </c>
      <c r="AC13" s="426">
        <v>390.7</v>
      </c>
      <c r="AD13" s="426">
        <v>579.6</v>
      </c>
      <c r="AE13" s="431" t="s">
        <v>180</v>
      </c>
    </row>
    <row r="14" spans="1:31" ht="26.4">
      <c r="A14" s="272" t="s">
        <v>181</v>
      </c>
      <c r="B14" s="433">
        <v>261.08048511576624</v>
      </c>
      <c r="C14" s="433">
        <v>245.20396912899668</v>
      </c>
      <c r="D14" s="433">
        <v>250.93715545755236</v>
      </c>
      <c r="E14" s="433">
        <v>164.49834619625136</v>
      </c>
      <c r="F14" s="433">
        <v>148.84233737596472</v>
      </c>
      <c r="G14" s="433">
        <v>229.54796030871003</v>
      </c>
      <c r="H14" s="433">
        <v>149.69999999999999</v>
      </c>
      <c r="I14" s="433">
        <v>165.6</v>
      </c>
      <c r="J14" s="433">
        <v>132.1</v>
      </c>
      <c r="K14" s="433">
        <v>186.3</v>
      </c>
      <c r="L14" s="433">
        <v>245.2</v>
      </c>
      <c r="M14" s="433">
        <v>256.60000000000002</v>
      </c>
      <c r="N14" s="433">
        <v>220.5</v>
      </c>
      <c r="O14" s="433">
        <v>262.3</v>
      </c>
      <c r="P14" s="433">
        <v>499.1</v>
      </c>
      <c r="Q14" s="426">
        <v>542.6</v>
      </c>
      <c r="R14" s="426">
        <v>561.1</v>
      </c>
      <c r="S14" s="426">
        <v>447.8</v>
      </c>
      <c r="T14" s="426">
        <v>411</v>
      </c>
      <c r="U14" s="426">
        <v>370</v>
      </c>
      <c r="V14" s="426">
        <f>'[34]Monthly Prices'!AX678*1000</f>
        <v>320.77221000000003</v>
      </c>
      <c r="W14" s="426">
        <f>'[35]Monthly Prices'!AX690*1000</f>
        <v>446.21508799999998</v>
      </c>
      <c r="X14" s="426">
        <v>316.10000000000002</v>
      </c>
      <c r="Y14" s="426">
        <f>'[32]Cours-alim-pres'!D52</f>
        <v>284.39598000000001</v>
      </c>
      <c r="Z14" s="426">
        <v>277.12073399999997</v>
      </c>
      <c r="AA14" s="426">
        <v>302.7</v>
      </c>
      <c r="AB14" s="426">
        <v>424.2</v>
      </c>
      <c r="AC14" s="426">
        <v>386.9</v>
      </c>
      <c r="AD14" s="426">
        <v>567</v>
      </c>
      <c r="AE14" s="431" t="s">
        <v>182</v>
      </c>
    </row>
    <row r="15" spans="1:31" ht="26.4">
      <c r="A15" s="272" t="s">
        <v>183</v>
      </c>
      <c r="B15" s="433">
        <v>263.94707828004408</v>
      </c>
      <c r="C15" s="433">
        <v>239.47078280044099</v>
      </c>
      <c r="D15" s="433">
        <v>264.8291069459757</v>
      </c>
      <c r="E15" s="433">
        <v>177.72877618522602</v>
      </c>
      <c r="F15" s="433">
        <v>143.55016538037486</v>
      </c>
      <c r="G15" s="433">
        <v>209.70231532524807</v>
      </c>
      <c r="H15" s="433">
        <v>169.5</v>
      </c>
      <c r="I15" s="433">
        <v>172.6</v>
      </c>
      <c r="J15" s="433">
        <v>134</v>
      </c>
      <c r="K15" s="433">
        <v>179.9</v>
      </c>
      <c r="L15" s="433">
        <v>250.9</v>
      </c>
      <c r="M15" s="433">
        <v>259.7</v>
      </c>
      <c r="N15" s="433">
        <v>222.7</v>
      </c>
      <c r="O15" s="433">
        <v>267</v>
      </c>
      <c r="P15" s="433">
        <v>490.7</v>
      </c>
      <c r="Q15" s="426">
        <v>580.9</v>
      </c>
      <c r="R15" s="426">
        <v>529.5</v>
      </c>
      <c r="S15" s="426">
        <v>426.4</v>
      </c>
      <c r="T15" s="426">
        <v>390</v>
      </c>
      <c r="U15" s="426">
        <v>360</v>
      </c>
      <c r="V15" s="426">
        <f>'[34]Monthly Prices'!AX679*1000</f>
        <v>322.75636800000001</v>
      </c>
      <c r="W15" s="426">
        <f>'[35]Monthly Prices'!AX691*1000</f>
        <v>407.63423799999998</v>
      </c>
      <c r="X15" s="426">
        <v>330.5</v>
      </c>
      <c r="Y15" s="426">
        <f>'[32]Cours-alim-pres'!D53</f>
        <v>278.88443000000001</v>
      </c>
      <c r="Z15" s="426">
        <v>282.19135999999997</v>
      </c>
      <c r="AA15" s="426">
        <v>311.5</v>
      </c>
      <c r="AB15" s="426">
        <v>428.1</v>
      </c>
      <c r="AC15" s="426">
        <v>407.4</v>
      </c>
      <c r="AD15" s="426">
        <v>575</v>
      </c>
      <c r="AE15" s="431" t="s">
        <v>184</v>
      </c>
    </row>
    <row r="16" spans="1:31" ht="26.4">
      <c r="A16" s="272" t="s">
        <v>185</v>
      </c>
      <c r="B16" s="433">
        <v>271.44432194046311</v>
      </c>
      <c r="C16" s="433">
        <v>233.73759647188533</v>
      </c>
      <c r="D16" s="433">
        <v>271.88533627342889</v>
      </c>
      <c r="E16" s="433">
        <v>178.16979051819183</v>
      </c>
      <c r="F16" s="433">
        <v>131.8632855567806</v>
      </c>
      <c r="G16" s="433">
        <v>214.33296582138919</v>
      </c>
      <c r="H16" s="433">
        <v>172.7</v>
      </c>
      <c r="I16" s="433">
        <v>175.3</v>
      </c>
      <c r="J16" s="433">
        <v>138.4</v>
      </c>
      <c r="K16" s="433">
        <v>181.9</v>
      </c>
      <c r="L16" s="433">
        <v>293.39999999999998</v>
      </c>
      <c r="M16" s="433">
        <v>255.1</v>
      </c>
      <c r="N16" s="433">
        <v>235.2</v>
      </c>
      <c r="O16" s="433">
        <v>259</v>
      </c>
      <c r="P16" s="433">
        <v>518.70000000000005</v>
      </c>
      <c r="Q16" s="426">
        <v>616.9</v>
      </c>
      <c r="R16" s="426">
        <v>507.9</v>
      </c>
      <c r="S16" s="426">
        <v>425.7</v>
      </c>
      <c r="T16" s="426">
        <v>360</v>
      </c>
      <c r="U16" s="426">
        <v>340</v>
      </c>
      <c r="V16" s="426">
        <f>'[34]Monthly Prices'!AX680*1000</f>
        <v>0</v>
      </c>
      <c r="W16" s="426">
        <f>'[35]Monthly Prices'!AX692*1000</f>
        <v>0</v>
      </c>
      <c r="X16" s="426">
        <v>317</v>
      </c>
      <c r="Y16" s="426">
        <f>'[32]Cours-alim-pres'!D54</f>
        <v>0</v>
      </c>
      <c r="Z16" s="426">
        <v>295.63954200000001</v>
      </c>
      <c r="AA16" s="426">
        <v>310.39999999999998</v>
      </c>
      <c r="AB16" s="426">
        <v>415.4</v>
      </c>
      <c r="AC16" s="426">
        <v>417.3</v>
      </c>
      <c r="AD16" s="426">
        <v>478.2</v>
      </c>
      <c r="AE16" s="431" t="s">
        <v>186</v>
      </c>
    </row>
    <row r="17" spans="1:31" ht="26.4">
      <c r="A17" s="274" t="s">
        <v>251</v>
      </c>
      <c r="B17" s="427">
        <v>292.77839029768467</v>
      </c>
      <c r="C17" s="427">
        <v>263.59794193311279</v>
      </c>
      <c r="D17" s="427">
        <v>251.414920984932</v>
      </c>
      <c r="E17" s="427">
        <v>196.6372657111356</v>
      </c>
      <c r="F17" s="427">
        <v>138.14773980154351</v>
      </c>
      <c r="G17" s="427">
        <v>178.15141492098493</v>
      </c>
      <c r="H17" s="427">
        <v>184.82588202866592</v>
      </c>
      <c r="I17" s="427">
        <v>151.82499999999999</v>
      </c>
      <c r="J17" s="427">
        <v>156.30833333333331</v>
      </c>
      <c r="K17" s="427">
        <v>157.99166666666665</v>
      </c>
      <c r="L17" s="427">
        <v>218</v>
      </c>
      <c r="M17" s="427">
        <v>325.88333333333333</v>
      </c>
      <c r="N17" s="427">
        <v>222.1583333333333</v>
      </c>
      <c r="O17" s="427">
        <v>282.12500000000006</v>
      </c>
      <c r="P17" s="427">
        <v>399.86666666666662</v>
      </c>
      <c r="Q17" s="427">
        <v>466.2833333333333</v>
      </c>
      <c r="R17" s="427">
        <f t="shared" ref="R17:AA17" si="0">AVERAGE(R5:R16)</f>
        <v>573.1583333333333</v>
      </c>
      <c r="S17" s="427">
        <f t="shared" si="0"/>
        <v>474.95833333333331</v>
      </c>
      <c r="T17" s="427">
        <f t="shared" si="0"/>
        <v>389.75833333333338</v>
      </c>
      <c r="U17" s="427">
        <f t="shared" si="0"/>
        <v>374.16666666666669</v>
      </c>
      <c r="V17" s="427">
        <f t="shared" si="0"/>
        <v>268.08179200000001</v>
      </c>
      <c r="W17" s="427">
        <f t="shared" si="0"/>
        <v>372.25008699999995</v>
      </c>
      <c r="X17" s="427">
        <f t="shared" si="0"/>
        <v>353.11666666666662</v>
      </c>
      <c r="Y17" s="427">
        <f t="shared" si="0"/>
        <v>249.7283305</v>
      </c>
      <c r="Z17" s="427">
        <f t="shared" si="0"/>
        <v>280.02348366666666</v>
      </c>
      <c r="AA17" s="427">
        <f t="shared" si="0"/>
        <v>283.125</v>
      </c>
      <c r="AB17" s="427">
        <v>389.6</v>
      </c>
      <c r="AC17" s="427">
        <v>407.8</v>
      </c>
      <c r="AD17" s="427">
        <v>516.5</v>
      </c>
      <c r="AE17" s="432" t="s">
        <v>252</v>
      </c>
    </row>
    <row r="18" spans="1:31" ht="27.6" thickBo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424"/>
      <c r="AE18" s="279"/>
    </row>
    <row r="19" spans="1:31" ht="26.4">
      <c r="A19" s="21" t="s">
        <v>604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22" t="s">
        <v>605</v>
      </c>
    </row>
    <row r="20" spans="1:31" ht="26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5"/>
    </row>
    <row r="21" spans="1:31" ht="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0"/>
    </row>
    <row r="22" spans="1:31" ht="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7" t="s">
        <v>1586</v>
      </c>
    </row>
    <row r="23" spans="1:31" ht="27.6" thickBot="1">
      <c r="A23" s="19" t="s">
        <v>1587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20"/>
    </row>
    <row r="24" spans="1:31" ht="30">
      <c r="A24" s="307" t="s">
        <v>599</v>
      </c>
      <c r="B24" s="307">
        <v>1995</v>
      </c>
      <c r="C24" s="307">
        <v>1996</v>
      </c>
      <c r="D24" s="307">
        <v>1997</v>
      </c>
      <c r="E24" s="307">
        <v>1998</v>
      </c>
      <c r="F24" s="307">
        <v>1999</v>
      </c>
      <c r="G24" s="307">
        <v>2000</v>
      </c>
      <c r="H24" s="307">
        <v>2001</v>
      </c>
      <c r="I24" s="307">
        <v>2002</v>
      </c>
      <c r="J24" s="307">
        <v>2003</v>
      </c>
      <c r="K24" s="307">
        <v>2004</v>
      </c>
      <c r="L24" s="307">
        <v>2005</v>
      </c>
      <c r="M24" s="307">
        <v>2006</v>
      </c>
      <c r="N24" s="307">
        <v>2007</v>
      </c>
      <c r="O24" s="307">
        <v>2008</v>
      </c>
      <c r="P24" s="307">
        <v>2009</v>
      </c>
      <c r="Q24" s="307">
        <v>2010</v>
      </c>
      <c r="R24" s="307">
        <v>2011</v>
      </c>
      <c r="S24" s="307">
        <v>2012</v>
      </c>
      <c r="T24" s="307">
        <v>2013</v>
      </c>
      <c r="U24" s="307">
        <v>2014</v>
      </c>
      <c r="V24" s="307">
        <v>2015</v>
      </c>
      <c r="W24" s="307">
        <v>2016</v>
      </c>
      <c r="X24" s="307">
        <v>2017</v>
      </c>
      <c r="Y24" s="307">
        <v>2018</v>
      </c>
      <c r="Z24" s="307">
        <v>2019</v>
      </c>
      <c r="AA24" s="307">
        <v>2020</v>
      </c>
      <c r="AB24" s="307">
        <v>2021</v>
      </c>
      <c r="AC24" s="307">
        <v>2022</v>
      </c>
      <c r="AD24" s="307">
        <v>2023</v>
      </c>
      <c r="AE24" s="307" t="s">
        <v>603</v>
      </c>
    </row>
    <row r="25" spans="1:31" ht="27">
      <c r="A25" s="272" t="s">
        <v>163</v>
      </c>
      <c r="B25" s="434">
        <v>220.88884137438541</v>
      </c>
      <c r="C25" s="434">
        <v>294.30535989422401</v>
      </c>
      <c r="D25" s="434">
        <v>265.84934496405401</v>
      </c>
      <c r="E25" s="434">
        <v>228.8175447124629</v>
      </c>
      <c r="F25" s="434">
        <v>235.18701435573658</v>
      </c>
      <c r="G25" s="434">
        <v>176.2154212048751</v>
      </c>
      <c r="H25" s="434">
        <v>131.90988223219051</v>
      </c>
      <c r="I25" s="434">
        <v>142.5</v>
      </c>
      <c r="J25" s="434">
        <v>152</v>
      </c>
      <c r="K25" s="434">
        <v>171</v>
      </c>
      <c r="L25" s="434">
        <v>226.2</v>
      </c>
      <c r="M25" s="434">
        <v>211</v>
      </c>
      <c r="N25" s="434">
        <v>229.4</v>
      </c>
      <c r="O25" s="434">
        <v>513.81182742620206</v>
      </c>
      <c r="P25" s="434">
        <v>340.15330669493602</v>
      </c>
      <c r="Q25" s="287">
        <v>198.78</v>
      </c>
      <c r="R25" s="287">
        <v>320.39999999999998</v>
      </c>
      <c r="S25" s="287">
        <v>253.9</v>
      </c>
      <c r="T25" s="287">
        <v>309.01</v>
      </c>
      <c r="U25" s="287">
        <v>246.5</v>
      </c>
      <c r="V25" s="287">
        <v>231.47042353200001</v>
      </c>
      <c r="W25" s="287">
        <f>'[35]Monthly Prices'!AM681</f>
        <v>188.43256286100001</v>
      </c>
      <c r="X25" s="287">
        <v>173.6</v>
      </c>
      <c r="Y25" s="287">
        <f>'[32]Cours-alim-pres'!B43</f>
        <v>190.56002135400001</v>
      </c>
      <c r="Z25" s="287">
        <v>220.15704753899999</v>
      </c>
      <c r="AA25" s="287">
        <f>'[33]Cours matières premières alimen'!$B$15</f>
        <v>248</v>
      </c>
      <c r="AB25" s="287">
        <v>276.39999999999998</v>
      </c>
      <c r="AC25" s="287">
        <v>325.2</v>
      </c>
      <c r="AD25" s="287"/>
      <c r="AE25" s="285" t="s">
        <v>244</v>
      </c>
    </row>
    <row r="26" spans="1:31" ht="27">
      <c r="A26" s="272" t="s">
        <v>165</v>
      </c>
      <c r="B26" s="434">
        <v>221.21628045029422</v>
      </c>
      <c r="C26" s="434">
        <v>290.40727565721443</v>
      </c>
      <c r="D26" s="434">
        <v>265.84934496405401</v>
      </c>
      <c r="E26" s="434">
        <v>231.55399984684365</v>
      </c>
      <c r="F26" s="434">
        <v>218.292717272537</v>
      </c>
      <c r="G26" s="434">
        <v>173.01150445569556</v>
      </c>
      <c r="H26" s="434">
        <v>132.38908638062387</v>
      </c>
      <c r="I26" s="434">
        <v>143.69999999999999</v>
      </c>
      <c r="J26" s="434">
        <v>150.30000000000001</v>
      </c>
      <c r="K26" s="434">
        <v>181.8</v>
      </c>
      <c r="L26" s="434">
        <v>231.8</v>
      </c>
      <c r="M26" s="434">
        <v>213.3</v>
      </c>
      <c r="N26" s="434">
        <v>233.4</v>
      </c>
      <c r="O26" s="434">
        <v>732.41649901410278</v>
      </c>
      <c r="P26" s="434">
        <v>318.4782434103796</v>
      </c>
      <c r="Q26" s="287">
        <v>191.8</v>
      </c>
      <c r="R26" s="287">
        <v>338.78</v>
      </c>
      <c r="S26" s="287">
        <v>263.08</v>
      </c>
      <c r="T26" s="287">
        <v>297.99</v>
      </c>
      <c r="U26" s="287">
        <v>258.7</v>
      </c>
      <c r="V26" s="287">
        <v>219.84840071100001</v>
      </c>
      <c r="W26" s="287">
        <f>'[35]Monthly Prices'!AM682</f>
        <v>189.68919637499999</v>
      </c>
      <c r="X26" s="287">
        <v>181</v>
      </c>
      <c r="Y26" s="287">
        <f>'[32]Cours-alim-pres'!B44</f>
        <v>198.860416407</v>
      </c>
      <c r="Z26" s="287">
        <v>217.24694887499999</v>
      </c>
      <c r="AA26" s="287">
        <v>239</v>
      </c>
      <c r="AB26" s="287">
        <v>276.60000000000002</v>
      </c>
      <c r="AC26" s="287">
        <v>339.3</v>
      </c>
      <c r="AD26" s="287">
        <v>311.89999999999998</v>
      </c>
      <c r="AE26" s="285" t="s">
        <v>245</v>
      </c>
    </row>
    <row r="27" spans="1:31" ht="27">
      <c r="A27" s="272" t="s">
        <v>167</v>
      </c>
      <c r="B27" s="434">
        <v>219.07233411993894</v>
      </c>
      <c r="C27" s="434">
        <v>286.50919142020484</v>
      </c>
      <c r="D27" s="434">
        <v>265.84934496405401</v>
      </c>
      <c r="E27" s="434">
        <v>229.98696998356579</v>
      </c>
      <c r="F27" s="434">
        <v>199.73783630437134</v>
      </c>
      <c r="G27" s="434">
        <v>162.90136715828456</v>
      </c>
      <c r="H27" s="434">
        <v>126.66009350159202</v>
      </c>
      <c r="I27" s="434">
        <v>151.30000000000001</v>
      </c>
      <c r="J27" s="434">
        <v>147</v>
      </c>
      <c r="K27" s="434">
        <v>207.4</v>
      </c>
      <c r="L27" s="434">
        <v>230</v>
      </c>
      <c r="M27" s="434">
        <v>202.5</v>
      </c>
      <c r="N27" s="434">
        <v>234.4</v>
      </c>
      <c r="O27" s="434">
        <v>618.81380796982137</v>
      </c>
      <c r="P27" s="434">
        <v>306.93312033910371</v>
      </c>
      <c r="Q27" s="287">
        <v>189.96</v>
      </c>
      <c r="R27" s="287">
        <v>303.14</v>
      </c>
      <c r="S27" s="287">
        <v>259.77999999999997</v>
      </c>
      <c r="T27" s="287">
        <v>285.87</v>
      </c>
      <c r="U27" s="287">
        <v>286.89999999999998</v>
      </c>
      <c r="V27" s="287">
        <v>218.797531749</v>
      </c>
      <c r="W27" s="287">
        <f>'[35]Monthly Prices'!AM683</f>
        <v>192.76096718700001</v>
      </c>
      <c r="X27" s="287">
        <v>176.5</v>
      </c>
      <c r="Y27" s="287">
        <f>'[32]Cours-alim-pres'!B45</f>
        <v>198.79427780099999</v>
      </c>
      <c r="Z27" s="287">
        <v>200.388953079</v>
      </c>
      <c r="AA27" s="287">
        <v>228.1</v>
      </c>
      <c r="AB27" s="287">
        <v>272.60000000000002</v>
      </c>
      <c r="AC27" s="287">
        <v>446.7</v>
      </c>
      <c r="AD27" s="287">
        <v>284.7</v>
      </c>
      <c r="AE27" s="285" t="s">
        <v>246</v>
      </c>
    </row>
    <row r="28" spans="1:31" ht="27">
      <c r="A28" s="272" t="s">
        <v>169</v>
      </c>
      <c r="B28" s="434">
        <v>222.19080150954662</v>
      </c>
      <c r="C28" s="434">
        <v>275.46202069251967</v>
      </c>
      <c r="D28" s="434">
        <v>239.98165796725837</v>
      </c>
      <c r="E28" s="434">
        <v>242.46083954199648</v>
      </c>
      <c r="F28" s="434">
        <v>183.59976756315166</v>
      </c>
      <c r="G28" s="434">
        <v>154.49998546043597</v>
      </c>
      <c r="H28" s="434">
        <v>122.45568776896128</v>
      </c>
      <c r="I28" s="434">
        <v>148.4</v>
      </c>
      <c r="J28" s="434">
        <v>141.4</v>
      </c>
      <c r="K28" s="434">
        <v>215</v>
      </c>
      <c r="L28" s="434">
        <v>225.5</v>
      </c>
      <c r="M28" s="434">
        <v>204.7</v>
      </c>
      <c r="N28" s="434">
        <v>236.5</v>
      </c>
      <c r="O28" s="434">
        <v>537.1324254983225</v>
      </c>
      <c r="P28" s="434">
        <v>315.17156862745099</v>
      </c>
      <c r="Q28" s="287">
        <v>187.76</v>
      </c>
      <c r="R28" s="287">
        <v>314.89</v>
      </c>
      <c r="S28" s="287">
        <v>254.63</v>
      </c>
      <c r="T28" s="287">
        <v>278.14999999999998</v>
      </c>
      <c r="U28" s="287">
        <v>277.10000000000002</v>
      </c>
      <c r="V28" s="287">
        <v>209.69979905700001</v>
      </c>
      <c r="W28" s="287">
        <f>'[35]Monthly Prices'!AM684</f>
        <v>189.850868523</v>
      </c>
      <c r="X28" s="287">
        <v>172.2</v>
      </c>
      <c r="Y28" s="287">
        <f>'[32]Cours-alim-pres'!B46</f>
        <v>209.94965601300001</v>
      </c>
      <c r="Z28" s="287">
        <v>197.331879735</v>
      </c>
      <c r="AA28" s="287">
        <v>221.7</v>
      </c>
      <c r="AB28" s="287">
        <v>281.39999999999998</v>
      </c>
      <c r="AC28" s="287">
        <v>427.3</v>
      </c>
      <c r="AD28" s="287">
        <v>277.2</v>
      </c>
      <c r="AE28" s="285" t="s">
        <v>247</v>
      </c>
    </row>
    <row r="29" spans="1:31" ht="27">
      <c r="A29" s="272" t="s">
        <v>171</v>
      </c>
      <c r="B29" s="434">
        <v>222.19080150954662</v>
      </c>
      <c r="C29" s="434">
        <v>271.82121001515276</v>
      </c>
      <c r="D29" s="434">
        <v>245.97691152377914</v>
      </c>
      <c r="E29" s="434">
        <v>248.30796589751085</v>
      </c>
      <c r="F29" s="434">
        <v>190.42141497791843</v>
      </c>
      <c r="G29" s="434">
        <v>141.52768253375788</v>
      </c>
      <c r="H29" s="434">
        <v>124.08742302856002</v>
      </c>
      <c r="I29" s="434">
        <v>148</v>
      </c>
      <c r="J29" s="434">
        <v>142.5</v>
      </c>
      <c r="K29" s="434">
        <v>212.8</v>
      </c>
      <c r="L29" s="434">
        <v>220.4</v>
      </c>
      <c r="M29" s="434">
        <v>215.7</v>
      </c>
      <c r="N29" s="434">
        <v>238.6</v>
      </c>
      <c r="O29" s="434">
        <v>484.28485576923077</v>
      </c>
      <c r="P29" s="434">
        <v>334.5642540620384</v>
      </c>
      <c r="Q29" s="287">
        <v>190.33</v>
      </c>
      <c r="R29" s="287">
        <v>308.64999999999998</v>
      </c>
      <c r="S29" s="287">
        <v>251.33</v>
      </c>
      <c r="T29" s="287">
        <v>279.25</v>
      </c>
      <c r="U29" s="287">
        <v>277.2</v>
      </c>
      <c r="V29" s="287">
        <v>200.771087247</v>
      </c>
      <c r="W29" s="287">
        <f>'[35]Monthly Prices'!AM685</f>
        <v>187.01425719900001</v>
      </c>
      <c r="X29" s="287">
        <v>175</v>
      </c>
      <c r="Y29" s="287">
        <f>'[32]Cours-alim-pres'!B47</f>
        <v>206.003385855</v>
      </c>
      <c r="Z29" s="287">
        <v>200.32281447299999</v>
      </c>
      <c r="AA29" s="287">
        <v>209.9</v>
      </c>
      <c r="AB29" s="287">
        <v>271</v>
      </c>
      <c r="AC29" s="287">
        <v>438.4</v>
      </c>
      <c r="AD29" s="287">
        <v>260.5</v>
      </c>
      <c r="AE29" s="285" t="s">
        <v>172</v>
      </c>
    </row>
    <row r="30" spans="1:31" ht="27">
      <c r="A30" s="272" t="s">
        <v>173</v>
      </c>
      <c r="B30" s="434">
        <v>251.42643328711853</v>
      </c>
      <c r="C30" s="434">
        <v>276.76398082768088</v>
      </c>
      <c r="D30" s="434">
        <v>251.97216508029987</v>
      </c>
      <c r="E30" s="434">
        <v>258.05317649003484</v>
      </c>
      <c r="F30" s="434">
        <v>198.60739187563857</v>
      </c>
      <c r="G30" s="434">
        <v>140.87265955392562</v>
      </c>
      <c r="H30" s="434">
        <v>126.73143849550243</v>
      </c>
      <c r="I30" s="434">
        <v>149</v>
      </c>
      <c r="J30" s="434">
        <v>151.19999999999999</v>
      </c>
      <c r="K30" s="434">
        <v>212.5</v>
      </c>
      <c r="L30" s="434">
        <v>210.8</v>
      </c>
      <c r="M30" s="434">
        <v>216.1</v>
      </c>
      <c r="N30" s="434">
        <v>259.2</v>
      </c>
      <c r="O30" s="434">
        <v>431.75961443887093</v>
      </c>
      <c r="P30" s="434">
        <v>326.62309445474136</v>
      </c>
      <c r="Q30" s="287">
        <v>182.62</v>
      </c>
      <c r="R30" s="287">
        <v>282.19</v>
      </c>
      <c r="S30" s="287">
        <v>249.49</v>
      </c>
      <c r="T30" s="287">
        <v>268.23</v>
      </c>
      <c r="U30" s="287">
        <v>236.6</v>
      </c>
      <c r="V30" s="287">
        <v>204.98926056299999</v>
      </c>
      <c r="W30" s="287">
        <f>'[35]Monthly Prices'!AM686</f>
        <v>166.514963706</v>
      </c>
      <c r="X30" s="287">
        <v>183.4</v>
      </c>
      <c r="Y30" s="287">
        <f>'[32]Cours-alim-pres'!B48</f>
        <v>206.933000706</v>
      </c>
      <c r="Z30" s="287">
        <v>222.40943451000001</v>
      </c>
      <c r="AA30" s="287">
        <v>200.5</v>
      </c>
      <c r="AB30" s="287">
        <v>263.5</v>
      </c>
      <c r="AC30" s="287">
        <v>379.9</v>
      </c>
      <c r="AD30" s="287">
        <v>257</v>
      </c>
      <c r="AE30" s="285" t="s">
        <v>248</v>
      </c>
    </row>
    <row r="31" spans="1:31" ht="27">
      <c r="A31" s="272" t="s">
        <v>175</v>
      </c>
      <c r="B31" s="434">
        <v>266.0442491759045</v>
      </c>
      <c r="C31" s="434">
        <v>292.35631777571922</v>
      </c>
      <c r="D31" s="434">
        <v>249.47739116861374</v>
      </c>
      <c r="E31" s="434">
        <v>251.8162417108195</v>
      </c>
      <c r="F31" s="434">
        <v>199.38700872304048</v>
      </c>
      <c r="G31" s="434">
        <v>135.98846646517634</v>
      </c>
      <c r="H31" s="434">
        <v>137.19999999999999</v>
      </c>
      <c r="I31" s="434">
        <v>152.4</v>
      </c>
      <c r="J31" s="434">
        <v>150.30000000000001</v>
      </c>
      <c r="K31" s="434">
        <v>210</v>
      </c>
      <c r="L31" s="434">
        <v>207.3</v>
      </c>
      <c r="M31" s="434">
        <v>230.2</v>
      </c>
      <c r="N31" s="434">
        <v>277.7</v>
      </c>
      <c r="O31" s="434">
        <v>400.69088037899724</v>
      </c>
      <c r="P31" s="434">
        <v>288.36836480228004</v>
      </c>
      <c r="Q31" s="287">
        <v>222.28</v>
      </c>
      <c r="R31" s="287">
        <v>266.39</v>
      </c>
      <c r="S31" s="287">
        <v>322.98</v>
      </c>
      <c r="T31" s="287">
        <v>260.88</v>
      </c>
      <c r="U31" s="287">
        <v>218.3</v>
      </c>
      <c r="V31" s="287">
        <v>207.377599113</v>
      </c>
      <c r="W31" s="287">
        <f>'[35]Monthly Prices'!AM687</f>
        <v>159.280135083</v>
      </c>
      <c r="X31" s="287">
        <v>201.8</v>
      </c>
      <c r="Y31" s="287">
        <f>'[32]Cours-alim-pres'!B49</f>
        <v>217.43801595900001</v>
      </c>
      <c r="Z31" s="287">
        <v>203.96043780299999</v>
      </c>
      <c r="AA31" s="287">
        <v>212.7</v>
      </c>
      <c r="AB31" s="287">
        <v>254.7</v>
      </c>
      <c r="AC31" s="287">
        <v>316.7</v>
      </c>
      <c r="AD31" s="287">
        <v>249.9</v>
      </c>
      <c r="AE31" s="285" t="s">
        <v>249</v>
      </c>
    </row>
    <row r="32" spans="1:31" ht="27">
      <c r="A32" s="272" t="s">
        <v>177</v>
      </c>
      <c r="B32" s="434">
        <v>268.96781235366171</v>
      </c>
      <c r="C32" s="434">
        <v>281.96402519985168</v>
      </c>
      <c r="D32" s="434">
        <v>222.19080150954662</v>
      </c>
      <c r="E32" s="434">
        <v>251.8162417108195</v>
      </c>
      <c r="F32" s="434">
        <v>195.68382869788138</v>
      </c>
      <c r="G32" s="434">
        <v>133.20461880088922</v>
      </c>
      <c r="H32" s="434">
        <v>140.80000000000001</v>
      </c>
      <c r="I32" s="434">
        <v>148.30000000000001</v>
      </c>
      <c r="J32" s="434">
        <v>150</v>
      </c>
      <c r="K32" s="434">
        <v>212.4</v>
      </c>
      <c r="L32" s="434">
        <v>212.8</v>
      </c>
      <c r="M32" s="434">
        <v>208.6</v>
      </c>
      <c r="N32" s="434">
        <v>294.89999999999998</v>
      </c>
      <c r="O32" s="434">
        <v>400.84408194233686</v>
      </c>
      <c r="P32" s="434">
        <v>266.14564178006623</v>
      </c>
      <c r="Q32" s="287">
        <v>261.61</v>
      </c>
      <c r="R32" s="287">
        <v>277.62</v>
      </c>
      <c r="S32" s="287">
        <v>333.73</v>
      </c>
      <c r="T32" s="287">
        <v>252.43</v>
      </c>
      <c r="U32" s="287">
        <v>220.4</v>
      </c>
      <c r="V32" s="287">
        <v>187.86671034299999</v>
      </c>
      <c r="W32" s="287">
        <f>'[35]Monthly Prices'!AM688</f>
        <v>157.56053132700001</v>
      </c>
      <c r="X32" s="287">
        <v>172.7</v>
      </c>
      <c r="Y32" s="287">
        <f>'[32]Cours-alim-pres'!B50</f>
        <v>202.049766963</v>
      </c>
      <c r="Z32" s="287">
        <v>197.522946819</v>
      </c>
      <c r="AA32" s="287">
        <v>208.9</v>
      </c>
      <c r="AB32" s="287">
        <v>276.2</v>
      </c>
      <c r="AC32" s="287" t="s">
        <v>1042</v>
      </c>
      <c r="AD32" s="287">
        <v>230.8</v>
      </c>
      <c r="AE32" s="285" t="s">
        <v>250</v>
      </c>
    </row>
    <row r="33" spans="1:31" ht="27">
      <c r="A33" s="272" t="s">
        <v>179</v>
      </c>
      <c r="B33" s="434">
        <v>279.68754400543804</v>
      </c>
      <c r="C33" s="434">
        <v>222.36231721597505</v>
      </c>
      <c r="D33" s="434">
        <v>210.65247216799821</v>
      </c>
      <c r="E33" s="434">
        <v>251.03662486341759</v>
      </c>
      <c r="F33" s="434">
        <v>181.65072544464687</v>
      </c>
      <c r="G33" s="434">
        <v>126.83238437752101</v>
      </c>
      <c r="H33" s="434">
        <v>148.30000000000001</v>
      </c>
      <c r="I33" s="434">
        <v>148.80000000000001</v>
      </c>
      <c r="J33" s="434">
        <v>154.6</v>
      </c>
      <c r="K33" s="434">
        <v>206.3</v>
      </c>
      <c r="L33" s="434">
        <v>215.5</v>
      </c>
      <c r="M33" s="434">
        <v>207.5</v>
      </c>
      <c r="N33" s="434">
        <v>357.7</v>
      </c>
      <c r="O33" s="434">
        <v>369.05414343758855</v>
      </c>
      <c r="P33" s="434">
        <v>259.31435963777488</v>
      </c>
      <c r="Q33" s="287">
        <v>276.31</v>
      </c>
      <c r="R33" s="287">
        <v>267.49</v>
      </c>
      <c r="S33" s="287">
        <v>343.55</v>
      </c>
      <c r="T33" s="287">
        <v>259.8</v>
      </c>
      <c r="U33" s="287">
        <v>202.8</v>
      </c>
      <c r="V33" s="287">
        <v>193.973508297</v>
      </c>
      <c r="W33" s="287">
        <f>'[35]Monthly Prices'!AM689</f>
        <v>164.36913337799999</v>
      </c>
      <c r="X33" s="287">
        <v>176.9</v>
      </c>
      <c r="Y33" s="287">
        <f>'[32]Cours-alim-pres'!B51</f>
        <v>209.104551603</v>
      </c>
      <c r="Z33" s="287">
        <v>201.90646665</v>
      </c>
      <c r="AA33" s="287">
        <v>219.7</v>
      </c>
      <c r="AB33" s="287">
        <v>263.60000000000002</v>
      </c>
      <c r="AC33" s="287" t="s">
        <v>1042</v>
      </c>
      <c r="AD33" s="287">
        <v>230.6</v>
      </c>
      <c r="AE33" s="285" t="s">
        <v>180</v>
      </c>
    </row>
    <row r="34" spans="1:31" ht="27">
      <c r="A34" s="272" t="s">
        <v>181</v>
      </c>
      <c r="B34" s="434">
        <v>298.85052611457718</v>
      </c>
      <c r="C34" s="434">
        <v>244.65156288319588</v>
      </c>
      <c r="D34" s="434">
        <v>207.18317719705971</v>
      </c>
      <c r="E34" s="434">
        <v>232.52072473762203</v>
      </c>
      <c r="F34" s="434">
        <v>169.17685588621617</v>
      </c>
      <c r="G34" s="434">
        <v>133.55491139845432</v>
      </c>
      <c r="H34" s="434">
        <v>146.19999999999999</v>
      </c>
      <c r="I34" s="434">
        <v>157.30000000000001</v>
      </c>
      <c r="J34" s="434">
        <v>157</v>
      </c>
      <c r="K34" s="434">
        <v>201.3</v>
      </c>
      <c r="L34" s="434">
        <v>217.4</v>
      </c>
      <c r="M34" s="434">
        <v>227.4</v>
      </c>
      <c r="N34" s="434">
        <v>386.3</v>
      </c>
      <c r="O34" s="434">
        <v>316.43806710276431</v>
      </c>
      <c r="P34" s="434">
        <v>274.0912973332068</v>
      </c>
      <c r="Q34" s="287">
        <v>267.49</v>
      </c>
      <c r="R34" s="287">
        <v>253.53</v>
      </c>
      <c r="S34" s="287">
        <v>340.25</v>
      </c>
      <c r="T34" s="287">
        <v>287.72000000000003</v>
      </c>
      <c r="U34" s="287">
        <v>220.1</v>
      </c>
      <c r="V34" s="287">
        <v>206.337753252</v>
      </c>
      <c r="W34" s="287">
        <f>'[35]Monthly Prices'!AM690</f>
        <v>167.27555767499999</v>
      </c>
      <c r="X34" s="287">
        <v>177</v>
      </c>
      <c r="Y34" s="287">
        <f>'[32]Cours-alim-pres'!B52</f>
        <v>210.84620156099999</v>
      </c>
      <c r="Z34" s="287">
        <v>212.84873157600001</v>
      </c>
      <c r="AA34" s="287">
        <v>245.2</v>
      </c>
      <c r="AB34" s="287" t="s">
        <v>1042</v>
      </c>
      <c r="AC34" s="287" t="s">
        <v>1042</v>
      </c>
      <c r="AD34" s="287">
        <v>236.6</v>
      </c>
      <c r="AE34" s="285" t="s">
        <v>182</v>
      </c>
    </row>
    <row r="35" spans="1:31" ht="27">
      <c r="A35" s="272" t="s">
        <v>183</v>
      </c>
      <c r="B35" s="434">
        <v>304.3858057311308</v>
      </c>
      <c r="C35" s="434">
        <v>244.65156288319588</v>
      </c>
      <c r="D35" s="434">
        <v>198.6073918756386</v>
      </c>
      <c r="E35" s="434">
        <v>210.75382235816048</v>
      </c>
      <c r="F35" s="434">
        <v>177.36283278393631</v>
      </c>
      <c r="G35" s="434">
        <v>132.21743116327463</v>
      </c>
      <c r="H35" s="434">
        <v>135</v>
      </c>
      <c r="I35" s="434">
        <v>158.30000000000001</v>
      </c>
      <c r="J35" s="434">
        <v>158.4</v>
      </c>
      <c r="K35" s="434">
        <v>211.6</v>
      </c>
      <c r="L35" s="434">
        <v>209.5</v>
      </c>
      <c r="M35" s="434">
        <v>228.1</v>
      </c>
      <c r="N35" s="434">
        <v>391</v>
      </c>
      <c r="O35" s="434">
        <v>324.72242783123613</v>
      </c>
      <c r="P35" s="434">
        <v>288.37297093242728</v>
      </c>
      <c r="Q35" s="287">
        <v>278.52</v>
      </c>
      <c r="R35" s="287">
        <v>253.16</v>
      </c>
      <c r="S35" s="287">
        <v>346.49</v>
      </c>
      <c r="T35" s="287">
        <v>274.43</v>
      </c>
      <c r="U35" s="287">
        <v>236</v>
      </c>
      <c r="V35" s="287">
        <v>203.40560838600001</v>
      </c>
      <c r="W35" s="287">
        <f>'[35]Monthly Prices'!AM691</f>
        <v>161.16508535400001</v>
      </c>
      <c r="X35" s="287">
        <v>175.7</v>
      </c>
      <c r="Y35" s="287">
        <f>'[32]Cours-alim-pres'!B53</f>
        <v>217.809127026</v>
      </c>
      <c r="Z35" s="287">
        <v>223.53746517900001</v>
      </c>
      <c r="AA35" s="287">
        <v>247.9</v>
      </c>
      <c r="AB35" s="287">
        <v>334.5</v>
      </c>
      <c r="AC35" s="287" t="s">
        <v>1042</v>
      </c>
      <c r="AD35" s="287">
        <v>241</v>
      </c>
      <c r="AE35" s="285" t="s">
        <v>184</v>
      </c>
    </row>
    <row r="36" spans="1:31" ht="27">
      <c r="A36" s="272" t="s">
        <v>185</v>
      </c>
      <c r="B36" s="434">
        <v>292.35631777571922</v>
      </c>
      <c r="C36" s="434">
        <v>244.65156288319588</v>
      </c>
      <c r="D36" s="434">
        <v>205.42903929040537</v>
      </c>
      <c r="E36" s="434">
        <v>220.24175939104182</v>
      </c>
      <c r="F36" s="434">
        <v>180.09149174984302</v>
      </c>
      <c r="G36" s="434">
        <v>131.29478437002228</v>
      </c>
      <c r="H36" s="434">
        <v>134.30000000000001</v>
      </c>
      <c r="I36" s="434">
        <v>154.30000000000001</v>
      </c>
      <c r="J36" s="434">
        <v>163</v>
      </c>
      <c r="K36" s="434">
        <v>219.8</v>
      </c>
      <c r="L36" s="434">
        <v>206.8</v>
      </c>
      <c r="M36" s="434">
        <v>236.9</v>
      </c>
      <c r="N36" s="434">
        <v>473.2</v>
      </c>
      <c r="O36" s="434">
        <v>325.05510094302355</v>
      </c>
      <c r="P36" s="434">
        <v>287.23928706863865</v>
      </c>
      <c r="Q36" s="287">
        <v>308.64999999999998</v>
      </c>
      <c r="R36" s="287">
        <v>244.71</v>
      </c>
      <c r="S36" s="287">
        <v>325.18</v>
      </c>
      <c r="T36" s="287">
        <v>267.05</v>
      </c>
      <c r="U36" s="287">
        <v>261.8</v>
      </c>
      <c r="V36" s="287">
        <v>191.98200138300001</v>
      </c>
      <c r="W36" s="287">
        <f>'[35]Monthly Prices'!AM692</f>
        <v>0</v>
      </c>
      <c r="X36" s="287">
        <v>172.5</v>
      </c>
      <c r="Y36" s="287">
        <f>'[32]Cours-alim-pres'!B54</f>
        <v>0</v>
      </c>
      <c r="Z36" s="287">
        <v>237.67642939500001</v>
      </c>
      <c r="AA36" s="287">
        <v>251.2</v>
      </c>
      <c r="AB36" s="287">
        <v>327.8</v>
      </c>
      <c r="AC36" s="287" t="s">
        <v>1042</v>
      </c>
      <c r="AD36" s="287">
        <v>255</v>
      </c>
      <c r="AE36" s="285" t="s">
        <v>186</v>
      </c>
    </row>
    <row r="37" spans="1:31" ht="27">
      <c r="A37" s="274" t="s">
        <v>251</v>
      </c>
      <c r="B37" s="428">
        <v>255.60647895060512</v>
      </c>
      <c r="C37" s="428">
        <v>268.82553227901082</v>
      </c>
      <c r="D37" s="428">
        <v>235.7515868893968</v>
      </c>
      <c r="E37" s="428">
        <v>238.11382593702464</v>
      </c>
      <c r="F37" s="428">
        <v>194.09990713624316</v>
      </c>
      <c r="G37" s="428">
        <v>145.17676807852604</v>
      </c>
      <c r="H37" s="428">
        <v>133.8361342839525</v>
      </c>
      <c r="I37" s="428">
        <v>150.19166666666663</v>
      </c>
      <c r="J37" s="428">
        <v>151.47499999999999</v>
      </c>
      <c r="K37" s="428">
        <v>205.15833333333333</v>
      </c>
      <c r="L37" s="428">
        <v>217.83333333333334</v>
      </c>
      <c r="M37" s="428">
        <v>216.83333333333334</v>
      </c>
      <c r="N37" s="428">
        <v>301.02499999999998</v>
      </c>
      <c r="O37" s="428">
        <v>454.5853109793747</v>
      </c>
      <c r="P37" s="428">
        <v>300.45462576192034</v>
      </c>
      <c r="Q37" s="428">
        <f t="shared" ref="Q37:AA37" si="1">AVERAGE(Q25:Q36)</f>
        <v>229.67583333333332</v>
      </c>
      <c r="R37" s="428">
        <f t="shared" si="1"/>
        <v>285.91250000000002</v>
      </c>
      <c r="S37" s="428">
        <f t="shared" si="1"/>
        <v>295.36583333333334</v>
      </c>
      <c r="T37" s="428">
        <f t="shared" si="1"/>
        <v>276.73416666666668</v>
      </c>
      <c r="U37" s="428">
        <f t="shared" si="1"/>
        <v>245.20000000000002</v>
      </c>
      <c r="V37" s="428">
        <f t="shared" si="1"/>
        <v>206.37664030275002</v>
      </c>
      <c r="W37" s="428">
        <f t="shared" si="1"/>
        <v>160.32610488900002</v>
      </c>
      <c r="X37" s="428">
        <f t="shared" si="1"/>
        <v>178.19166666666669</v>
      </c>
      <c r="Y37" s="428">
        <f t="shared" si="1"/>
        <v>189.02903510399997</v>
      </c>
      <c r="Z37" s="428">
        <f t="shared" si="1"/>
        <v>211.27579630275</v>
      </c>
      <c r="AA37" s="428">
        <f t="shared" si="1"/>
        <v>227.73333333333335</v>
      </c>
      <c r="AB37" s="428">
        <v>281.7</v>
      </c>
      <c r="AC37" s="428">
        <v>381.9</v>
      </c>
      <c r="AD37" s="428">
        <v>257.7</v>
      </c>
      <c r="AE37" s="286" t="s">
        <v>252</v>
      </c>
    </row>
    <row r="38" spans="1:31" ht="27.6" thickBot="1">
      <c r="A38" s="276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424"/>
      <c r="AE38" s="279"/>
    </row>
    <row r="39" spans="1:31" ht="26.4">
      <c r="A39" s="21" t="s">
        <v>604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22" t="s">
        <v>605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2:AE39"/>
  <sheetViews>
    <sheetView topLeftCell="A30" zoomScale="84" workbookViewId="0">
      <selection activeCell="E24" sqref="E24"/>
    </sheetView>
  </sheetViews>
  <sheetFormatPr baseColWidth="10" defaultRowHeight="14.4"/>
  <cols>
    <col min="1" max="1" width="27.44140625" customWidth="1"/>
    <col min="2" max="5" width="17.6640625" bestFit="1" customWidth="1"/>
    <col min="6" max="8" width="17.77734375" bestFit="1" customWidth="1"/>
    <col min="9" max="16" width="17.6640625" bestFit="1" customWidth="1"/>
    <col min="17" max="27" width="16.33203125" bestFit="1" customWidth="1"/>
    <col min="31" max="31" width="32.88671875" customWidth="1"/>
  </cols>
  <sheetData>
    <row r="2" spans="1:31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/>
      <c r="W2" s="29"/>
      <c r="X2" s="29"/>
      <c r="Y2" s="29"/>
      <c r="Z2" s="29"/>
      <c r="AA2" s="29"/>
      <c r="AB2" s="29"/>
      <c r="AC2" s="29"/>
      <c r="AD2" s="29"/>
      <c r="AE2" s="27" t="s">
        <v>1581</v>
      </c>
    </row>
    <row r="3" spans="1:31" ht="27.6" thickBot="1">
      <c r="A3" s="19" t="s">
        <v>1580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0"/>
    </row>
    <row r="4" spans="1:31" ht="30">
      <c r="A4" s="307" t="s">
        <v>599</v>
      </c>
      <c r="B4" s="307">
        <v>1995</v>
      </c>
      <c r="C4" s="307">
        <v>1996</v>
      </c>
      <c r="D4" s="307">
        <v>1997</v>
      </c>
      <c r="E4" s="307">
        <v>1998</v>
      </c>
      <c r="F4" s="307">
        <v>1999</v>
      </c>
      <c r="G4" s="307">
        <v>2000</v>
      </c>
      <c r="H4" s="307">
        <v>2001</v>
      </c>
      <c r="I4" s="307">
        <v>2002</v>
      </c>
      <c r="J4" s="307">
        <v>2003</v>
      </c>
      <c r="K4" s="307">
        <v>2004</v>
      </c>
      <c r="L4" s="307">
        <v>2005</v>
      </c>
      <c r="M4" s="307">
        <v>2006</v>
      </c>
      <c r="N4" s="307">
        <v>2007</v>
      </c>
      <c r="O4" s="307">
        <v>2008</v>
      </c>
      <c r="P4" s="307">
        <v>2009</v>
      </c>
      <c r="Q4" s="307">
        <v>2010</v>
      </c>
      <c r="R4" s="307">
        <v>2011</v>
      </c>
      <c r="S4" s="307">
        <v>2012</v>
      </c>
      <c r="T4" s="307">
        <v>2013</v>
      </c>
      <c r="U4" s="307">
        <v>2014</v>
      </c>
      <c r="V4" s="307">
        <v>2015</v>
      </c>
      <c r="W4" s="307">
        <v>2016</v>
      </c>
      <c r="X4" s="307">
        <v>2017</v>
      </c>
      <c r="Y4" s="307">
        <v>2018</v>
      </c>
      <c r="Z4" s="307">
        <v>2019</v>
      </c>
      <c r="AA4" s="307">
        <v>2020</v>
      </c>
      <c r="AB4" s="307">
        <v>2021</v>
      </c>
      <c r="AC4" s="307">
        <v>2022</v>
      </c>
      <c r="AD4" s="307">
        <v>2023</v>
      </c>
      <c r="AE4" s="307" t="s">
        <v>603</v>
      </c>
    </row>
    <row r="5" spans="1:31" ht="27">
      <c r="A5" s="272" t="s">
        <v>163</v>
      </c>
      <c r="B5" s="435">
        <v>220.88884137438541</v>
      </c>
      <c r="C5" s="435">
        <v>294.30535989422401</v>
      </c>
      <c r="D5" s="435">
        <v>265.84934496405401</v>
      </c>
      <c r="E5" s="435">
        <v>228.8175447124629</v>
      </c>
      <c r="F5" s="435">
        <v>235.18701435573658</v>
      </c>
      <c r="G5" s="435">
        <v>176.2154212048751</v>
      </c>
      <c r="H5" s="435">
        <v>131.90988223219051</v>
      </c>
      <c r="I5" s="435">
        <v>142.5</v>
      </c>
      <c r="J5" s="435">
        <v>152</v>
      </c>
      <c r="K5" s="435">
        <v>171</v>
      </c>
      <c r="L5" s="435">
        <v>226.2</v>
      </c>
      <c r="M5" s="435">
        <v>211</v>
      </c>
      <c r="N5" s="435">
        <v>241.6</v>
      </c>
      <c r="O5" s="435">
        <v>354.6</v>
      </c>
      <c r="P5" s="435">
        <v>318.60000000000002</v>
      </c>
      <c r="Q5" s="436">
        <v>419.8</v>
      </c>
      <c r="R5" s="436">
        <v>405</v>
      </c>
      <c r="S5" s="436">
        <v>516.29999999999995</v>
      </c>
      <c r="T5" s="436">
        <v>530</v>
      </c>
      <c r="U5" s="436">
        <v>405</v>
      </c>
      <c r="V5" s="436">
        <v>418.55</v>
      </c>
      <c r="W5" s="436">
        <v>366.19</v>
      </c>
      <c r="X5" s="436">
        <v>355.9</v>
      </c>
      <c r="Y5" s="436">
        <f>'[32]Cours-alim-pres'!C43</f>
        <v>407.8</v>
      </c>
      <c r="Z5" s="436">
        <v>387.35</v>
      </c>
      <c r="AA5" s="436">
        <f>'[33]Cours matières premières alimen'!$C$15</f>
        <v>426</v>
      </c>
      <c r="AB5" s="436">
        <v>517.79999999999995</v>
      </c>
      <c r="AC5" s="436">
        <v>403.2</v>
      </c>
      <c r="AD5" s="436">
        <v>484.6</v>
      </c>
      <c r="AE5" s="288" t="s">
        <v>244</v>
      </c>
    </row>
    <row r="6" spans="1:31" ht="27">
      <c r="A6" s="272" t="s">
        <v>165</v>
      </c>
      <c r="B6" s="435">
        <v>221.21628045029422</v>
      </c>
      <c r="C6" s="435">
        <v>290.40727565721443</v>
      </c>
      <c r="D6" s="435">
        <v>265.84934496405401</v>
      </c>
      <c r="E6" s="435">
        <v>231.55399984684365</v>
      </c>
      <c r="F6" s="435">
        <v>218.292717272537</v>
      </c>
      <c r="G6" s="435">
        <v>173.01150445569556</v>
      </c>
      <c r="H6" s="435">
        <v>132.38908638062387</v>
      </c>
      <c r="I6" s="435">
        <v>143.69999999999999</v>
      </c>
      <c r="J6" s="435">
        <v>150.30000000000001</v>
      </c>
      <c r="K6" s="435">
        <v>181.8</v>
      </c>
      <c r="L6" s="435">
        <v>231.8</v>
      </c>
      <c r="M6" s="435">
        <v>215.3</v>
      </c>
      <c r="N6" s="435">
        <v>254.5</v>
      </c>
      <c r="O6" s="435">
        <v>432.75</v>
      </c>
      <c r="P6" s="435">
        <v>319.5</v>
      </c>
      <c r="Q6" s="436">
        <v>405</v>
      </c>
      <c r="R6" s="436">
        <v>420.5</v>
      </c>
      <c r="S6" s="436">
        <v>518.29999999999995</v>
      </c>
      <c r="T6" s="436">
        <v>535</v>
      </c>
      <c r="U6" s="436">
        <v>499.9</v>
      </c>
      <c r="V6" s="436">
        <v>417</v>
      </c>
      <c r="W6" s="436">
        <v>377.38</v>
      </c>
      <c r="X6" s="436">
        <v>348.8</v>
      </c>
      <c r="Y6" s="436">
        <f>'[32]Cours-alim-pres'!C44</f>
        <v>403.5</v>
      </c>
      <c r="Z6" s="436">
        <v>386.25</v>
      </c>
      <c r="AA6" s="436">
        <v>426.5</v>
      </c>
      <c r="AB6" s="436">
        <v>531</v>
      </c>
      <c r="AC6" s="436">
        <v>406</v>
      </c>
      <c r="AD6" s="436">
        <v>469</v>
      </c>
      <c r="AE6" s="288" t="s">
        <v>245</v>
      </c>
    </row>
    <row r="7" spans="1:31" ht="27">
      <c r="A7" s="272" t="s">
        <v>167</v>
      </c>
      <c r="B7" s="435">
        <v>219.07233411993894</v>
      </c>
      <c r="C7" s="435">
        <v>286.50919142020484</v>
      </c>
      <c r="D7" s="435">
        <v>265.84934496405401</v>
      </c>
      <c r="E7" s="435">
        <v>229.98696998356579</v>
      </c>
      <c r="F7" s="435">
        <v>199.73783630437134</v>
      </c>
      <c r="G7" s="435">
        <v>162.90136715828456</v>
      </c>
      <c r="H7" s="435">
        <v>126.66009350159202</v>
      </c>
      <c r="I7" s="435">
        <v>151.30000000000001</v>
      </c>
      <c r="J7" s="435">
        <v>147</v>
      </c>
      <c r="K7" s="435">
        <v>207.4</v>
      </c>
      <c r="L7" s="435">
        <v>230</v>
      </c>
      <c r="M7" s="435">
        <v>215</v>
      </c>
      <c r="N7" s="435">
        <v>260.7</v>
      </c>
      <c r="O7" s="435">
        <v>537.6</v>
      </c>
      <c r="P7" s="435">
        <v>332</v>
      </c>
      <c r="Q7" s="436">
        <v>377</v>
      </c>
      <c r="R7" s="436">
        <v>408.3</v>
      </c>
      <c r="S7" s="436">
        <v>526.79999999999995</v>
      </c>
      <c r="T7" s="436">
        <v>532</v>
      </c>
      <c r="U7" s="436">
        <v>425.1</v>
      </c>
      <c r="V7" s="436">
        <v>411</v>
      </c>
      <c r="W7" s="436">
        <v>374.9</v>
      </c>
      <c r="X7" s="436">
        <v>358.4</v>
      </c>
      <c r="Y7" s="436">
        <f>'[32]Cours-alim-pres'!C45</f>
        <v>430.24</v>
      </c>
      <c r="Z7" s="436">
        <v>382.43</v>
      </c>
      <c r="AA7" s="436">
        <v>469.6</v>
      </c>
      <c r="AB7" s="436">
        <v>504.1</v>
      </c>
      <c r="AC7" s="436">
        <v>407.1</v>
      </c>
      <c r="AD7" s="436">
        <v>460.9</v>
      </c>
      <c r="AE7" s="288" t="s">
        <v>246</v>
      </c>
    </row>
    <row r="8" spans="1:31" ht="27">
      <c r="A8" s="272" t="s">
        <v>169</v>
      </c>
      <c r="B8" s="435">
        <v>222.19080150954662</v>
      </c>
      <c r="C8" s="435">
        <v>275.46202069251967</v>
      </c>
      <c r="D8" s="435">
        <v>239.98165796725837</v>
      </c>
      <c r="E8" s="435">
        <v>242.46083954199648</v>
      </c>
      <c r="F8" s="435">
        <v>183.59976756315166</v>
      </c>
      <c r="G8" s="435">
        <v>154.49998546043597</v>
      </c>
      <c r="H8" s="435">
        <v>122.45568776896128</v>
      </c>
      <c r="I8" s="435">
        <v>148.4</v>
      </c>
      <c r="J8" s="435">
        <v>141.4</v>
      </c>
      <c r="K8" s="435">
        <v>215</v>
      </c>
      <c r="L8" s="435">
        <v>225.5</v>
      </c>
      <c r="M8" s="435">
        <v>216.8</v>
      </c>
      <c r="N8" s="435">
        <v>257</v>
      </c>
      <c r="O8" s="435">
        <v>762.66666666666663</v>
      </c>
      <c r="P8" s="435">
        <v>335.7</v>
      </c>
      <c r="Q8" s="436">
        <v>343</v>
      </c>
      <c r="R8" s="436">
        <v>409</v>
      </c>
      <c r="S8" s="436">
        <v>533.29999999999995</v>
      </c>
      <c r="T8" s="436">
        <v>530.6</v>
      </c>
      <c r="U8" s="436">
        <v>399.3</v>
      </c>
      <c r="V8" s="436">
        <v>400.26</v>
      </c>
      <c r="W8" s="436">
        <v>383.53</v>
      </c>
      <c r="X8" s="436">
        <v>358.5</v>
      </c>
      <c r="Y8" s="436">
        <f>'[32]Cours-alim-pres'!C46</f>
        <v>431.76</v>
      </c>
      <c r="Z8" s="436">
        <v>391.3</v>
      </c>
      <c r="AA8" s="436">
        <v>543.70000000000005</v>
      </c>
      <c r="AB8" s="436">
        <v>477.4</v>
      </c>
      <c r="AC8" s="436">
        <v>409.1</v>
      </c>
      <c r="AD8" s="436">
        <v>482.9</v>
      </c>
      <c r="AE8" s="288" t="s">
        <v>247</v>
      </c>
    </row>
    <row r="9" spans="1:31" ht="27">
      <c r="A9" s="272" t="s">
        <v>171</v>
      </c>
      <c r="B9" s="435">
        <v>222.19080150954662</v>
      </c>
      <c r="C9" s="435">
        <v>271.82121001515276</v>
      </c>
      <c r="D9" s="435">
        <v>245.97691152377914</v>
      </c>
      <c r="E9" s="435">
        <v>248.30796589751085</v>
      </c>
      <c r="F9" s="435">
        <v>190.42141497791843</v>
      </c>
      <c r="G9" s="435">
        <v>141.52768253375788</v>
      </c>
      <c r="H9" s="435">
        <v>124.08742302856002</v>
      </c>
      <c r="I9" s="435">
        <v>148</v>
      </c>
      <c r="J9" s="435">
        <v>142.5</v>
      </c>
      <c r="K9" s="435">
        <v>212.8</v>
      </c>
      <c r="L9" s="435">
        <v>220.4</v>
      </c>
      <c r="M9" s="435">
        <v>217.6</v>
      </c>
      <c r="N9" s="435">
        <v>254.2</v>
      </c>
      <c r="O9" s="435">
        <v>727.4</v>
      </c>
      <c r="P9" s="435">
        <v>322.39999999999998</v>
      </c>
      <c r="Q9" s="436">
        <v>329</v>
      </c>
      <c r="R9" s="436">
        <v>421.2</v>
      </c>
      <c r="S9" s="436">
        <v>561.79999999999995</v>
      </c>
      <c r="T9" s="436">
        <v>510.8</v>
      </c>
      <c r="U9" s="436">
        <v>391.6</v>
      </c>
      <c r="V9" s="436">
        <v>386.53</v>
      </c>
      <c r="W9" s="436">
        <v>414.38</v>
      </c>
      <c r="X9" s="436">
        <v>395</v>
      </c>
      <c r="Y9" s="436">
        <f>'[32]Cours-alim-pres'!C47</f>
        <v>408.6</v>
      </c>
      <c r="Z9" s="436">
        <v>386.76</v>
      </c>
      <c r="AA9" s="436">
        <v>492.9</v>
      </c>
      <c r="AB9" s="436">
        <v>462.8</v>
      </c>
      <c r="AC9" s="436">
        <v>442.9</v>
      </c>
      <c r="AD9" s="436">
        <v>492.7</v>
      </c>
      <c r="AE9" s="288" t="s">
        <v>172</v>
      </c>
    </row>
    <row r="10" spans="1:31" ht="27">
      <c r="A10" s="272" t="s">
        <v>173</v>
      </c>
      <c r="B10" s="435">
        <v>251.42643328711853</v>
      </c>
      <c r="C10" s="435">
        <v>276.76398082768088</v>
      </c>
      <c r="D10" s="435">
        <v>251.97216508029987</v>
      </c>
      <c r="E10" s="435">
        <v>258.05317649003484</v>
      </c>
      <c r="F10" s="435">
        <v>198.60739187563857</v>
      </c>
      <c r="G10" s="435">
        <v>140.87265955392562</v>
      </c>
      <c r="H10" s="435">
        <v>126.73143849550243</v>
      </c>
      <c r="I10" s="435">
        <v>149</v>
      </c>
      <c r="J10" s="435">
        <v>151.19999999999999</v>
      </c>
      <c r="K10" s="435">
        <v>212.5</v>
      </c>
      <c r="L10" s="435">
        <v>210.8</v>
      </c>
      <c r="M10" s="435">
        <v>215.5</v>
      </c>
      <c r="N10" s="435">
        <v>254.5</v>
      </c>
      <c r="O10" s="435">
        <v>591</v>
      </c>
      <c r="P10" s="435">
        <v>320.8</v>
      </c>
      <c r="Q10" s="436">
        <v>329.5</v>
      </c>
      <c r="R10" s="436">
        <v>427.5</v>
      </c>
      <c r="S10" s="436">
        <v>541.20000000000005</v>
      </c>
      <c r="T10" s="436">
        <v>492</v>
      </c>
      <c r="U10" s="436">
        <v>402.6</v>
      </c>
      <c r="V10" s="436">
        <v>375.95</v>
      </c>
      <c r="W10" s="436">
        <v>426.79</v>
      </c>
      <c r="X10" s="436">
        <v>440.9</v>
      </c>
      <c r="Y10" s="436">
        <f>'[32]Cours-alim-pres'!C48</f>
        <v>382.73</v>
      </c>
      <c r="Z10" s="436">
        <v>394.2</v>
      </c>
      <c r="AA10" s="436">
        <v>493.6</v>
      </c>
      <c r="AB10" s="436">
        <v>438.6</v>
      </c>
      <c r="AC10" s="436">
        <v>427.6</v>
      </c>
      <c r="AD10" s="436">
        <v>495.8</v>
      </c>
      <c r="AE10" s="288" t="s">
        <v>248</v>
      </c>
    </row>
    <row r="11" spans="1:31" ht="27">
      <c r="A11" s="272" t="s">
        <v>175</v>
      </c>
      <c r="B11" s="435">
        <v>266.0442491759045</v>
      </c>
      <c r="C11" s="435">
        <v>292.35631777571922</v>
      </c>
      <c r="D11" s="435">
        <v>249.47739116861374</v>
      </c>
      <c r="E11" s="435">
        <v>251.8162417108195</v>
      </c>
      <c r="F11" s="435">
        <v>199.38700872304048</v>
      </c>
      <c r="G11" s="435">
        <v>135.98846646517634</v>
      </c>
      <c r="H11" s="435">
        <v>137.19999999999999</v>
      </c>
      <c r="I11" s="435">
        <v>152.4</v>
      </c>
      <c r="J11" s="435">
        <v>150.30000000000001</v>
      </c>
      <c r="K11" s="435">
        <v>210</v>
      </c>
      <c r="L11" s="435">
        <v>207.3</v>
      </c>
      <c r="M11" s="435">
        <v>217.2</v>
      </c>
      <c r="N11" s="435">
        <v>259</v>
      </c>
      <c r="O11" s="435">
        <v>546.5</v>
      </c>
      <c r="P11" s="435">
        <v>320.3</v>
      </c>
      <c r="Q11" s="436">
        <v>349.8</v>
      </c>
      <c r="R11" s="436">
        <v>449.3</v>
      </c>
      <c r="S11" s="436">
        <v>519.29999999999995</v>
      </c>
      <c r="T11" s="436">
        <v>461.8</v>
      </c>
      <c r="U11" s="436">
        <v>435.4</v>
      </c>
      <c r="V11" s="436">
        <v>389.86</v>
      </c>
      <c r="W11" s="436">
        <v>417.89</v>
      </c>
      <c r="X11" s="436">
        <v>397.4</v>
      </c>
      <c r="Y11" s="436">
        <f>'[32]Cours-alim-pres'!C49</f>
        <v>393.5</v>
      </c>
      <c r="Z11" s="436">
        <v>391.7</v>
      </c>
      <c r="AA11" s="436">
        <v>459.7</v>
      </c>
      <c r="AB11" s="436">
        <v>397</v>
      </c>
      <c r="AC11" s="436">
        <v>405.7</v>
      </c>
      <c r="AD11" s="436">
        <v>533.5</v>
      </c>
      <c r="AE11" s="288" t="s">
        <v>249</v>
      </c>
    </row>
    <row r="12" spans="1:31" ht="27">
      <c r="A12" s="272" t="s">
        <v>177</v>
      </c>
      <c r="B12" s="435">
        <v>268.96781235366171</v>
      </c>
      <c r="C12" s="435">
        <v>281.96402519985168</v>
      </c>
      <c r="D12" s="435">
        <v>222.19080150954662</v>
      </c>
      <c r="E12" s="435">
        <v>251.8162417108195</v>
      </c>
      <c r="F12" s="435">
        <v>195.68382869788138</v>
      </c>
      <c r="G12" s="435">
        <v>133.20461880088922</v>
      </c>
      <c r="H12" s="435">
        <v>140.80000000000001</v>
      </c>
      <c r="I12" s="435">
        <v>148.30000000000001</v>
      </c>
      <c r="J12" s="435">
        <v>150</v>
      </c>
      <c r="K12" s="435">
        <v>212.4</v>
      </c>
      <c r="L12" s="435">
        <v>212.8</v>
      </c>
      <c r="M12" s="435">
        <v>217.7</v>
      </c>
      <c r="N12" s="435">
        <v>261.3</v>
      </c>
      <c r="O12" s="435">
        <v>468.75</v>
      </c>
      <c r="P12" s="435">
        <v>305.5</v>
      </c>
      <c r="Q12" s="436">
        <v>369</v>
      </c>
      <c r="R12" s="436">
        <v>465.3</v>
      </c>
      <c r="S12" s="436">
        <v>509</v>
      </c>
      <c r="T12" s="436">
        <v>428.3</v>
      </c>
      <c r="U12" s="436">
        <v>460.6</v>
      </c>
      <c r="V12" s="436">
        <v>377.5</v>
      </c>
      <c r="W12" s="436">
        <v>393.78</v>
      </c>
      <c r="X12" s="436">
        <v>376.1</v>
      </c>
      <c r="Y12" s="436">
        <f>'[32]Cours-alim-pres'!C50</f>
        <v>395.35</v>
      </c>
      <c r="Z12" s="436">
        <v>407.52</v>
      </c>
      <c r="AA12" s="436">
        <v>480.9</v>
      </c>
      <c r="AB12" s="436">
        <v>381</v>
      </c>
      <c r="AC12" s="436">
        <v>412.6</v>
      </c>
      <c r="AD12" s="436">
        <v>626</v>
      </c>
      <c r="AE12" s="288" t="s">
        <v>250</v>
      </c>
    </row>
    <row r="13" spans="1:31" ht="27">
      <c r="A13" s="272" t="s">
        <v>179</v>
      </c>
      <c r="B13" s="435">
        <v>279.68754400543804</v>
      </c>
      <c r="C13" s="435">
        <v>222.36231721597505</v>
      </c>
      <c r="D13" s="435">
        <v>210.65247216799821</v>
      </c>
      <c r="E13" s="435">
        <v>251.03662486341759</v>
      </c>
      <c r="F13" s="435">
        <v>181.65072544464687</v>
      </c>
      <c r="G13" s="435">
        <v>126.83238437752101</v>
      </c>
      <c r="H13" s="435">
        <v>148.30000000000001</v>
      </c>
      <c r="I13" s="435">
        <v>148.80000000000001</v>
      </c>
      <c r="J13" s="435">
        <v>154.6</v>
      </c>
      <c r="K13" s="435">
        <v>206.3</v>
      </c>
      <c r="L13" s="435">
        <v>215.5</v>
      </c>
      <c r="M13" s="435">
        <v>222.6</v>
      </c>
      <c r="N13" s="435">
        <v>267.8</v>
      </c>
      <c r="O13" s="435">
        <v>424.75</v>
      </c>
      <c r="P13" s="435">
        <v>303.3</v>
      </c>
      <c r="Q13" s="436">
        <v>412</v>
      </c>
      <c r="R13" s="436">
        <v>514</v>
      </c>
      <c r="S13" s="436">
        <v>512</v>
      </c>
      <c r="T13" s="436">
        <v>431.5</v>
      </c>
      <c r="U13" s="436">
        <v>449.9</v>
      </c>
      <c r="V13" s="436">
        <v>360</v>
      </c>
      <c r="W13" s="436">
        <v>365.27</v>
      </c>
      <c r="X13" s="436">
        <v>384.8</v>
      </c>
      <c r="Y13" s="436">
        <f>'[32]Cours-alim-pres'!C51</f>
        <v>390.39</v>
      </c>
      <c r="Z13" s="436">
        <v>401.71</v>
      </c>
      <c r="AA13" s="436">
        <v>483</v>
      </c>
      <c r="AB13" s="436">
        <v>381.3</v>
      </c>
      <c r="AC13" s="436">
        <v>423.4</v>
      </c>
      <c r="AD13" s="436">
        <v>609.9</v>
      </c>
      <c r="AE13" s="288" t="s">
        <v>180</v>
      </c>
    </row>
    <row r="14" spans="1:31" ht="27">
      <c r="A14" s="272" t="s">
        <v>181</v>
      </c>
      <c r="B14" s="435">
        <v>298.85052611457718</v>
      </c>
      <c r="C14" s="435">
        <v>244.65156288319588</v>
      </c>
      <c r="D14" s="435">
        <v>207.18317719705971</v>
      </c>
      <c r="E14" s="435">
        <v>232.52072473762203</v>
      </c>
      <c r="F14" s="435">
        <v>169.17685588621617</v>
      </c>
      <c r="G14" s="435">
        <v>133.55491139845432</v>
      </c>
      <c r="H14" s="435">
        <v>146.19999999999999</v>
      </c>
      <c r="I14" s="435">
        <v>157.30000000000001</v>
      </c>
      <c r="J14" s="435">
        <v>157</v>
      </c>
      <c r="K14" s="435">
        <v>201.3</v>
      </c>
      <c r="L14" s="435">
        <v>217.4</v>
      </c>
      <c r="M14" s="435">
        <v>222.3</v>
      </c>
      <c r="N14" s="435">
        <v>288.60000000000002</v>
      </c>
      <c r="O14" s="435">
        <v>348.25</v>
      </c>
      <c r="P14" s="435">
        <v>298.39999999999998</v>
      </c>
      <c r="Q14" s="436">
        <v>428.3</v>
      </c>
      <c r="R14" s="436">
        <v>490.5</v>
      </c>
      <c r="S14" s="436">
        <v>520.29999999999995</v>
      </c>
      <c r="T14" s="436">
        <v>420.4</v>
      </c>
      <c r="U14" s="436">
        <v>437.6</v>
      </c>
      <c r="V14" s="436">
        <v>369.27</v>
      </c>
      <c r="W14" s="436">
        <v>349.9</v>
      </c>
      <c r="X14" s="436">
        <v>375.7</v>
      </c>
      <c r="Y14" s="436">
        <f>'[32]Cours-alim-pres'!C52</f>
        <v>378.81</v>
      </c>
      <c r="Z14" s="436">
        <v>397.04</v>
      </c>
      <c r="AA14" s="436">
        <v>454.5</v>
      </c>
      <c r="AB14" s="436">
        <v>382.7</v>
      </c>
      <c r="AC14" s="436">
        <v>411.6</v>
      </c>
      <c r="AD14" s="436">
        <v>574.70000000000005</v>
      </c>
      <c r="AE14" s="289" t="s">
        <v>182</v>
      </c>
    </row>
    <row r="15" spans="1:31" ht="27">
      <c r="A15" s="272" t="s">
        <v>183</v>
      </c>
      <c r="B15" s="435">
        <v>304.3858057311308</v>
      </c>
      <c r="C15" s="435">
        <v>244.65156288319588</v>
      </c>
      <c r="D15" s="435">
        <v>198.6073918756386</v>
      </c>
      <c r="E15" s="435">
        <v>210.75382235816048</v>
      </c>
      <c r="F15" s="435">
        <v>177.36283278393631</v>
      </c>
      <c r="G15" s="435">
        <v>132.21743116327463</v>
      </c>
      <c r="H15" s="435">
        <v>135</v>
      </c>
      <c r="I15" s="435">
        <v>158.30000000000001</v>
      </c>
      <c r="J15" s="435">
        <v>158.4</v>
      </c>
      <c r="K15" s="435">
        <v>211.6</v>
      </c>
      <c r="L15" s="435">
        <v>209.5</v>
      </c>
      <c r="M15" s="435">
        <v>219</v>
      </c>
      <c r="N15" s="435">
        <v>307.3</v>
      </c>
      <c r="O15" s="435">
        <v>307</v>
      </c>
      <c r="P15" s="435">
        <v>370</v>
      </c>
      <c r="Q15" s="436">
        <v>427.8</v>
      </c>
      <c r="R15" s="436">
        <v>549.9</v>
      </c>
      <c r="S15" s="436">
        <v>523</v>
      </c>
      <c r="T15" s="436">
        <v>414.3</v>
      </c>
      <c r="U15" s="436">
        <v>423.8</v>
      </c>
      <c r="V15" s="436">
        <v>366.24</v>
      </c>
      <c r="W15" s="436">
        <v>339.59</v>
      </c>
      <c r="X15" s="436">
        <v>378.8</v>
      </c>
      <c r="Y15" s="436">
        <f>'[32]Cours-alim-pres'!C53</f>
        <v>379.33</v>
      </c>
      <c r="Z15" s="436">
        <v>394.76</v>
      </c>
      <c r="AA15" s="436">
        <v>468.5</v>
      </c>
      <c r="AB15" s="436">
        <v>378.6</v>
      </c>
      <c r="AC15" s="436">
        <v>417.5</v>
      </c>
      <c r="AD15" s="436">
        <v>574.6</v>
      </c>
      <c r="AE15" s="288" t="s">
        <v>184</v>
      </c>
    </row>
    <row r="16" spans="1:31" ht="27">
      <c r="A16" s="272" t="s">
        <v>185</v>
      </c>
      <c r="B16" s="435">
        <v>292.35631777571922</v>
      </c>
      <c r="C16" s="435">
        <v>244.65156288319588</v>
      </c>
      <c r="D16" s="435">
        <v>205.42903929040537</v>
      </c>
      <c r="E16" s="435">
        <v>220.24175939104182</v>
      </c>
      <c r="F16" s="435">
        <v>180.09149174984302</v>
      </c>
      <c r="G16" s="435">
        <v>131.29478437002228</v>
      </c>
      <c r="H16" s="435">
        <v>134.30000000000001</v>
      </c>
      <c r="I16" s="435">
        <v>154.30000000000001</v>
      </c>
      <c r="J16" s="435">
        <v>163</v>
      </c>
      <c r="K16" s="435">
        <v>219.8</v>
      </c>
      <c r="L16" s="435">
        <v>206.8</v>
      </c>
      <c r="M16" s="435">
        <v>226.3</v>
      </c>
      <c r="N16" s="435">
        <v>323</v>
      </c>
      <c r="O16" s="435">
        <v>287.25</v>
      </c>
      <c r="P16" s="435">
        <v>403</v>
      </c>
      <c r="Q16" s="436">
        <v>413.4</v>
      </c>
      <c r="R16" s="436">
        <v>544</v>
      </c>
      <c r="S16" s="436">
        <v>520.4</v>
      </c>
      <c r="T16" s="436">
        <v>400.8</v>
      </c>
      <c r="U16" s="436">
        <v>421.2</v>
      </c>
      <c r="V16" s="436">
        <v>360.24</v>
      </c>
      <c r="W16" s="436">
        <v>354.42</v>
      </c>
      <c r="X16" s="436">
        <v>388.5</v>
      </c>
      <c r="Y16" s="436">
        <f>'[32]Cours-alim-pres'!C54</f>
        <v>0</v>
      </c>
      <c r="Z16" s="436">
        <v>400.9</v>
      </c>
      <c r="AA16" s="436">
        <v>496.6</v>
      </c>
      <c r="AB16" s="436">
        <v>381</v>
      </c>
      <c r="AC16" s="436">
        <v>446.4</v>
      </c>
      <c r="AD16" s="436">
        <v>629.6</v>
      </c>
      <c r="AE16" s="288" t="s">
        <v>186</v>
      </c>
    </row>
    <row r="17" spans="1:31" ht="27">
      <c r="A17" s="274" t="s">
        <v>251</v>
      </c>
      <c r="B17" s="437">
        <v>255.60647895060512</v>
      </c>
      <c r="C17" s="437">
        <v>268.82553227901082</v>
      </c>
      <c r="D17" s="437">
        <v>235.7515868893968</v>
      </c>
      <c r="E17" s="437">
        <v>238.11382593702464</v>
      </c>
      <c r="F17" s="437">
        <v>194.09990713624316</v>
      </c>
      <c r="G17" s="437">
        <v>145.17676807852604</v>
      </c>
      <c r="H17" s="437">
        <v>133.8361342839525</v>
      </c>
      <c r="I17" s="437">
        <v>150.19166666666663</v>
      </c>
      <c r="J17" s="437">
        <v>151.47499999999999</v>
      </c>
      <c r="K17" s="437">
        <v>205.15833333333333</v>
      </c>
      <c r="L17" s="437">
        <v>217.83333333333334</v>
      </c>
      <c r="M17" s="437">
        <v>218.02500000000001</v>
      </c>
      <c r="N17" s="437">
        <v>269.125</v>
      </c>
      <c r="O17" s="437">
        <v>482.37638888888887</v>
      </c>
      <c r="P17" s="437">
        <v>329.125</v>
      </c>
      <c r="Q17" s="437">
        <f t="shared" ref="Q17:AA17" si="0">AVERAGE(Q5:Q16)</f>
        <v>383.63333333333338</v>
      </c>
      <c r="R17" s="437">
        <f t="shared" si="0"/>
        <v>458.70833333333331</v>
      </c>
      <c r="S17" s="437">
        <f t="shared" si="0"/>
        <v>525.14166666666665</v>
      </c>
      <c r="T17" s="437">
        <f t="shared" si="0"/>
        <v>473.95833333333331</v>
      </c>
      <c r="U17" s="437">
        <f t="shared" si="0"/>
        <v>429.33333333333331</v>
      </c>
      <c r="V17" s="437">
        <f t="shared" si="0"/>
        <v>386.0333333333333</v>
      </c>
      <c r="W17" s="437">
        <f t="shared" si="0"/>
        <v>380.33499999999998</v>
      </c>
      <c r="X17" s="437">
        <f t="shared" si="0"/>
        <v>379.90000000000003</v>
      </c>
      <c r="Y17" s="437">
        <f t="shared" si="0"/>
        <v>366.8341666666667</v>
      </c>
      <c r="Z17" s="437">
        <f t="shared" si="0"/>
        <v>393.49333333333328</v>
      </c>
      <c r="AA17" s="437">
        <f t="shared" si="0"/>
        <v>474.625</v>
      </c>
      <c r="AB17" s="437">
        <v>436.1</v>
      </c>
      <c r="AC17" s="437">
        <v>417.7</v>
      </c>
      <c r="AD17" s="437">
        <v>536.20000000000005</v>
      </c>
      <c r="AE17" s="290" t="s">
        <v>252</v>
      </c>
    </row>
    <row r="18" spans="1:31" ht="27.6" thickBot="1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424"/>
      <c r="AD18" s="424"/>
      <c r="AE18" s="279"/>
    </row>
    <row r="19" spans="1:31" ht="26.4">
      <c r="A19" s="21" t="s">
        <v>604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30" t="s">
        <v>606</v>
      </c>
    </row>
    <row r="22" spans="1:31" ht="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7" t="s">
        <v>1582</v>
      </c>
    </row>
    <row r="23" spans="1:31" ht="27.6" thickBot="1">
      <c r="A23" s="19" t="s">
        <v>1583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20"/>
    </row>
    <row r="24" spans="1:31" ht="30">
      <c r="A24" s="307" t="s">
        <v>599</v>
      </c>
      <c r="B24" s="307">
        <v>1995</v>
      </c>
      <c r="C24" s="307">
        <v>1996</v>
      </c>
      <c r="D24" s="307">
        <v>1997</v>
      </c>
      <c r="E24" s="307">
        <v>1998</v>
      </c>
      <c r="F24" s="307">
        <v>1999</v>
      </c>
      <c r="G24" s="307">
        <v>2000</v>
      </c>
      <c r="H24" s="307">
        <v>2001</v>
      </c>
      <c r="I24" s="307">
        <v>2002</v>
      </c>
      <c r="J24" s="307">
        <v>2003</v>
      </c>
      <c r="K24" s="307">
        <v>2004</v>
      </c>
      <c r="L24" s="307">
        <v>2005</v>
      </c>
      <c r="M24" s="307">
        <v>2006</v>
      </c>
      <c r="N24" s="307">
        <v>2007</v>
      </c>
      <c r="O24" s="307">
        <v>2008</v>
      </c>
      <c r="P24" s="307">
        <v>2009</v>
      </c>
      <c r="Q24" s="307">
        <v>2010</v>
      </c>
      <c r="R24" s="307">
        <v>2011</v>
      </c>
      <c r="S24" s="307">
        <v>2012</v>
      </c>
      <c r="T24" s="307">
        <v>2013</v>
      </c>
      <c r="U24" s="307">
        <v>2014</v>
      </c>
      <c r="V24" s="307">
        <v>2015</v>
      </c>
      <c r="W24" s="307">
        <v>2016</v>
      </c>
      <c r="X24" s="307">
        <v>2017</v>
      </c>
      <c r="Y24" s="307">
        <v>2018</v>
      </c>
      <c r="Z24" s="307">
        <v>2019</v>
      </c>
      <c r="AA24" s="307">
        <v>2020</v>
      </c>
      <c r="AB24" s="307">
        <v>2021</v>
      </c>
      <c r="AC24" s="307">
        <v>2022</v>
      </c>
      <c r="AD24" s="307">
        <v>2023</v>
      </c>
      <c r="AE24" s="307" t="s">
        <v>603</v>
      </c>
    </row>
    <row r="25" spans="1:31" ht="27">
      <c r="A25" s="272" t="s">
        <v>163</v>
      </c>
      <c r="B25" s="271">
        <v>107.23018670342884</v>
      </c>
      <c r="C25" s="271">
        <v>156.9029937792819</v>
      </c>
      <c r="D25" s="271">
        <v>119.05704553101289</v>
      </c>
      <c r="E25" s="271">
        <v>114.72053062756541</v>
      </c>
      <c r="F25" s="271">
        <v>97.768699641361579</v>
      </c>
      <c r="G25" s="271">
        <v>93.934763635527943</v>
      </c>
      <c r="H25" s="271">
        <v>94.357327070093021</v>
      </c>
      <c r="I25" s="271">
        <v>92</v>
      </c>
      <c r="J25" s="271">
        <v>106.1</v>
      </c>
      <c r="K25" s="271">
        <v>115.5</v>
      </c>
      <c r="L25" s="271">
        <v>96.3</v>
      </c>
      <c r="M25" s="271">
        <v>102.7</v>
      </c>
      <c r="N25" s="271">
        <v>164.8</v>
      </c>
      <c r="O25" s="271">
        <v>206.36705600000002</v>
      </c>
      <c r="P25" s="271">
        <v>172.8</v>
      </c>
      <c r="Q25" s="271">
        <v>167.31399999999999</v>
      </c>
      <c r="R25" s="271">
        <v>264.89999999999998</v>
      </c>
      <c r="S25" s="271">
        <v>272.8</v>
      </c>
      <c r="T25" s="271">
        <v>303.10000000000002</v>
      </c>
      <c r="U25" s="271">
        <v>198.1</v>
      </c>
      <c r="V25" s="271">
        <v>174.70731040000001</v>
      </c>
      <c r="W25" s="271">
        <v>161.0269304</v>
      </c>
      <c r="X25" s="271">
        <v>159.98761519999999</v>
      </c>
      <c r="Y25" s="271">
        <v>155.8382</v>
      </c>
      <c r="Z25" s="271">
        <v>166.74316400000001</v>
      </c>
      <c r="AA25" s="271">
        <f>[36]Maize!$B$182</f>
        <v>171.78620480000001</v>
      </c>
      <c r="AB25" s="271">
        <v>234.5</v>
      </c>
      <c r="AC25" s="271">
        <v>276.60000000000002</v>
      </c>
      <c r="AD25" s="271">
        <v>302.77999999999997</v>
      </c>
      <c r="AE25" s="288" t="s">
        <v>244</v>
      </c>
    </row>
    <row r="26" spans="1:31" ht="27">
      <c r="A26" s="272" t="s">
        <v>165</v>
      </c>
      <c r="B26" s="271">
        <v>107.23018670342884</v>
      </c>
      <c r="C26" s="271">
        <v>164.7875663310046</v>
      </c>
      <c r="D26" s="271">
        <v>121.81664592411583</v>
      </c>
      <c r="E26" s="271">
        <v>113.14361611722086</v>
      </c>
      <c r="F26" s="271">
        <v>94.614870620672491</v>
      </c>
      <c r="G26" s="271">
        <v>96.322935592363407</v>
      </c>
      <c r="H26" s="271">
        <v>92.391549422799415</v>
      </c>
      <c r="I26" s="271">
        <v>90.8</v>
      </c>
      <c r="J26" s="271">
        <v>105.9</v>
      </c>
      <c r="K26" s="271">
        <v>123.5</v>
      </c>
      <c r="L26" s="271">
        <v>94.1</v>
      </c>
      <c r="M26" s="271">
        <v>107.1</v>
      </c>
      <c r="N26" s="271">
        <v>177.3</v>
      </c>
      <c r="O26" s="271">
        <v>220.06712000000002</v>
      </c>
      <c r="P26" s="271">
        <v>163.4</v>
      </c>
      <c r="Q26" s="271">
        <v>161.80248</v>
      </c>
      <c r="R26" s="271">
        <v>292.89999999999998</v>
      </c>
      <c r="S26" s="271">
        <v>279.5</v>
      </c>
      <c r="T26" s="271">
        <v>302.7</v>
      </c>
      <c r="U26" s="271">
        <v>209.3</v>
      </c>
      <c r="V26" s="271">
        <v>173.6955528</v>
      </c>
      <c r="W26" s="271">
        <v>159.67660799999999</v>
      </c>
      <c r="X26" s="271">
        <v>162.8575424</v>
      </c>
      <c r="Y26" s="271">
        <v>163.35749999999999</v>
      </c>
      <c r="Z26" s="271">
        <v>169.52254479999999</v>
      </c>
      <c r="AA26" s="271">
        <v>168.71156400000001</v>
      </c>
      <c r="AB26" s="271">
        <v>245.2</v>
      </c>
      <c r="AC26" s="271">
        <v>292.60000000000002</v>
      </c>
      <c r="AD26" s="271">
        <v>298.18</v>
      </c>
      <c r="AE26" s="288" t="s">
        <v>245</v>
      </c>
    </row>
    <row r="27" spans="1:31" ht="27">
      <c r="A27" s="272" t="s">
        <v>167</v>
      </c>
      <c r="B27" s="271">
        <v>109.59555846894564</v>
      </c>
      <c r="C27" s="271">
        <v>171.09522437238275</v>
      </c>
      <c r="D27" s="271">
        <v>128.12430396549399</v>
      </c>
      <c r="E27" s="271">
        <v>113.93207337239313</v>
      </c>
      <c r="F27" s="271">
        <v>96.586013758603187</v>
      </c>
      <c r="G27" s="271">
        <v>96.322935592363407</v>
      </c>
      <c r="H27" s="271">
        <v>90.818927304964532</v>
      </c>
      <c r="I27" s="271">
        <v>89.6</v>
      </c>
      <c r="J27" s="271">
        <v>105.6</v>
      </c>
      <c r="K27" s="271">
        <v>127.9</v>
      </c>
      <c r="L27" s="271">
        <v>99.9</v>
      </c>
      <c r="M27" s="271">
        <v>105.3</v>
      </c>
      <c r="N27" s="271">
        <v>170.5</v>
      </c>
      <c r="O27" s="271">
        <v>234.35770400000001</v>
      </c>
      <c r="P27" s="271">
        <v>164.6</v>
      </c>
      <c r="Q27" s="271">
        <v>159.04671999999999</v>
      </c>
      <c r="R27" s="271">
        <v>290.5</v>
      </c>
      <c r="S27" s="271">
        <v>280.7</v>
      </c>
      <c r="T27" s="271">
        <v>309</v>
      </c>
      <c r="U27" s="271">
        <v>222.3</v>
      </c>
      <c r="V27" s="271">
        <v>174.22702079999999</v>
      </c>
      <c r="W27" s="271">
        <v>159.13726639999999</v>
      </c>
      <c r="X27" s="271">
        <v>158.96404720000001</v>
      </c>
      <c r="Y27" s="271">
        <v>171.99879999999999</v>
      </c>
      <c r="Z27" s="271">
        <v>166.22350639999999</v>
      </c>
      <c r="AA27" s="271">
        <v>162.4205576</v>
      </c>
      <c r="AB27" s="271">
        <v>245.2</v>
      </c>
      <c r="AC27" s="271">
        <v>335.5</v>
      </c>
      <c r="AD27" s="271">
        <v>282.49</v>
      </c>
      <c r="AE27" s="288" t="s">
        <v>246</v>
      </c>
    </row>
    <row r="28" spans="1:31" ht="27">
      <c r="A28" s="272" t="s">
        <v>169</v>
      </c>
      <c r="B28" s="271">
        <v>109.98978709653178</v>
      </c>
      <c r="C28" s="271">
        <v>189.22974124134498</v>
      </c>
      <c r="D28" s="271">
        <v>124.97047494480492</v>
      </c>
      <c r="E28" s="271">
        <v>106.8359580758427</v>
      </c>
      <c r="F28" s="271">
        <v>94.22064199308636</v>
      </c>
      <c r="G28" s="271">
        <v>96.720964251835994</v>
      </c>
      <c r="H28" s="271">
        <v>87.366793926628048</v>
      </c>
      <c r="I28" s="271">
        <v>87.1</v>
      </c>
      <c r="J28" s="271">
        <v>105.5</v>
      </c>
      <c r="K28" s="271">
        <v>133.5</v>
      </c>
      <c r="L28" s="271">
        <v>96.3</v>
      </c>
      <c r="M28" s="271">
        <v>107.7</v>
      </c>
      <c r="N28" s="271">
        <v>152.69999999999999</v>
      </c>
      <c r="O28" s="271">
        <v>246.58683636363634</v>
      </c>
      <c r="P28" s="271">
        <v>168.5</v>
      </c>
      <c r="Q28" s="271">
        <v>157.07831999999999</v>
      </c>
      <c r="R28" s="271">
        <v>319.3</v>
      </c>
      <c r="S28" s="271">
        <v>274</v>
      </c>
      <c r="T28" s="271">
        <v>279.89999999999998</v>
      </c>
      <c r="U28" s="271">
        <v>222.4</v>
      </c>
      <c r="V28" s="271">
        <v>172.0539072</v>
      </c>
      <c r="W28" s="271">
        <v>164.4125784</v>
      </c>
      <c r="X28" s="271">
        <v>156.44055839999999</v>
      </c>
      <c r="Y28" s="271">
        <v>175.60489999999999</v>
      </c>
      <c r="Z28" s="271">
        <v>161.48753600000001</v>
      </c>
      <c r="AA28" s="271">
        <v>146.90956560000001</v>
      </c>
      <c r="AB28" s="271">
        <v>268.2</v>
      </c>
      <c r="AC28" s="271">
        <v>348.2</v>
      </c>
      <c r="AD28" s="271">
        <v>291.11</v>
      </c>
      <c r="AE28" s="288" t="s">
        <v>247</v>
      </c>
    </row>
    <row r="29" spans="1:31" ht="27">
      <c r="A29" s="272" t="s">
        <v>171</v>
      </c>
      <c r="B29" s="271">
        <v>111.56670160687632</v>
      </c>
      <c r="C29" s="271">
        <v>204.21042908961812</v>
      </c>
      <c r="D29" s="271">
        <v>118.26858827584061</v>
      </c>
      <c r="E29" s="271">
        <v>106.04750082067042</v>
      </c>
      <c r="F29" s="271">
        <v>93.037956110327954</v>
      </c>
      <c r="G29" s="271">
        <v>96.720964251835994</v>
      </c>
      <c r="H29" s="271">
        <v>85.005529225908361</v>
      </c>
      <c r="I29" s="271">
        <v>90.3</v>
      </c>
      <c r="J29" s="271">
        <v>107.5</v>
      </c>
      <c r="K29" s="271">
        <v>128.19999999999999</v>
      </c>
      <c r="L29" s="271">
        <v>95.4</v>
      </c>
      <c r="M29" s="271">
        <v>110.6</v>
      </c>
      <c r="N29" s="271">
        <v>160.19999999999999</v>
      </c>
      <c r="O29" s="271">
        <v>243.45564880000001</v>
      </c>
      <c r="P29" s="271">
        <v>179.9</v>
      </c>
      <c r="Q29" s="271">
        <v>163.37719999999999</v>
      </c>
      <c r="R29" s="271">
        <v>307.89999999999998</v>
      </c>
      <c r="S29" s="271">
        <v>269.3</v>
      </c>
      <c r="T29" s="271">
        <v>295.5</v>
      </c>
      <c r="U29" s="271">
        <v>217.3</v>
      </c>
      <c r="V29" s="271">
        <v>166.2943688</v>
      </c>
      <c r="W29" s="271">
        <v>168.9556456</v>
      </c>
      <c r="X29" s="271">
        <v>158.5900512</v>
      </c>
      <c r="Y29" s="271">
        <v>179.08500000000001</v>
      </c>
      <c r="Z29" s="271">
        <v>171.08151760000001</v>
      </c>
      <c r="AA29" s="271">
        <v>143.90578719999999</v>
      </c>
      <c r="AB29" s="271">
        <v>305.3</v>
      </c>
      <c r="AC29" s="271">
        <v>344.8</v>
      </c>
      <c r="AD29" s="271">
        <v>268.14</v>
      </c>
      <c r="AE29" s="288" t="s">
        <v>172</v>
      </c>
    </row>
    <row r="30" spans="1:31" ht="27">
      <c r="A30" s="272" t="s">
        <v>173</v>
      </c>
      <c r="B30" s="271">
        <v>120.2397314137713</v>
      </c>
      <c r="C30" s="271">
        <v>196.72008516548158</v>
      </c>
      <c r="D30" s="271">
        <v>112.74938748963471</v>
      </c>
      <c r="E30" s="271">
        <v>101.71098591722294</v>
      </c>
      <c r="F30" s="271">
        <v>93.037956110327954</v>
      </c>
      <c r="G30" s="271">
        <v>84.780104467658703</v>
      </c>
      <c r="H30" s="271">
        <v>83.037808641975289</v>
      </c>
      <c r="I30" s="271">
        <v>94.1</v>
      </c>
      <c r="J30" s="271">
        <v>107.3</v>
      </c>
      <c r="K30" s="271">
        <v>123.3</v>
      </c>
      <c r="L30" s="271">
        <v>97.1</v>
      </c>
      <c r="M30" s="271">
        <v>109.4</v>
      </c>
      <c r="N30" s="271">
        <v>165.2</v>
      </c>
      <c r="O30" s="271">
        <v>287.11082400000004</v>
      </c>
      <c r="P30" s="271">
        <v>179.5</v>
      </c>
      <c r="Q30" s="271">
        <v>152.74784</v>
      </c>
      <c r="R30" s="271">
        <v>310.60000000000002</v>
      </c>
      <c r="S30" s="271">
        <v>267.3</v>
      </c>
      <c r="T30" s="271">
        <v>298.39999999999998</v>
      </c>
      <c r="U30" s="271">
        <v>202.4</v>
      </c>
      <c r="V30" s="271">
        <v>166.7195432</v>
      </c>
      <c r="W30" s="271">
        <v>179.87239199999999</v>
      </c>
      <c r="X30" s="271">
        <v>157.93260559999999</v>
      </c>
      <c r="Y30" s="271">
        <v>165.07</v>
      </c>
      <c r="Z30" s="271">
        <v>195.08025040000001</v>
      </c>
      <c r="AA30" s="271">
        <v>147.98824880000001</v>
      </c>
      <c r="AB30" s="271">
        <v>292.60000000000002</v>
      </c>
      <c r="AC30" s="271">
        <v>335.7</v>
      </c>
      <c r="AD30" s="271">
        <v>266.87</v>
      </c>
      <c r="AE30" s="288" t="s">
        <v>248</v>
      </c>
    </row>
    <row r="31" spans="1:31" ht="27">
      <c r="A31" s="272" t="s">
        <v>175</v>
      </c>
      <c r="B31" s="271">
        <v>127.33584671032173</v>
      </c>
      <c r="C31" s="271">
        <v>197.90277104823994</v>
      </c>
      <c r="D31" s="271">
        <v>106.44172944825657</v>
      </c>
      <c r="E31" s="271">
        <v>100.92252866205067</v>
      </c>
      <c r="F31" s="271">
        <v>83.576469048260705</v>
      </c>
      <c r="G31" s="271">
        <v>76.023473959262034</v>
      </c>
      <c r="H31" s="271">
        <v>91.7</v>
      </c>
      <c r="I31" s="271">
        <v>98.7</v>
      </c>
      <c r="J31" s="271">
        <v>96.8</v>
      </c>
      <c r="K31" s="271">
        <v>104.9</v>
      </c>
      <c r="L31" s="271">
        <v>107.5</v>
      </c>
      <c r="M31" s="271">
        <v>114</v>
      </c>
      <c r="N31" s="271">
        <v>146.80000000000001</v>
      </c>
      <c r="O31" s="271">
        <v>265.34032000000002</v>
      </c>
      <c r="P31" s="271">
        <v>151.6</v>
      </c>
      <c r="Q31" s="271">
        <v>163.75682</v>
      </c>
      <c r="R31" s="271">
        <v>300.8</v>
      </c>
      <c r="S31" s="271">
        <v>333.1</v>
      </c>
      <c r="T31" s="271">
        <v>279.5</v>
      </c>
      <c r="U31" s="271">
        <v>182.7</v>
      </c>
      <c r="V31" s="271">
        <v>179.59681599999999</v>
      </c>
      <c r="W31" s="271">
        <v>161.75917519999999</v>
      </c>
      <c r="X31" s="271">
        <v>157.511368</v>
      </c>
      <c r="Y31" s="271">
        <v>156.46019999999999</v>
      </c>
      <c r="Z31" s="271">
        <v>189.41913199999999</v>
      </c>
      <c r="AA31" s="271">
        <v>152.55493680000001</v>
      </c>
      <c r="AB31" s="271">
        <v>278.39999999999998</v>
      </c>
      <c r="AC31" s="271">
        <v>323</v>
      </c>
      <c r="AD31" s="271">
        <v>242.38</v>
      </c>
      <c r="AE31" s="288" t="s">
        <v>249</v>
      </c>
    </row>
    <row r="32" spans="1:31" ht="27">
      <c r="A32" s="272" t="s">
        <v>177</v>
      </c>
      <c r="B32" s="271">
        <v>126.54738945514946</v>
      </c>
      <c r="C32" s="271">
        <v>187.25859810341433</v>
      </c>
      <c r="D32" s="271">
        <v>111.96093023446245</v>
      </c>
      <c r="E32" s="271">
        <v>88.307212579294344</v>
      </c>
      <c r="F32" s="271">
        <v>86.336069441363648</v>
      </c>
      <c r="G32" s="271">
        <v>76.023473959262034</v>
      </c>
      <c r="H32" s="271">
        <v>93.1</v>
      </c>
      <c r="I32" s="271">
        <v>108.9</v>
      </c>
      <c r="J32" s="271">
        <v>100.7</v>
      </c>
      <c r="K32" s="271">
        <v>104.1</v>
      </c>
      <c r="L32" s="271">
        <v>101.7</v>
      </c>
      <c r="M32" s="271">
        <v>116.6</v>
      </c>
      <c r="N32" s="271">
        <v>151.19999999999999</v>
      </c>
      <c r="O32" s="271">
        <v>235.02696</v>
      </c>
      <c r="P32" s="271">
        <v>152</v>
      </c>
      <c r="Q32" s="271">
        <v>175.58127999999999</v>
      </c>
      <c r="R32" s="271">
        <v>310.2</v>
      </c>
      <c r="S32" s="271">
        <v>332</v>
      </c>
      <c r="T32" s="271">
        <v>238.7</v>
      </c>
      <c r="U32" s="271">
        <v>176.4</v>
      </c>
      <c r="V32" s="271">
        <v>162.5937768</v>
      </c>
      <c r="W32" s="271">
        <v>150.15348879999999</v>
      </c>
      <c r="X32" s="271">
        <v>148.49609599999999</v>
      </c>
      <c r="Y32" s="271">
        <v>162.3733</v>
      </c>
      <c r="Z32" s="271">
        <v>163.5858504</v>
      </c>
      <c r="AA32" s="271">
        <v>149.34250800000001</v>
      </c>
      <c r="AB32" s="271">
        <v>256.60000000000002</v>
      </c>
      <c r="AC32" s="271">
        <v>289.8</v>
      </c>
      <c r="AD32" s="271">
        <v>207.61</v>
      </c>
      <c r="AE32" s="288" t="s">
        <v>250</v>
      </c>
    </row>
    <row r="33" spans="1:31" ht="27">
      <c r="A33" s="272" t="s">
        <v>179</v>
      </c>
      <c r="B33" s="271">
        <v>130.88390435859694</v>
      </c>
      <c r="C33" s="271">
        <v>145.47036357928397</v>
      </c>
      <c r="D33" s="271">
        <v>112.3551588620486</v>
      </c>
      <c r="E33" s="271">
        <v>85.941840813777517</v>
      </c>
      <c r="F33" s="271">
        <v>87.124526696535924</v>
      </c>
      <c r="G33" s="271">
        <v>81.197846532405521</v>
      </c>
      <c r="H33" s="271">
        <v>90.1</v>
      </c>
      <c r="I33" s="271">
        <v>114.1</v>
      </c>
      <c r="J33" s="271">
        <v>104.1</v>
      </c>
      <c r="K33" s="271">
        <v>97.9</v>
      </c>
      <c r="L33" s="271">
        <v>96.4</v>
      </c>
      <c r="M33" s="271">
        <v>121.7</v>
      </c>
      <c r="N33" s="271">
        <v>164.1</v>
      </c>
      <c r="O33" s="271">
        <v>233.84592000000004</v>
      </c>
      <c r="P33" s="271">
        <v>150.4</v>
      </c>
      <c r="Q33" s="271">
        <v>205.89464000000001</v>
      </c>
      <c r="R33" s="271">
        <v>295.3</v>
      </c>
      <c r="S33" s="271">
        <v>320.8</v>
      </c>
      <c r="T33" s="271">
        <v>207.5</v>
      </c>
      <c r="U33" s="271">
        <v>163.1</v>
      </c>
      <c r="V33" s="271">
        <v>165.62117599999999</v>
      </c>
      <c r="W33" s="271">
        <v>148.42523360000001</v>
      </c>
      <c r="X33" s="271">
        <v>147.2914352</v>
      </c>
      <c r="Y33" s="271">
        <v>154.80279999999999</v>
      </c>
      <c r="Z33" s="271">
        <v>157.25941280000001</v>
      </c>
      <c r="AA33" s="271">
        <v>166.0817816</v>
      </c>
      <c r="AB33" s="271">
        <v>235.6</v>
      </c>
      <c r="AC33" s="271">
        <v>312.7</v>
      </c>
      <c r="AD33" s="271">
        <v>223.81</v>
      </c>
      <c r="AE33" s="288" t="s">
        <v>180</v>
      </c>
    </row>
    <row r="34" spans="1:31" ht="27">
      <c r="A34" s="272" t="s">
        <v>181</v>
      </c>
      <c r="B34" s="271">
        <v>141.13384867583648</v>
      </c>
      <c r="C34" s="271">
        <v>128.91276122066628</v>
      </c>
      <c r="D34" s="271">
        <v>120.2397314137713</v>
      </c>
      <c r="E34" s="271">
        <v>95.797556503430911</v>
      </c>
      <c r="F34" s="271">
        <v>85.941840813777517</v>
      </c>
      <c r="G34" s="271">
        <v>85.540744233280137</v>
      </c>
      <c r="H34" s="271">
        <v>86.6</v>
      </c>
      <c r="I34" s="271">
        <v>109.7</v>
      </c>
      <c r="J34" s="271">
        <v>105.4</v>
      </c>
      <c r="K34" s="271">
        <v>93.8</v>
      </c>
      <c r="L34" s="271">
        <v>101.9</v>
      </c>
      <c r="M34" s="271">
        <v>142.19999999999999</v>
      </c>
      <c r="N34" s="271">
        <v>164.2</v>
      </c>
      <c r="O34" s="271">
        <v>183.06120000000001</v>
      </c>
      <c r="P34" s="271">
        <v>167.3</v>
      </c>
      <c r="Q34" s="271">
        <v>235.81432000000001</v>
      </c>
      <c r="R34" s="271">
        <v>274.8</v>
      </c>
      <c r="S34" s="271">
        <v>321.2</v>
      </c>
      <c r="T34" s="271">
        <v>201.7</v>
      </c>
      <c r="U34" s="271">
        <v>163.1</v>
      </c>
      <c r="V34" s="271">
        <v>171.388588</v>
      </c>
      <c r="W34" s="271">
        <v>152.25967679999999</v>
      </c>
      <c r="X34" s="271">
        <v>148.62207359999999</v>
      </c>
      <c r="Y34" s="271">
        <v>160.25530000000001</v>
      </c>
      <c r="Z34" s="271">
        <v>167.1486544</v>
      </c>
      <c r="AA34" s="271">
        <v>186.74604479999999</v>
      </c>
      <c r="AB34" s="271">
        <v>239.6</v>
      </c>
      <c r="AC34" s="271">
        <v>343.6</v>
      </c>
      <c r="AD34" s="271">
        <v>230.7</v>
      </c>
      <c r="AE34" s="289" t="s">
        <v>182</v>
      </c>
    </row>
    <row r="35" spans="1:31" ht="27">
      <c r="A35" s="272" t="s">
        <v>183</v>
      </c>
      <c r="B35" s="271">
        <v>143.49922044135329</v>
      </c>
      <c r="C35" s="271">
        <v>121.02818866894356</v>
      </c>
      <c r="D35" s="271">
        <v>117.48013102066835</v>
      </c>
      <c r="E35" s="271">
        <v>97.374471013775448</v>
      </c>
      <c r="F35" s="271">
        <v>85.547612186191373</v>
      </c>
      <c r="G35" s="271">
        <v>89.917247426610743</v>
      </c>
      <c r="H35" s="271">
        <v>89.5</v>
      </c>
      <c r="I35" s="271">
        <v>108.9</v>
      </c>
      <c r="J35" s="271">
        <v>108.5</v>
      </c>
      <c r="K35" s="271">
        <v>93.8</v>
      </c>
      <c r="L35" s="271">
        <v>95.4</v>
      </c>
      <c r="M35" s="271">
        <v>164.5</v>
      </c>
      <c r="N35" s="271">
        <v>171.3</v>
      </c>
      <c r="O35" s="271">
        <v>163.77088000000001</v>
      </c>
      <c r="P35" s="271">
        <v>171.6</v>
      </c>
      <c r="Q35" s="271">
        <v>238.1764</v>
      </c>
      <c r="R35" s="271">
        <v>274.39999999999998</v>
      </c>
      <c r="S35" s="271">
        <v>321.60000000000002</v>
      </c>
      <c r="T35" s="271">
        <v>199.1</v>
      </c>
      <c r="U35" s="271">
        <v>178.7</v>
      </c>
      <c r="V35" s="271">
        <v>166.1565808</v>
      </c>
      <c r="W35" s="271">
        <v>151.80300800000001</v>
      </c>
      <c r="X35" s="271">
        <v>148.7047464</v>
      </c>
      <c r="Y35" s="271">
        <v>160.6884</v>
      </c>
      <c r="Z35" s="271">
        <v>166.3337368</v>
      </c>
      <c r="AA35" s="271">
        <v>190.37577440000001</v>
      </c>
      <c r="AB35" s="271">
        <v>248.7</v>
      </c>
      <c r="AC35" s="271">
        <v>320.89999999999998</v>
      </c>
      <c r="AD35" s="271">
        <v>211.26</v>
      </c>
      <c r="AE35" s="288" t="s">
        <v>184</v>
      </c>
    </row>
    <row r="36" spans="1:31" ht="27">
      <c r="A36" s="272" t="s">
        <v>185</v>
      </c>
      <c r="B36" s="271">
        <v>148.22996397238691</v>
      </c>
      <c r="C36" s="271">
        <v>113.14361611722086</v>
      </c>
      <c r="D36" s="271">
        <v>113.93207337239313</v>
      </c>
      <c r="E36" s="271">
        <v>95.403327875844766</v>
      </c>
      <c r="F36" s="271">
        <v>87.518755324122068</v>
      </c>
      <c r="G36" s="271">
        <v>97.078798106606286</v>
      </c>
      <c r="H36" s="271">
        <v>91.9</v>
      </c>
      <c r="I36" s="271">
        <v>107</v>
      </c>
      <c r="J36" s="271">
        <v>111.2</v>
      </c>
      <c r="K36" s="271">
        <v>95.4</v>
      </c>
      <c r="L36" s="271">
        <v>102.1</v>
      </c>
      <c r="M36" s="271">
        <v>160.4</v>
      </c>
      <c r="N36" s="271">
        <v>180.3</v>
      </c>
      <c r="O36" s="271">
        <v>158.25935999999999</v>
      </c>
      <c r="P36" s="271">
        <v>164.6</v>
      </c>
      <c r="Q36" s="271">
        <v>250.38048000000001</v>
      </c>
      <c r="R36" s="271">
        <v>258.60000000000002</v>
      </c>
      <c r="S36" s="271">
        <v>308.60000000000002</v>
      </c>
      <c r="T36" s="271">
        <v>197.4</v>
      </c>
      <c r="U36" s="271">
        <v>178.7</v>
      </c>
      <c r="V36" s="271">
        <v>163.948036</v>
      </c>
      <c r="W36" s="271">
        <v>152.44864319999999</v>
      </c>
      <c r="X36" s="271">
        <v>148.98032240000001</v>
      </c>
      <c r="Y36" s="271">
        <v>167.44</v>
      </c>
      <c r="Z36" s="271">
        <v>166.95575120000001</v>
      </c>
      <c r="AA36" s="271">
        <v>198.76903200000001</v>
      </c>
      <c r="AB36" s="271">
        <v>264.5</v>
      </c>
      <c r="AC36" s="271">
        <v>302.2</v>
      </c>
      <c r="AD36" s="271">
        <v>206.55</v>
      </c>
      <c r="AE36" s="288" t="s">
        <v>186</v>
      </c>
    </row>
    <row r="37" spans="1:31" ht="27">
      <c r="A37" s="274" t="s">
        <v>251</v>
      </c>
      <c r="B37" s="269">
        <v>123.62352713388562</v>
      </c>
      <c r="C37" s="269">
        <v>164.72186155974023</v>
      </c>
      <c r="D37" s="269">
        <v>117.28301670687529</v>
      </c>
      <c r="E37" s="269">
        <v>101.67813353159077</v>
      </c>
      <c r="F37" s="269">
        <v>90.442617645385894</v>
      </c>
      <c r="G37" s="269">
        <v>89.215354334084338</v>
      </c>
      <c r="H37" s="269">
        <v>89.656494632697402</v>
      </c>
      <c r="I37" s="269">
        <v>99.266666666666666</v>
      </c>
      <c r="J37" s="269">
        <v>105.38333333333334</v>
      </c>
      <c r="K37" s="269">
        <v>111.81666666666666</v>
      </c>
      <c r="L37" s="269">
        <v>98.674999999999997</v>
      </c>
      <c r="M37" s="269">
        <v>121.85000000000001</v>
      </c>
      <c r="N37" s="269">
        <v>164.04999999999998</v>
      </c>
      <c r="O37" s="269">
        <v>223.10415243030306</v>
      </c>
      <c r="P37" s="269">
        <v>165.51666666666665</v>
      </c>
      <c r="Q37" s="269">
        <f t="shared" ref="Q37:AA37" si="1">AVERAGE(Q25:Q36)</f>
        <v>185.91420833333333</v>
      </c>
      <c r="R37" s="269">
        <f t="shared" si="1"/>
        <v>291.68333333333334</v>
      </c>
      <c r="S37" s="269">
        <f t="shared" si="1"/>
        <v>298.4083333333333</v>
      </c>
      <c r="T37" s="269">
        <f t="shared" si="1"/>
        <v>259.37499999999994</v>
      </c>
      <c r="U37" s="269">
        <f t="shared" si="1"/>
        <v>192.875</v>
      </c>
      <c r="V37" s="269">
        <f t="shared" si="1"/>
        <v>169.75022306666668</v>
      </c>
      <c r="W37" s="269">
        <f t="shared" si="1"/>
        <v>159.16088720000002</v>
      </c>
      <c r="X37" s="269">
        <f t="shared" si="1"/>
        <v>154.53153846666666</v>
      </c>
      <c r="Y37" s="269">
        <f t="shared" si="1"/>
        <v>164.41453333333331</v>
      </c>
      <c r="Z37" s="269">
        <f t="shared" si="1"/>
        <v>170.07008806666667</v>
      </c>
      <c r="AA37" s="269">
        <f t="shared" si="1"/>
        <v>165.46600046666663</v>
      </c>
      <c r="AB37" s="269">
        <v>259.5</v>
      </c>
      <c r="AC37" s="269">
        <v>318.8</v>
      </c>
      <c r="AD37" s="269">
        <v>252.66</v>
      </c>
      <c r="AE37" s="286" t="s">
        <v>252</v>
      </c>
    </row>
    <row r="38" spans="1:31" ht="27.6" thickBot="1">
      <c r="A38" s="276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424"/>
      <c r="AD38" s="424"/>
      <c r="AE38" s="279"/>
    </row>
    <row r="39" spans="1:31" ht="26.4">
      <c r="A39" s="21" t="s">
        <v>604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22" t="s">
        <v>605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2:AE33"/>
  <sheetViews>
    <sheetView topLeftCell="A13" zoomScale="91" workbookViewId="0">
      <selection activeCell="AG14" sqref="AG14"/>
    </sheetView>
  </sheetViews>
  <sheetFormatPr baseColWidth="10" defaultRowHeight="14.4"/>
  <cols>
    <col min="1" max="1" width="34.44140625" customWidth="1"/>
    <col min="2" max="10" width="13.6640625" customWidth="1"/>
    <col min="11" max="26" width="12.44140625" bestFit="1" customWidth="1"/>
    <col min="27" max="29" width="12.33203125" bestFit="1" customWidth="1"/>
    <col min="30" max="30" width="11.6640625" bestFit="1" customWidth="1"/>
    <col min="31" max="31" width="39" customWidth="1"/>
  </cols>
  <sheetData>
    <row r="2" spans="1:31">
      <c r="A2" t="s">
        <v>1577</v>
      </c>
    </row>
    <row r="3" spans="1:31">
      <c r="AE3" t="s">
        <v>1579</v>
      </c>
    </row>
    <row r="4" spans="1:31" ht="15" thickBot="1"/>
    <row r="5" spans="1:31" ht="30">
      <c r="A5" s="307" t="s">
        <v>200</v>
      </c>
      <c r="B5" s="307">
        <v>1995</v>
      </c>
      <c r="C5" s="307">
        <v>1996</v>
      </c>
      <c r="D5" s="307">
        <v>1997</v>
      </c>
      <c r="E5" s="307">
        <v>1998</v>
      </c>
      <c r="F5" s="307">
        <v>1999</v>
      </c>
      <c r="G5" s="307">
        <v>2000</v>
      </c>
      <c r="H5" s="307">
        <v>2001</v>
      </c>
      <c r="I5" s="307">
        <v>2002</v>
      </c>
      <c r="J5" s="307">
        <v>2003</v>
      </c>
      <c r="K5" s="307">
        <v>2004</v>
      </c>
      <c r="L5" s="307">
        <v>2005</v>
      </c>
      <c r="M5" s="307" t="s">
        <v>201</v>
      </c>
      <c r="N5" s="307" t="s">
        <v>202</v>
      </c>
      <c r="O5" s="307" t="s">
        <v>203</v>
      </c>
      <c r="P5" s="307" t="s">
        <v>204</v>
      </c>
      <c r="Q5" s="307" t="s">
        <v>205</v>
      </c>
      <c r="R5" s="307" t="s">
        <v>501</v>
      </c>
      <c r="S5" s="307" t="s">
        <v>502</v>
      </c>
      <c r="T5" s="307" t="s">
        <v>503</v>
      </c>
      <c r="U5" s="307" t="s">
        <v>504</v>
      </c>
      <c r="V5" s="307" t="s">
        <v>505</v>
      </c>
      <c r="W5" s="307" t="s">
        <v>506</v>
      </c>
      <c r="X5" s="307" t="s">
        <v>225</v>
      </c>
      <c r="Y5" s="307" t="s">
        <v>226</v>
      </c>
      <c r="Z5" s="307" t="s">
        <v>227</v>
      </c>
      <c r="AA5" s="307" t="s">
        <v>228</v>
      </c>
      <c r="AB5" s="307" t="s">
        <v>229</v>
      </c>
      <c r="AC5" s="307">
        <v>2022</v>
      </c>
      <c r="AD5" s="307">
        <v>2023</v>
      </c>
      <c r="AE5" s="307" t="s">
        <v>206</v>
      </c>
    </row>
    <row r="6" spans="1:31" ht="26.4">
      <c r="A6" s="310" t="s">
        <v>207</v>
      </c>
      <c r="B6" s="438" t="s">
        <v>13</v>
      </c>
      <c r="C6" s="438" t="s">
        <v>13</v>
      </c>
      <c r="D6" s="438" t="s">
        <v>13</v>
      </c>
      <c r="E6" s="438" t="s">
        <v>13</v>
      </c>
      <c r="F6" s="440">
        <v>84.4</v>
      </c>
      <c r="G6" s="440">
        <v>88</v>
      </c>
      <c r="H6" s="440">
        <v>95.2</v>
      </c>
      <c r="I6" s="440">
        <v>101.7</v>
      </c>
      <c r="J6" s="440">
        <v>106.5</v>
      </c>
      <c r="K6" s="440">
        <v>109.8</v>
      </c>
      <c r="L6" s="440">
        <v>96.2</v>
      </c>
      <c r="M6" s="440">
        <v>122.9</v>
      </c>
      <c r="N6" s="440">
        <v>163.69999999999999</v>
      </c>
      <c r="O6" s="440">
        <v>207.83070253341614</v>
      </c>
      <c r="P6" s="440">
        <v>151.05413225833334</v>
      </c>
      <c r="Q6" s="440">
        <v>165.40389885641667</v>
      </c>
      <c r="R6" s="440">
        <v>268.7</v>
      </c>
      <c r="S6" s="440">
        <v>271.93008485912497</v>
      </c>
      <c r="T6" s="440">
        <v>243.3</v>
      </c>
      <c r="U6" s="440">
        <v>207.2</v>
      </c>
      <c r="V6" s="440">
        <v>204.74</v>
      </c>
      <c r="W6" s="440">
        <v>155.59105650000001</v>
      </c>
      <c r="X6" s="440">
        <v>163.02246308333301</v>
      </c>
      <c r="Y6" s="440">
        <v>168.6</v>
      </c>
      <c r="Z6" s="440">
        <v>161.5</v>
      </c>
      <c r="AA6" s="440">
        <v>171.6</v>
      </c>
      <c r="AB6" s="440" t="s">
        <v>13</v>
      </c>
      <c r="AC6" s="440" t="s">
        <v>13</v>
      </c>
      <c r="AD6" s="440" t="s">
        <v>298</v>
      </c>
      <c r="AE6" s="310" t="s">
        <v>208</v>
      </c>
    </row>
    <row r="7" spans="1:31" ht="26.4">
      <c r="A7" s="310" t="s">
        <v>209</v>
      </c>
      <c r="B7" s="440">
        <v>628.70666666666659</v>
      </c>
      <c r="C7" s="440">
        <v>523.53166666666664</v>
      </c>
      <c r="D7" s="440">
        <v>545.83333333333337</v>
      </c>
      <c r="E7" s="440">
        <v>671.29666666666674</v>
      </c>
      <c r="F7" s="440">
        <v>436.29416666666663</v>
      </c>
      <c r="G7" s="440">
        <v>309.50749999999999</v>
      </c>
      <c r="H7" s="440">
        <v>286.13583333333332</v>
      </c>
      <c r="I7" s="440">
        <v>390.25</v>
      </c>
      <c r="J7" s="440">
        <v>443.33333333333331</v>
      </c>
      <c r="K7" s="440">
        <v>471.33333333333331</v>
      </c>
      <c r="L7" s="440">
        <v>422.08333333333331</v>
      </c>
      <c r="M7" s="440">
        <v>478.4</v>
      </c>
      <c r="N7" s="440">
        <v>780</v>
      </c>
      <c r="O7" s="440">
        <v>948.54166666666663</v>
      </c>
      <c r="P7" s="440">
        <v>682.75</v>
      </c>
      <c r="Q7" s="440">
        <v>900.83333333333337</v>
      </c>
      <c r="R7" s="440">
        <v>1125</v>
      </c>
      <c r="S7" s="440">
        <v>999.33333333333405</v>
      </c>
      <c r="T7" s="440">
        <v>857</v>
      </c>
      <c r="U7" s="440">
        <v>821</v>
      </c>
      <c r="V7" s="440">
        <v>622.66999999999996</v>
      </c>
      <c r="W7" s="440">
        <v>700</v>
      </c>
      <c r="X7" s="440">
        <v>748</v>
      </c>
      <c r="Y7" s="440">
        <v>639</v>
      </c>
      <c r="Z7" s="440">
        <v>601</v>
      </c>
      <c r="AA7" s="440">
        <v>751.8</v>
      </c>
      <c r="AB7" s="440">
        <v>1130.5999999999999</v>
      </c>
      <c r="AC7" s="440">
        <v>1275.9000000000001</v>
      </c>
      <c r="AD7" s="440">
        <v>886.4</v>
      </c>
      <c r="AE7" s="310" t="s">
        <v>210</v>
      </c>
    </row>
    <row r="8" spans="1:31" ht="26.4">
      <c r="A8" s="310" t="s">
        <v>211</v>
      </c>
      <c r="B8" s="440">
        <v>1907.4053656743843</v>
      </c>
      <c r="C8" s="440">
        <v>1785.4465270121282</v>
      </c>
      <c r="D8" s="440">
        <v>1855.9904446894525</v>
      </c>
      <c r="E8" s="440">
        <v>1726.4608599779492</v>
      </c>
      <c r="F8" s="440">
        <v>1833.2965821389196</v>
      </c>
      <c r="G8" s="440">
        <v>1935.8324145534732</v>
      </c>
      <c r="H8" s="440">
        <v>2129.006063947078</v>
      </c>
      <c r="I8" s="440">
        <v>2105</v>
      </c>
      <c r="J8" s="440">
        <v>1979.75</v>
      </c>
      <c r="K8" s="440">
        <v>2512.75</v>
      </c>
      <c r="L8" s="440">
        <v>2617</v>
      </c>
      <c r="M8" s="440">
        <v>2547</v>
      </c>
      <c r="N8" s="440">
        <v>2603</v>
      </c>
      <c r="O8" s="440">
        <v>3137.9887446111102</v>
      </c>
      <c r="P8" s="440">
        <v>2636.4958720833301</v>
      </c>
      <c r="Q8" s="440">
        <v>3351.4510761108336</v>
      </c>
      <c r="R8" s="440">
        <v>4042</v>
      </c>
      <c r="S8" s="440">
        <v>4142.2972616666702</v>
      </c>
      <c r="T8" s="440">
        <v>4073.4488162500002</v>
      </c>
      <c r="U8" s="440">
        <v>4950</v>
      </c>
      <c r="V8" s="440">
        <v>4420</v>
      </c>
      <c r="W8" s="440">
        <v>3930</v>
      </c>
      <c r="X8" s="440">
        <v>4390</v>
      </c>
      <c r="Y8" s="440">
        <v>4200</v>
      </c>
      <c r="Z8" s="440">
        <v>4760</v>
      </c>
      <c r="AA8" s="440">
        <v>4670</v>
      </c>
      <c r="AB8" s="440">
        <v>5342.4</v>
      </c>
      <c r="AC8" s="440">
        <v>5621.6</v>
      </c>
      <c r="AD8" s="440" t="s">
        <v>1043</v>
      </c>
      <c r="AE8" s="310" t="s">
        <v>212</v>
      </c>
    </row>
    <row r="9" spans="1:31" ht="26.4">
      <c r="A9" s="310" t="s">
        <v>213</v>
      </c>
      <c r="B9" s="438" t="s">
        <v>13</v>
      </c>
      <c r="C9" s="438" t="s">
        <v>13</v>
      </c>
      <c r="D9" s="438" t="s">
        <v>13</v>
      </c>
      <c r="E9" s="438" t="s">
        <v>13</v>
      </c>
      <c r="F9" s="440">
        <v>2.61</v>
      </c>
      <c r="G9" s="440">
        <v>2.6190000000000002</v>
      </c>
      <c r="H9" s="440">
        <v>2.9119999999999999</v>
      </c>
      <c r="I9" s="440">
        <v>3.3029999999999999</v>
      </c>
      <c r="J9" s="440">
        <v>3.8849999999999998</v>
      </c>
      <c r="K9" s="440">
        <v>4.5990000000000002</v>
      </c>
      <c r="L9" s="440">
        <v>4.4329999999999998</v>
      </c>
      <c r="M9" s="440">
        <v>4.03</v>
      </c>
      <c r="N9" s="440">
        <v>4.12</v>
      </c>
      <c r="O9" s="440">
        <v>4.5850681281250001</v>
      </c>
      <c r="P9" s="440">
        <v>4.2764963604166697</v>
      </c>
      <c r="Q9" s="440">
        <v>5.3143171406700001</v>
      </c>
      <c r="R9" s="440">
        <v>6.6310000000000002</v>
      </c>
      <c r="S9" s="440">
        <v>6.0911359376623402</v>
      </c>
      <c r="T9" s="440">
        <v>5.6524298088474003</v>
      </c>
      <c r="U9" s="440">
        <v>6.39</v>
      </c>
      <c r="V9" s="440">
        <v>5.22</v>
      </c>
      <c r="W9" s="440">
        <v>4.6900000000000004</v>
      </c>
      <c r="X9" s="440">
        <v>5.4194936250000003</v>
      </c>
      <c r="Y9" s="440">
        <v>5.87</v>
      </c>
      <c r="Z9" s="440" t="s">
        <v>13</v>
      </c>
      <c r="AA9" s="440" t="s">
        <v>13</v>
      </c>
      <c r="AB9" s="440" t="s">
        <v>13</v>
      </c>
      <c r="AC9" s="440" t="s">
        <v>13</v>
      </c>
      <c r="AD9" s="440"/>
      <c r="AE9" s="310" t="s">
        <v>214</v>
      </c>
    </row>
    <row r="10" spans="1:31" ht="26.4">
      <c r="A10" s="310" t="s">
        <v>215</v>
      </c>
      <c r="B10" s="438" t="s">
        <v>13</v>
      </c>
      <c r="C10" s="438" t="s">
        <v>13</v>
      </c>
      <c r="D10" s="438" t="s">
        <v>13</v>
      </c>
      <c r="E10" s="438" t="s">
        <v>13</v>
      </c>
      <c r="F10" s="440">
        <v>114.30766600000001</v>
      </c>
      <c r="G10" s="440">
        <v>217.03349799999998</v>
      </c>
      <c r="H10" s="440">
        <v>199.40896800000002</v>
      </c>
      <c r="I10" s="440">
        <v>168.69193000000001</v>
      </c>
      <c r="J10" s="440">
        <v>276.45334200000002</v>
      </c>
      <c r="K10" s="440">
        <v>296.595662</v>
      </c>
      <c r="L10" s="440">
        <v>449.17373600000002</v>
      </c>
      <c r="M10" s="440">
        <v>338.39097600000002</v>
      </c>
      <c r="N10" s="440">
        <v>351.48348400000003</v>
      </c>
      <c r="O10" s="440">
        <v>446.15238799999997</v>
      </c>
      <c r="P10" s="440">
        <v>198.90541000000002</v>
      </c>
      <c r="Q10" s="440">
        <v>221.56552000000002</v>
      </c>
      <c r="R10" s="440">
        <v>201.42320000000001</v>
      </c>
      <c r="S10" s="440">
        <v>138.47845000000001</v>
      </c>
      <c r="T10" s="440">
        <v>187.827134</v>
      </c>
      <c r="U10" s="440">
        <v>221.56552000000002</v>
      </c>
      <c r="V10" s="440">
        <v>131.42863800000001</v>
      </c>
      <c r="W10" s="440">
        <v>125.38594200000001</v>
      </c>
      <c r="X10" s="440">
        <v>149.053168</v>
      </c>
      <c r="Y10" s="440">
        <v>159.12432800000002</v>
      </c>
      <c r="Z10" s="440">
        <v>129.41440599999999</v>
      </c>
      <c r="AA10" s="440">
        <v>103.6</v>
      </c>
      <c r="AB10" s="440">
        <v>177.3</v>
      </c>
      <c r="AC10" s="440">
        <v>273</v>
      </c>
      <c r="AD10" s="440" t="s">
        <v>1044</v>
      </c>
      <c r="AE10" s="310" t="s">
        <v>216</v>
      </c>
    </row>
    <row r="11" spans="1:31" ht="26.4">
      <c r="A11" s="310" t="s">
        <v>217</v>
      </c>
      <c r="B11" s="440">
        <v>27</v>
      </c>
      <c r="C11" s="440">
        <v>28.594999999999999</v>
      </c>
      <c r="D11" s="440">
        <v>28.708333333333329</v>
      </c>
      <c r="E11" s="440">
        <v>29.69</v>
      </c>
      <c r="F11" s="440">
        <v>27.59</v>
      </c>
      <c r="G11" s="440">
        <v>28.79</v>
      </c>
      <c r="H11" s="440">
        <v>29.41</v>
      </c>
      <c r="I11" s="440">
        <v>29.31</v>
      </c>
      <c r="J11" s="440">
        <v>31.95</v>
      </c>
      <c r="K11" s="440">
        <v>37.9</v>
      </c>
      <c r="L11" s="440">
        <v>65</v>
      </c>
      <c r="M11" s="440">
        <v>77.349999999999994</v>
      </c>
      <c r="N11" s="440">
        <v>84.7</v>
      </c>
      <c r="O11" s="440">
        <v>140.6</v>
      </c>
      <c r="P11" s="440">
        <v>100.95</v>
      </c>
      <c r="Q11" s="440">
        <v>165.5</v>
      </c>
      <c r="R11" s="440">
        <v>167.75658730159</v>
      </c>
      <c r="S11" s="440">
        <v>128.495925925926</v>
      </c>
      <c r="T11" s="440">
        <v>135</v>
      </c>
      <c r="U11" s="440">
        <v>97</v>
      </c>
      <c r="V11" s="440">
        <v>55.83</v>
      </c>
      <c r="W11" s="440">
        <v>58.4</v>
      </c>
      <c r="X11" s="440">
        <v>71.760000000000005</v>
      </c>
      <c r="Y11" s="440">
        <v>69.8</v>
      </c>
      <c r="Z11" s="440">
        <v>93.8</v>
      </c>
      <c r="AA11" s="440">
        <v>108.9</v>
      </c>
      <c r="AB11" s="440">
        <v>161.69999999999999</v>
      </c>
      <c r="AC11" s="440">
        <v>121.3</v>
      </c>
      <c r="AD11" s="440" t="s">
        <v>1045</v>
      </c>
      <c r="AE11" s="310" t="s">
        <v>218</v>
      </c>
    </row>
    <row r="12" spans="1:31" ht="26.4">
      <c r="A12" s="310" t="s">
        <v>219</v>
      </c>
      <c r="B12" s="440">
        <v>17.477440407196184</v>
      </c>
      <c r="C12" s="440">
        <v>18.591025660200859</v>
      </c>
      <c r="D12" s="440">
        <v>18.784014888637824</v>
      </c>
      <c r="E12" s="440">
        <v>19.402587412390755</v>
      </c>
      <c r="F12" s="440">
        <v>16.290367501298576</v>
      </c>
      <c r="G12" s="440">
        <v>17.873904237929409</v>
      </c>
      <c r="H12" s="440">
        <v>18.606888936185147</v>
      </c>
      <c r="I12" s="440">
        <v>17.664391212815513</v>
      </c>
      <c r="J12" s="440">
        <v>18.116666666666671</v>
      </c>
      <c r="K12" s="440">
        <v>22.225000000000001</v>
      </c>
      <c r="L12" s="440">
        <v>36.25</v>
      </c>
      <c r="M12" s="440">
        <v>46.08</v>
      </c>
      <c r="N12" s="440">
        <v>47.4</v>
      </c>
      <c r="O12" s="440">
        <v>76</v>
      </c>
      <c r="P12" s="440" t="s">
        <v>223</v>
      </c>
      <c r="Q12" s="440" t="s">
        <v>224</v>
      </c>
      <c r="R12" s="440" t="s">
        <v>13</v>
      </c>
      <c r="S12" s="440" t="s">
        <v>13</v>
      </c>
      <c r="T12" s="440" t="s">
        <v>13</v>
      </c>
      <c r="U12" s="440"/>
      <c r="V12" s="440"/>
      <c r="W12" s="440"/>
      <c r="X12" s="440">
        <v>71.8</v>
      </c>
      <c r="Y12" s="440">
        <v>69.8</v>
      </c>
      <c r="Z12" s="440">
        <v>93.8</v>
      </c>
      <c r="AA12" s="440">
        <v>108.9</v>
      </c>
      <c r="AB12" s="440">
        <v>125.8</v>
      </c>
      <c r="AC12" s="440" t="s">
        <v>1046</v>
      </c>
      <c r="AD12" s="440" t="s">
        <v>1047</v>
      </c>
      <c r="AE12" s="310" t="s">
        <v>220</v>
      </c>
    </row>
    <row r="14" spans="1:31">
      <c r="AE14" t="s">
        <v>222</v>
      </c>
    </row>
    <row r="15" spans="1:31">
      <c r="A15" t="s">
        <v>221</v>
      </c>
    </row>
    <row r="18" spans="1:31" ht="15.6">
      <c r="A18" s="774" t="s">
        <v>1578</v>
      </c>
    </row>
    <row r="19" spans="1:31" ht="15" thickBot="1"/>
    <row r="20" spans="1:31" ht="41.4">
      <c r="A20" s="266" t="s">
        <v>270</v>
      </c>
      <c r="B20" s="307">
        <v>1995</v>
      </c>
      <c r="C20" s="307">
        <v>1996</v>
      </c>
      <c r="D20" s="307">
        <v>1997</v>
      </c>
      <c r="E20" s="307">
        <v>1998</v>
      </c>
      <c r="F20" s="307">
        <v>1999</v>
      </c>
      <c r="G20" s="307">
        <v>2000</v>
      </c>
      <c r="H20" s="307">
        <v>2001</v>
      </c>
      <c r="I20" s="307">
        <v>2002</v>
      </c>
      <c r="J20" s="307">
        <v>2003</v>
      </c>
      <c r="K20" s="307" t="s">
        <v>238</v>
      </c>
      <c r="L20" s="307" t="s">
        <v>239</v>
      </c>
      <c r="M20" s="307">
        <v>2006</v>
      </c>
      <c r="N20" s="307" t="s">
        <v>202</v>
      </c>
      <c r="O20" s="307" t="s">
        <v>203</v>
      </c>
      <c r="P20" s="307" t="s">
        <v>204</v>
      </c>
      <c r="Q20" s="307" t="s">
        <v>205</v>
      </c>
      <c r="R20" s="307" t="s">
        <v>501</v>
      </c>
      <c r="S20" s="307" t="s">
        <v>502</v>
      </c>
      <c r="T20" s="307" t="s">
        <v>503</v>
      </c>
      <c r="U20" s="307" t="s">
        <v>504</v>
      </c>
      <c r="V20" s="307" t="s">
        <v>505</v>
      </c>
      <c r="W20" s="307" t="s">
        <v>506</v>
      </c>
      <c r="X20" s="307" t="s">
        <v>225</v>
      </c>
      <c r="Y20" s="307" t="s">
        <v>226</v>
      </c>
      <c r="Z20" s="307" t="s">
        <v>227</v>
      </c>
      <c r="AA20" s="307" t="s">
        <v>228</v>
      </c>
      <c r="AB20" s="307">
        <v>2021</v>
      </c>
      <c r="AC20" s="307">
        <v>2022</v>
      </c>
      <c r="AD20" s="307">
        <v>2023</v>
      </c>
      <c r="AE20" s="267" t="s">
        <v>270</v>
      </c>
    </row>
    <row r="21" spans="1:31" ht="26.4">
      <c r="A21" s="311" t="s">
        <v>507</v>
      </c>
      <c r="B21" s="440" t="s">
        <v>13</v>
      </c>
      <c r="C21" s="440">
        <v>89.3</v>
      </c>
      <c r="D21" s="440">
        <v>83.8</v>
      </c>
      <c r="E21" s="440">
        <v>57.1</v>
      </c>
      <c r="F21" s="440">
        <v>79</v>
      </c>
      <c r="G21" s="440">
        <v>123.4</v>
      </c>
      <c r="H21" s="440">
        <v>106.4</v>
      </c>
      <c r="I21" s="440">
        <v>109</v>
      </c>
      <c r="J21" s="440">
        <v>126.3</v>
      </c>
      <c r="K21" s="440">
        <v>164.9</v>
      </c>
      <c r="L21" s="440">
        <v>233.4</v>
      </c>
      <c r="M21" s="440">
        <v>281</v>
      </c>
      <c r="N21" s="440">
        <v>310.8</v>
      </c>
      <c r="O21" s="440">
        <v>342</v>
      </c>
      <c r="P21" s="440">
        <v>214.27347495740159</v>
      </c>
      <c r="Q21" s="440">
        <v>271.16607380900001</v>
      </c>
      <c r="R21" s="440">
        <v>128.69999999999999</v>
      </c>
      <c r="S21" s="440">
        <v>127.6</v>
      </c>
      <c r="T21" s="440">
        <v>127.4</v>
      </c>
      <c r="U21" s="440">
        <v>118.4</v>
      </c>
      <c r="V21" s="440">
        <v>64.91</v>
      </c>
      <c r="W21" s="440">
        <v>55</v>
      </c>
      <c r="X21" s="440">
        <v>68.099999999999994</v>
      </c>
      <c r="Y21" s="440">
        <v>87</v>
      </c>
      <c r="Z21" s="440">
        <v>76</v>
      </c>
      <c r="AA21" s="440">
        <v>51.9</v>
      </c>
      <c r="AB21" s="440">
        <v>95.4</v>
      </c>
      <c r="AC21" s="440">
        <v>152.6</v>
      </c>
      <c r="AD21" s="440">
        <v>106.95</v>
      </c>
      <c r="AE21" s="317" t="s">
        <v>512</v>
      </c>
    </row>
    <row r="22" spans="1:31" ht="26.4">
      <c r="A22" s="311" t="s">
        <v>508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>
        <v>119.8</v>
      </c>
      <c r="S22" s="440">
        <v>109.5</v>
      </c>
      <c r="T22" s="440">
        <v>101.7</v>
      </c>
      <c r="U22" s="440">
        <v>97</v>
      </c>
      <c r="V22" s="440">
        <v>82.44</v>
      </c>
      <c r="W22" s="440">
        <v>80.3</v>
      </c>
      <c r="X22" s="440">
        <v>83.7</v>
      </c>
      <c r="Y22" s="440">
        <v>85.2</v>
      </c>
      <c r="Z22" s="440">
        <v>81.7</v>
      </c>
      <c r="AA22" s="440">
        <v>84.1</v>
      </c>
      <c r="AB22" s="440">
        <v>112</v>
      </c>
      <c r="AC22" s="440">
        <v>124.4</v>
      </c>
      <c r="AD22" s="440">
        <v>110.24</v>
      </c>
      <c r="AE22" s="317" t="s">
        <v>513</v>
      </c>
    </row>
    <row r="23" spans="1:31" ht="26.4">
      <c r="A23" s="311" t="s">
        <v>509</v>
      </c>
      <c r="B23" s="440" t="s">
        <v>13</v>
      </c>
      <c r="C23" s="440">
        <v>125.5</v>
      </c>
      <c r="D23" s="440">
        <v>128.69999999999999</v>
      </c>
      <c r="E23" s="440">
        <v>107.8</v>
      </c>
      <c r="F23" s="440">
        <v>92.8</v>
      </c>
      <c r="G23" s="440">
        <v>87.7</v>
      </c>
      <c r="H23" s="440">
        <v>79.8</v>
      </c>
      <c r="I23" s="440">
        <v>86.4</v>
      </c>
      <c r="J23" s="440">
        <v>94.7</v>
      </c>
      <c r="K23" s="440">
        <v>104.7</v>
      </c>
      <c r="L23" s="440">
        <v>112.9</v>
      </c>
      <c r="M23" s="440">
        <v>126.6</v>
      </c>
      <c r="N23" s="440">
        <v>145.6</v>
      </c>
      <c r="O23" s="440">
        <v>230</v>
      </c>
      <c r="P23" s="440">
        <v>197.72848169186167</v>
      </c>
      <c r="Q23" s="440">
        <v>231.333854944</v>
      </c>
      <c r="R23" s="440">
        <v>121.6</v>
      </c>
      <c r="S23" s="440">
        <v>114.5</v>
      </c>
      <c r="T23" s="440">
        <v>106.3</v>
      </c>
      <c r="U23" s="440">
        <v>102.7</v>
      </c>
      <c r="V23" s="440">
        <v>89.29</v>
      </c>
      <c r="W23" s="440">
        <v>89.1</v>
      </c>
      <c r="X23" s="440">
        <v>87</v>
      </c>
      <c r="Y23" s="440">
        <v>86.7</v>
      </c>
      <c r="Z23" s="440">
        <v>83.3</v>
      </c>
      <c r="AA23" s="440">
        <v>87.1</v>
      </c>
      <c r="AB23" s="440">
        <v>108.7</v>
      </c>
      <c r="AC23" s="440">
        <v>122.7</v>
      </c>
      <c r="AD23" s="440">
        <v>110.88</v>
      </c>
      <c r="AE23" s="317" t="s">
        <v>514</v>
      </c>
    </row>
    <row r="24" spans="1:31" ht="26.4">
      <c r="A24" s="311" t="s">
        <v>230</v>
      </c>
      <c r="B24" s="440" t="s">
        <v>13</v>
      </c>
      <c r="C24" s="440">
        <v>126.5</v>
      </c>
      <c r="D24" s="440">
        <v>171</v>
      </c>
      <c r="E24" s="440">
        <v>140.6</v>
      </c>
      <c r="F24" s="440">
        <v>107.7</v>
      </c>
      <c r="G24" s="440">
        <v>88.4</v>
      </c>
      <c r="H24" s="440">
        <v>72.099999999999994</v>
      </c>
      <c r="I24" s="440">
        <v>84.6</v>
      </c>
      <c r="J24" s="440">
        <v>87.1</v>
      </c>
      <c r="K24" s="440">
        <v>94</v>
      </c>
      <c r="L24" s="440">
        <v>116.9</v>
      </c>
      <c r="M24" s="440">
        <v>122.5</v>
      </c>
      <c r="N24" s="440">
        <v>139.5</v>
      </c>
      <c r="O24" s="440">
        <v>210</v>
      </c>
      <c r="P24" s="440">
        <v>219.9074871109494</v>
      </c>
      <c r="Q24" s="440">
        <v>253.76289191999999</v>
      </c>
      <c r="R24" s="440">
        <v>116</v>
      </c>
      <c r="S24" s="440">
        <v>92.6</v>
      </c>
      <c r="T24" s="440">
        <v>83.3</v>
      </c>
      <c r="U24" s="440">
        <v>101.8</v>
      </c>
      <c r="V24" s="440">
        <v>93.53</v>
      </c>
      <c r="W24" s="440">
        <v>91</v>
      </c>
      <c r="X24" s="440">
        <v>83.1</v>
      </c>
      <c r="Y24" s="440">
        <v>79.099999999999994</v>
      </c>
      <c r="Z24" s="440">
        <v>76.2</v>
      </c>
      <c r="AA24" s="440">
        <v>80.400000000000006</v>
      </c>
      <c r="AB24" s="440">
        <v>93.5</v>
      </c>
      <c r="AC24" s="440">
        <v>106.3</v>
      </c>
      <c r="AD24" s="440">
        <v>107.76</v>
      </c>
      <c r="AE24" s="317" t="s">
        <v>515</v>
      </c>
    </row>
    <row r="25" spans="1:31" ht="26.4">
      <c r="A25" s="311" t="s">
        <v>231</v>
      </c>
      <c r="B25" s="440" t="s">
        <v>13</v>
      </c>
      <c r="C25" s="440">
        <v>123.6</v>
      </c>
      <c r="D25" s="440">
        <v>116.1</v>
      </c>
      <c r="E25" s="440">
        <v>104.9</v>
      </c>
      <c r="F25" s="440">
        <v>87.5</v>
      </c>
      <c r="G25" s="440">
        <v>84.5</v>
      </c>
      <c r="H25" s="440">
        <v>86.1</v>
      </c>
      <c r="I25" s="440">
        <v>90.1</v>
      </c>
      <c r="J25" s="440">
        <v>96.4</v>
      </c>
      <c r="K25" s="440">
        <v>110</v>
      </c>
      <c r="L25" s="440">
        <v>109.9</v>
      </c>
      <c r="M25" s="440">
        <v>126.4</v>
      </c>
      <c r="N25" s="440">
        <v>191.1</v>
      </c>
      <c r="O25" s="440">
        <v>278.10000000000002</v>
      </c>
      <c r="P25" s="440">
        <v>216.18017172811719</v>
      </c>
      <c r="Q25" s="440">
        <v>244.43256042600001</v>
      </c>
      <c r="R25" s="440">
        <v>122.5</v>
      </c>
      <c r="S25" s="440">
        <v>124.5</v>
      </c>
      <c r="T25" s="440">
        <v>115.6</v>
      </c>
      <c r="U25" s="440">
        <v>107.4</v>
      </c>
      <c r="V25" s="440">
        <v>90.87</v>
      </c>
      <c r="W25" s="440">
        <v>92.3</v>
      </c>
      <c r="X25" s="440">
        <v>90.2</v>
      </c>
      <c r="Y25" s="440">
        <v>90.4</v>
      </c>
      <c r="Z25" s="440">
        <v>87</v>
      </c>
      <c r="AA25" s="440">
        <v>92.5</v>
      </c>
      <c r="AB25" s="440">
        <v>121.8</v>
      </c>
      <c r="AC25" s="440">
        <v>143.69999999999999</v>
      </c>
      <c r="AD25" s="440">
        <v>125.44</v>
      </c>
      <c r="AE25" s="317" t="s">
        <v>516</v>
      </c>
    </row>
    <row r="26" spans="1:31" ht="26.4">
      <c r="A26" s="311" t="s">
        <v>232</v>
      </c>
      <c r="B26" s="440" t="s">
        <v>13</v>
      </c>
      <c r="C26" s="440">
        <v>147</v>
      </c>
      <c r="D26" s="440">
        <v>147.69999999999999</v>
      </c>
      <c r="E26" s="440">
        <v>132.80000000000001</v>
      </c>
      <c r="F26" s="440">
        <v>105</v>
      </c>
      <c r="G26" s="440">
        <v>96.2</v>
      </c>
      <c r="H26" s="440">
        <v>89</v>
      </c>
      <c r="I26" s="440">
        <v>101.2</v>
      </c>
      <c r="J26" s="440">
        <v>120.6</v>
      </c>
      <c r="K26" s="440">
        <v>137.1</v>
      </c>
      <c r="L26" s="440">
        <v>122.8</v>
      </c>
      <c r="M26" s="440">
        <v>120.9</v>
      </c>
      <c r="N26" s="440">
        <v>148.80000000000001</v>
      </c>
      <c r="O26" s="440">
        <v>281.7</v>
      </c>
      <c r="P26" s="440">
        <v>214.9009288440765</v>
      </c>
      <c r="Q26" s="440">
        <v>215.79696889499999</v>
      </c>
      <c r="R26" s="440">
        <v>120.5</v>
      </c>
      <c r="S26" s="440">
        <v>126.1</v>
      </c>
      <c r="T26" s="440">
        <v>115.9</v>
      </c>
      <c r="U26" s="440">
        <v>109</v>
      </c>
      <c r="V26" s="440">
        <v>85.17</v>
      </c>
      <c r="W26" s="440">
        <v>89.6</v>
      </c>
      <c r="X26" s="440">
        <v>87.5</v>
      </c>
      <c r="Y26" s="440">
        <v>85</v>
      </c>
      <c r="Z26" s="440">
        <v>77.5</v>
      </c>
      <c r="AA26" s="440">
        <v>89.8</v>
      </c>
      <c r="AB26" s="440">
        <v>127.1</v>
      </c>
      <c r="AC26" s="440">
        <v>145.19999999999999</v>
      </c>
      <c r="AD26" s="440">
        <v>118.9</v>
      </c>
      <c r="AE26" s="317" t="s">
        <v>517</v>
      </c>
    </row>
    <row r="27" spans="1:31" ht="26.4">
      <c r="A27" s="311" t="s">
        <v>233</v>
      </c>
      <c r="B27" s="440" t="s">
        <v>13</v>
      </c>
      <c r="C27" s="440">
        <v>140.6</v>
      </c>
      <c r="D27" s="440">
        <v>112.1</v>
      </c>
      <c r="E27" s="440">
        <v>101.3</v>
      </c>
      <c r="F27" s="440">
        <v>86.4</v>
      </c>
      <c r="G27" s="440">
        <v>79.5</v>
      </c>
      <c r="H27" s="440">
        <v>78.2</v>
      </c>
      <c r="I27" s="440">
        <v>88.1</v>
      </c>
      <c r="J27" s="440">
        <v>90.2</v>
      </c>
      <c r="K27" s="440">
        <v>100.2</v>
      </c>
      <c r="L27" s="440">
        <v>103.2</v>
      </c>
      <c r="M27" s="440">
        <v>115.7</v>
      </c>
      <c r="N27" s="440">
        <v>107.5</v>
      </c>
      <c r="O27" s="440">
        <v>177.1</v>
      </c>
      <c r="P27" s="440">
        <v>181.48298408118796</v>
      </c>
      <c r="Q27" s="440">
        <v>204.90080002799999</v>
      </c>
      <c r="R27" s="440">
        <v>138.19999999999999</v>
      </c>
      <c r="S27" s="440">
        <v>141.30000000000001</v>
      </c>
      <c r="T27" s="440">
        <v>128.19999999999999</v>
      </c>
      <c r="U27" s="440">
        <v>103.9</v>
      </c>
      <c r="V27" s="440">
        <v>88.8</v>
      </c>
      <c r="W27" s="440">
        <v>82</v>
      </c>
      <c r="X27" s="440">
        <v>80.5</v>
      </c>
      <c r="Y27" s="440">
        <v>88.8</v>
      </c>
      <c r="Z27" s="440">
        <v>89</v>
      </c>
      <c r="AA27" s="440">
        <v>93.1</v>
      </c>
      <c r="AB27" s="440">
        <v>123.8</v>
      </c>
      <c r="AC27" s="440">
        <v>150.4</v>
      </c>
      <c r="AD27" s="440">
        <v>133.04</v>
      </c>
      <c r="AE27" s="317" t="s">
        <v>518</v>
      </c>
    </row>
    <row r="28" spans="1:31" ht="26.4">
      <c r="A28" s="311" t="s">
        <v>234</v>
      </c>
      <c r="B28" s="440" t="s">
        <v>13</v>
      </c>
      <c r="C28" s="440">
        <v>95</v>
      </c>
      <c r="D28" s="440">
        <v>92.4</v>
      </c>
      <c r="E28" s="440">
        <v>84.1</v>
      </c>
      <c r="F28" s="440">
        <v>74</v>
      </c>
      <c r="G28" s="440">
        <v>77.7</v>
      </c>
      <c r="H28" s="440">
        <v>88.1</v>
      </c>
      <c r="I28" s="440">
        <v>82.1</v>
      </c>
      <c r="J28" s="440">
        <v>80.099999999999994</v>
      </c>
      <c r="K28" s="440">
        <v>93.2</v>
      </c>
      <c r="L28" s="440">
        <v>103.1</v>
      </c>
      <c r="M28" s="440">
        <v>137.4</v>
      </c>
      <c r="N28" s="440">
        <v>149.5</v>
      </c>
      <c r="O28" s="440">
        <v>196.9</v>
      </c>
      <c r="P28" s="440">
        <v>168.66856791287893</v>
      </c>
      <c r="Q28" s="440">
        <v>237.47799311700001</v>
      </c>
      <c r="R28" s="440">
        <v>111.1</v>
      </c>
      <c r="S28" s="440">
        <v>107.1</v>
      </c>
      <c r="T28" s="440">
        <v>103.9</v>
      </c>
      <c r="U28" s="440">
        <v>108.4</v>
      </c>
      <c r="V28" s="440">
        <v>100.27</v>
      </c>
      <c r="W28" s="440">
        <v>105.3</v>
      </c>
      <c r="X28" s="440">
        <v>102.4</v>
      </c>
      <c r="Y28" s="440">
        <v>99.1</v>
      </c>
      <c r="Z28" s="440">
        <v>97.7</v>
      </c>
      <c r="AA28" s="440">
        <v>95.5</v>
      </c>
      <c r="AB28" s="440">
        <v>113.1</v>
      </c>
      <c r="AC28" s="440">
        <v>135.6</v>
      </c>
      <c r="AD28" s="440">
        <v>127.18</v>
      </c>
      <c r="AE28" s="317" t="s">
        <v>519</v>
      </c>
    </row>
    <row r="29" spans="1:31" ht="26.4">
      <c r="A29" s="311" t="s">
        <v>235</v>
      </c>
      <c r="B29" s="440" t="s">
        <v>13</v>
      </c>
      <c r="C29" s="440">
        <v>127.1</v>
      </c>
      <c r="D29" s="440">
        <v>113.7</v>
      </c>
      <c r="E29" s="440">
        <v>87.3</v>
      </c>
      <c r="F29" s="440">
        <v>88.5</v>
      </c>
      <c r="G29" s="440">
        <v>91.5</v>
      </c>
      <c r="H29" s="440">
        <v>77.400000000000006</v>
      </c>
      <c r="I29" s="440">
        <v>83.1</v>
      </c>
      <c r="J29" s="440">
        <v>98.2</v>
      </c>
      <c r="K29" s="440">
        <v>105.8</v>
      </c>
      <c r="L29" s="440">
        <v>113.9</v>
      </c>
      <c r="M29" s="440">
        <v>135.69999999999999</v>
      </c>
      <c r="N29" s="440">
        <v>148.30000000000001</v>
      </c>
      <c r="O29" s="440">
        <v>247.6</v>
      </c>
      <c r="P29" s="440">
        <v>201.19449284874298</v>
      </c>
      <c r="Q29" s="440">
        <v>340.27299139799999</v>
      </c>
      <c r="R29" s="440">
        <v>122</v>
      </c>
      <c r="S29" s="440">
        <v>101.3</v>
      </c>
      <c r="T29" s="440">
        <v>95.4</v>
      </c>
      <c r="U29" s="440">
        <v>92</v>
      </c>
      <c r="V29" s="440">
        <v>83.29</v>
      </c>
      <c r="W29" s="440">
        <v>80.3</v>
      </c>
      <c r="X29" s="440">
        <v>81.2</v>
      </c>
      <c r="Y29" s="440">
        <v>81.400000000000006</v>
      </c>
      <c r="Z29" s="440">
        <v>78</v>
      </c>
      <c r="AA29" s="440">
        <v>77.5</v>
      </c>
      <c r="AB29" s="440">
        <v>84.5</v>
      </c>
      <c r="AC29" s="440">
        <v>80.3</v>
      </c>
      <c r="AD29" s="440">
        <v>77.099999999999994</v>
      </c>
      <c r="AE29" s="317" t="s">
        <v>520</v>
      </c>
    </row>
    <row r="30" spans="1:31" ht="26.4">
      <c r="A30" s="311" t="s">
        <v>510</v>
      </c>
      <c r="B30" s="440" t="s">
        <v>13</v>
      </c>
      <c r="C30" s="440">
        <v>119.8</v>
      </c>
      <c r="D30" s="440">
        <v>119.7</v>
      </c>
      <c r="E30" s="440">
        <v>122.1</v>
      </c>
      <c r="F30" s="440">
        <v>114.1</v>
      </c>
      <c r="G30" s="440">
        <v>105.8</v>
      </c>
      <c r="H30" s="440">
        <v>98.8</v>
      </c>
      <c r="I30" s="440">
        <v>100.5</v>
      </c>
      <c r="J30" s="440">
        <v>106.2</v>
      </c>
      <c r="K30" s="440">
        <v>126.6</v>
      </c>
      <c r="L30" s="440">
        <v>134.9</v>
      </c>
      <c r="M30" s="440">
        <v>136.80000000000001</v>
      </c>
      <c r="N30" s="440">
        <v>227.2</v>
      </c>
      <c r="O30" s="440">
        <v>573.4</v>
      </c>
      <c r="P30" s="440">
        <v>293.01220989546135</v>
      </c>
      <c r="Q30" s="440">
        <v>280.025471434</v>
      </c>
      <c r="R30" s="440">
        <v>117.3</v>
      </c>
      <c r="S30" s="440">
        <v>109.1</v>
      </c>
      <c r="T30" s="440">
        <v>102.6</v>
      </c>
      <c r="U30" s="440">
        <v>104.9</v>
      </c>
      <c r="V30" s="440">
        <v>96.07</v>
      </c>
      <c r="W30" s="440">
        <v>89.6</v>
      </c>
      <c r="X30" s="440">
        <v>85.6</v>
      </c>
      <c r="Y30" s="440">
        <v>88.3</v>
      </c>
      <c r="Z30" s="440">
        <v>85.6</v>
      </c>
      <c r="AA30" s="440">
        <v>86.4</v>
      </c>
      <c r="AB30" s="440">
        <v>90.4</v>
      </c>
      <c r="AC30" s="440">
        <v>80.099999999999994</v>
      </c>
      <c r="AD30" s="440">
        <v>79.11</v>
      </c>
      <c r="AE30" s="317" t="s">
        <v>521</v>
      </c>
    </row>
    <row r="31" spans="1:31" ht="26.4">
      <c r="A31" s="311" t="s">
        <v>236</v>
      </c>
      <c r="B31" s="440" t="s">
        <v>13</v>
      </c>
      <c r="C31" s="440">
        <v>118.7</v>
      </c>
      <c r="D31" s="440">
        <v>105.5</v>
      </c>
      <c r="E31" s="440">
        <v>84.9</v>
      </c>
      <c r="F31" s="440">
        <v>72.7</v>
      </c>
      <c r="G31" s="440">
        <v>78</v>
      </c>
      <c r="H31" s="440">
        <v>68.7</v>
      </c>
      <c r="I31" s="440">
        <v>72.900000000000006</v>
      </c>
      <c r="J31" s="440">
        <v>94.4</v>
      </c>
      <c r="K31" s="440">
        <v>103.4</v>
      </c>
      <c r="L31" s="440">
        <v>108.2</v>
      </c>
      <c r="M31" s="440">
        <v>215</v>
      </c>
      <c r="N31" s="440">
        <v>244.9</v>
      </c>
      <c r="O31" s="440">
        <v>325.7</v>
      </c>
      <c r="P31" s="440">
        <v>221.89272487299999</v>
      </c>
      <c r="Q31" s="440">
        <v>337.18939144900003</v>
      </c>
      <c r="R31" s="440">
        <v>127.2</v>
      </c>
      <c r="S31" s="440">
        <v>92.8</v>
      </c>
      <c r="T31" s="440">
        <v>87.6</v>
      </c>
      <c r="U31" s="440">
        <v>77.8</v>
      </c>
      <c r="V31" s="440">
        <v>69.31</v>
      </c>
      <c r="W31" s="440">
        <v>70</v>
      </c>
      <c r="X31" s="440">
        <v>76.3</v>
      </c>
      <c r="Y31" s="440">
        <v>73.900000000000006</v>
      </c>
      <c r="Z31" s="440">
        <v>69.8</v>
      </c>
      <c r="AA31" s="440">
        <v>67.900000000000006</v>
      </c>
      <c r="AB31" s="440">
        <v>78</v>
      </c>
      <c r="AC31" s="440">
        <v>80.5</v>
      </c>
      <c r="AD31" s="440">
        <v>74.900000000000006</v>
      </c>
      <c r="AE31" s="317" t="s">
        <v>522</v>
      </c>
    </row>
    <row r="32" spans="1:31" ht="26.4">
      <c r="A32" s="311" t="s">
        <v>511</v>
      </c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0"/>
      <c r="R32" s="440">
        <v>142.6</v>
      </c>
      <c r="S32" s="440">
        <v>137.6</v>
      </c>
      <c r="T32" s="440">
        <v>113.7</v>
      </c>
      <c r="U32" s="440">
        <v>100.5</v>
      </c>
      <c r="V32" s="440">
        <v>95.41</v>
      </c>
      <c r="W32" s="440">
        <v>75.3</v>
      </c>
      <c r="X32" s="440">
        <v>74.3</v>
      </c>
      <c r="Y32" s="440">
        <v>82.5</v>
      </c>
      <c r="Z32" s="440">
        <v>81.400000000000006</v>
      </c>
      <c r="AA32" s="440">
        <v>73.2</v>
      </c>
      <c r="AB32" s="440">
        <v>132.19999999999999</v>
      </c>
      <c r="AC32" s="440">
        <v>235.7</v>
      </c>
      <c r="AD32" s="440">
        <v>153.54</v>
      </c>
      <c r="AE32" s="317" t="s">
        <v>523</v>
      </c>
    </row>
    <row r="33" spans="1:31" ht="27" thickBot="1">
      <c r="A33" s="313" t="s">
        <v>237</v>
      </c>
      <c r="B33" s="442" t="s">
        <v>13</v>
      </c>
      <c r="C33" s="442">
        <v>119.8</v>
      </c>
      <c r="D33" s="442">
        <v>119.7</v>
      </c>
      <c r="E33" s="442">
        <v>122.1</v>
      </c>
      <c r="F33" s="442">
        <v>114.1</v>
      </c>
      <c r="G33" s="442">
        <v>105.8</v>
      </c>
      <c r="H33" s="442">
        <v>98.8</v>
      </c>
      <c r="I33" s="442">
        <v>100.5</v>
      </c>
      <c r="J33" s="442">
        <v>106.2</v>
      </c>
      <c r="K33" s="442">
        <v>126.6</v>
      </c>
      <c r="L33" s="442">
        <v>134.9</v>
      </c>
      <c r="M33" s="442"/>
      <c r="N33" s="442"/>
      <c r="O33" s="442"/>
      <c r="P33" s="442"/>
      <c r="Q33" s="442"/>
      <c r="R33" s="442">
        <v>113.5</v>
      </c>
      <c r="S33" s="442">
        <v>96.1</v>
      </c>
      <c r="T33" s="442">
        <v>90.8</v>
      </c>
      <c r="U33" s="442">
        <v>84.8</v>
      </c>
      <c r="V33" s="442">
        <v>66.94</v>
      </c>
      <c r="W33" s="442">
        <v>63</v>
      </c>
      <c r="X33" s="442">
        <v>78.2</v>
      </c>
      <c r="Y33" s="442">
        <v>82.5</v>
      </c>
      <c r="Z33" s="442">
        <v>78.400000000000006</v>
      </c>
      <c r="AA33" s="442">
        <v>79.099999999999994</v>
      </c>
      <c r="AB33" s="440">
        <v>116.4</v>
      </c>
      <c r="AC33" s="440">
        <v>115</v>
      </c>
      <c r="AD33" s="440">
        <v>104</v>
      </c>
      <c r="AE33" s="318" t="s">
        <v>524</v>
      </c>
    </row>
  </sheetData>
  <phoneticPr fontId="6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2:W195"/>
  <sheetViews>
    <sheetView zoomScale="83" workbookViewId="0">
      <selection activeCell="W5" sqref="W5"/>
    </sheetView>
  </sheetViews>
  <sheetFormatPr baseColWidth="10" defaultRowHeight="14.4"/>
  <cols>
    <col min="1" max="1" width="24.88671875" customWidth="1"/>
    <col min="5" max="5" width="15.33203125" customWidth="1"/>
    <col min="14" max="15" width="14.6640625" customWidth="1"/>
    <col min="22" max="22" width="22.21875" customWidth="1"/>
    <col min="23" max="23" width="22.88671875" customWidth="1"/>
  </cols>
  <sheetData>
    <row r="2" spans="1:22">
      <c r="V2" t="s">
        <v>1576</v>
      </c>
    </row>
    <row r="3" spans="1:22">
      <c r="A3" t="s">
        <v>1575</v>
      </c>
    </row>
    <row r="4" spans="1:22" ht="22.2" thickBot="1">
      <c r="A4" s="337" t="s">
        <v>240</v>
      </c>
      <c r="V4" t="s">
        <v>241</v>
      </c>
    </row>
    <row r="5" spans="1:22" ht="30">
      <c r="A5" s="307" t="s">
        <v>242</v>
      </c>
      <c r="B5" s="307">
        <v>2004</v>
      </c>
      <c r="C5" s="307">
        <v>2005</v>
      </c>
      <c r="D5" s="307">
        <v>2006</v>
      </c>
      <c r="E5" s="307">
        <v>2007</v>
      </c>
      <c r="F5" s="307">
        <v>2008</v>
      </c>
      <c r="G5" s="307">
        <v>2009</v>
      </c>
      <c r="H5" s="307">
        <v>2010</v>
      </c>
      <c r="I5" s="307">
        <v>2011</v>
      </c>
      <c r="J5" s="307">
        <v>2012</v>
      </c>
      <c r="K5" s="307">
        <v>2013</v>
      </c>
      <c r="L5" s="307">
        <v>2014</v>
      </c>
      <c r="M5" s="307">
        <v>2015</v>
      </c>
      <c r="N5" s="307">
        <v>2016</v>
      </c>
      <c r="O5" s="307">
        <v>2017</v>
      </c>
      <c r="P5" s="307">
        <v>2018</v>
      </c>
      <c r="Q5" s="307">
        <v>2019</v>
      </c>
      <c r="R5" s="307">
        <v>2020</v>
      </c>
      <c r="S5" s="307">
        <v>2021</v>
      </c>
      <c r="T5" s="307">
        <v>2022</v>
      </c>
      <c r="U5" s="307">
        <v>2023</v>
      </c>
      <c r="V5" s="307" t="s">
        <v>243</v>
      </c>
    </row>
    <row r="6" spans="1:22" ht="26.4">
      <c r="A6" s="439" t="s">
        <v>163</v>
      </c>
      <c r="B6" s="439">
        <v>26.512999999999998</v>
      </c>
      <c r="C6" s="439">
        <v>25.901999999999997</v>
      </c>
      <c r="D6" s="439">
        <v>26.860000000000003</v>
      </c>
      <c r="E6" s="439">
        <v>26.860000000000003</v>
      </c>
      <c r="F6" s="439">
        <v>25</v>
      </c>
      <c r="G6" s="439">
        <v>25.9</v>
      </c>
      <c r="H6" s="439">
        <v>26.169999999999998</v>
      </c>
      <c r="I6" s="439">
        <v>28.395999999999997</v>
      </c>
      <c r="J6" s="439">
        <v>29.04</v>
      </c>
      <c r="K6" s="439">
        <v>29.98</v>
      </c>
      <c r="L6" s="439">
        <v>30.05</v>
      </c>
      <c r="M6" s="439">
        <v>31.338999999999999</v>
      </c>
      <c r="N6" s="439">
        <v>34.052</v>
      </c>
      <c r="O6" s="439">
        <v>35.757999999999996</v>
      </c>
      <c r="P6" s="439">
        <v>35.33</v>
      </c>
      <c r="Q6" s="439">
        <v>36.299999999999997</v>
      </c>
      <c r="R6" s="439">
        <v>37.299999999999997</v>
      </c>
      <c r="S6" s="439">
        <v>36.1</v>
      </c>
      <c r="T6" s="439">
        <v>36.31</v>
      </c>
      <c r="U6" s="439">
        <v>36.19</v>
      </c>
      <c r="V6" s="439" t="s">
        <v>244</v>
      </c>
    </row>
    <row r="7" spans="1:22" ht="26.4">
      <c r="A7" s="439" t="s">
        <v>165</v>
      </c>
      <c r="B7" s="439">
        <v>26.530999999999999</v>
      </c>
      <c r="C7" s="439">
        <v>26.032</v>
      </c>
      <c r="D7" s="439">
        <v>26.860000000000003</v>
      </c>
      <c r="E7" s="439">
        <v>26.839999999999996</v>
      </c>
      <c r="F7" s="439">
        <v>25.09</v>
      </c>
      <c r="G7" s="439">
        <v>25.869999999999997</v>
      </c>
      <c r="H7" s="439">
        <v>26.15</v>
      </c>
      <c r="I7" s="439">
        <v>28.220999999999997</v>
      </c>
      <c r="J7" s="439">
        <v>29.27</v>
      </c>
      <c r="K7" s="439">
        <v>29.860000000000003</v>
      </c>
      <c r="L7" s="439">
        <v>30.04</v>
      </c>
      <c r="M7" s="439">
        <v>31.250999999999998</v>
      </c>
      <c r="N7" s="439">
        <v>34.305999999999997</v>
      </c>
      <c r="O7" s="439">
        <v>35.805999999999997</v>
      </c>
      <c r="P7" s="439">
        <v>35.17</v>
      </c>
      <c r="Q7" s="439">
        <v>36.42</v>
      </c>
      <c r="R7" s="439">
        <v>37.270000000000003</v>
      </c>
      <c r="S7" s="439">
        <v>35.9</v>
      </c>
      <c r="T7" s="439">
        <v>36.31</v>
      </c>
      <c r="U7" s="439">
        <v>35.08</v>
      </c>
      <c r="V7" s="439" t="s">
        <v>245</v>
      </c>
    </row>
    <row r="8" spans="1:22" ht="26.4">
      <c r="A8" s="439" t="s">
        <v>167</v>
      </c>
      <c r="B8" s="439">
        <v>26.526999999999997</v>
      </c>
      <c r="C8" s="439">
        <v>26.207999999999998</v>
      </c>
      <c r="D8" s="439">
        <v>26.860000000000003</v>
      </c>
      <c r="E8" s="439">
        <v>26.85</v>
      </c>
      <c r="F8" s="439">
        <v>24.47</v>
      </c>
      <c r="G8" s="439">
        <v>26.369999999999997</v>
      </c>
      <c r="H8" s="439">
        <v>26.439999999999998</v>
      </c>
      <c r="I8" s="439">
        <v>27.498000000000001</v>
      </c>
      <c r="J8" s="439">
        <v>29.3</v>
      </c>
      <c r="K8" s="439">
        <v>29.889999999999997</v>
      </c>
      <c r="L8" s="439">
        <v>29.919999999999998</v>
      </c>
      <c r="M8" s="439">
        <v>31.639999999999997</v>
      </c>
      <c r="N8" s="439">
        <v>34.774999999999999</v>
      </c>
      <c r="O8" s="439">
        <v>35.908000000000001</v>
      </c>
      <c r="P8" s="439">
        <v>35.26</v>
      </c>
      <c r="Q8" s="439">
        <v>36.42</v>
      </c>
      <c r="R8" s="439">
        <v>37.22</v>
      </c>
      <c r="S8" s="439">
        <v>35.9</v>
      </c>
      <c r="T8" s="439">
        <v>36.39</v>
      </c>
      <c r="U8" s="439">
        <v>34.47</v>
      </c>
      <c r="V8" s="439" t="s">
        <v>246</v>
      </c>
    </row>
    <row r="9" spans="1:22" ht="26.4">
      <c r="A9" s="439" t="s">
        <v>169</v>
      </c>
      <c r="B9" s="439">
        <v>26.610000000000003</v>
      </c>
      <c r="C9" s="439">
        <v>26.558</v>
      </c>
      <c r="D9" s="439">
        <v>26.860000000000003</v>
      </c>
      <c r="E9" s="439">
        <v>26.75</v>
      </c>
      <c r="F9" s="439">
        <v>24.11</v>
      </c>
      <c r="G9" s="439">
        <v>26.57</v>
      </c>
      <c r="H9" s="439">
        <v>26.689999999999998</v>
      </c>
      <c r="I9" s="439">
        <v>27.26</v>
      </c>
      <c r="J9" s="439">
        <v>29.141000000000002</v>
      </c>
      <c r="K9" s="439">
        <v>29.97</v>
      </c>
      <c r="L9" s="439">
        <v>29.869999999999997</v>
      </c>
      <c r="M9" s="439">
        <v>31.892000000000003</v>
      </c>
      <c r="N9" s="439">
        <v>36.164000000000001</v>
      </c>
      <c r="O9" s="439">
        <v>35.947000000000003</v>
      </c>
      <c r="P9" s="439">
        <v>35.39</v>
      </c>
      <c r="Q9" s="439">
        <v>36.49</v>
      </c>
      <c r="R9" s="439">
        <v>37.340000000000003</v>
      </c>
      <c r="S9" s="439">
        <v>35.9</v>
      </c>
      <c r="T9" s="439">
        <v>36.42</v>
      </c>
      <c r="U9" s="439">
        <v>34.22</v>
      </c>
      <c r="V9" s="439" t="s">
        <v>247</v>
      </c>
    </row>
    <row r="10" spans="1:22" ht="26.4">
      <c r="A10" s="439" t="s">
        <v>171</v>
      </c>
      <c r="B10" s="439">
        <v>26.732999999999997</v>
      </c>
      <c r="C10" s="439">
        <v>26.512</v>
      </c>
      <c r="D10" s="439">
        <v>26.860000000000003</v>
      </c>
      <c r="E10" s="439">
        <v>26.05</v>
      </c>
      <c r="F10" s="439">
        <v>23.95</v>
      </c>
      <c r="G10" s="439">
        <v>26.74</v>
      </c>
      <c r="H10" s="439">
        <v>27.160000000000004</v>
      </c>
      <c r="I10" s="439">
        <v>27.46</v>
      </c>
      <c r="J10" s="439">
        <v>29.314</v>
      </c>
      <c r="K10" s="439">
        <v>30.27</v>
      </c>
      <c r="L10" s="439">
        <v>29.919999999999998</v>
      </c>
      <c r="M10" s="439">
        <v>32.131</v>
      </c>
      <c r="N10" s="439">
        <v>35.344999999999999</v>
      </c>
      <c r="O10" s="439">
        <v>35.966999999999999</v>
      </c>
      <c r="P10" s="439">
        <v>35.57</v>
      </c>
      <c r="Q10" s="439">
        <v>36.590000000000003</v>
      </c>
      <c r="R10" s="439">
        <v>37.299999999999997</v>
      </c>
      <c r="S10" s="439">
        <v>36</v>
      </c>
      <c r="T10" s="439">
        <v>36.47</v>
      </c>
      <c r="U10" s="439">
        <v>34.29</v>
      </c>
      <c r="V10" s="439" t="s">
        <v>172</v>
      </c>
    </row>
    <row r="11" spans="1:22" ht="26.4">
      <c r="A11" s="439" t="s">
        <v>173</v>
      </c>
      <c r="B11" s="439">
        <v>26.605</v>
      </c>
      <c r="C11" s="439">
        <v>26.55</v>
      </c>
      <c r="D11" s="439">
        <v>26.860000000000003</v>
      </c>
      <c r="E11" s="439">
        <v>25.79</v>
      </c>
      <c r="F11" s="439">
        <v>23.6</v>
      </c>
      <c r="G11" s="439">
        <v>26.49</v>
      </c>
      <c r="H11" s="439">
        <v>27.23</v>
      </c>
      <c r="I11" s="439">
        <v>27.629000000000001</v>
      </c>
      <c r="J11" s="439">
        <v>29.48</v>
      </c>
      <c r="K11" s="439">
        <v>30.360000000000003</v>
      </c>
      <c r="L11" s="439">
        <v>30</v>
      </c>
      <c r="M11" s="439">
        <v>32.458999999999996</v>
      </c>
      <c r="N11" s="439">
        <v>35.454999999999998</v>
      </c>
      <c r="O11" s="439">
        <v>35.972000000000001</v>
      </c>
      <c r="P11" s="439">
        <v>35.630000000000003</v>
      </c>
      <c r="Q11" s="439">
        <v>36.67</v>
      </c>
      <c r="R11" s="439">
        <v>37.549999999999997</v>
      </c>
      <c r="S11" s="439">
        <v>36.1</v>
      </c>
      <c r="T11" s="439">
        <v>36.42</v>
      </c>
      <c r="U11" s="439">
        <v>34.42</v>
      </c>
      <c r="V11" s="439" t="s">
        <v>248</v>
      </c>
    </row>
    <row r="12" spans="1:22" ht="26.4">
      <c r="A12" s="439" t="s">
        <v>175</v>
      </c>
      <c r="B12" s="439">
        <v>26.733999999999998</v>
      </c>
      <c r="C12" s="439">
        <v>26.55</v>
      </c>
      <c r="D12" s="439">
        <v>26.860000000000003</v>
      </c>
      <c r="E12" s="439">
        <v>25.6</v>
      </c>
      <c r="F12" s="439">
        <v>22.95</v>
      </c>
      <c r="G12" s="439">
        <v>26.389999999999997</v>
      </c>
      <c r="H12" s="439">
        <v>28.389999999999997</v>
      </c>
      <c r="I12" s="439">
        <v>27.988999999999997</v>
      </c>
      <c r="J12" s="439">
        <v>27.931000000000001</v>
      </c>
      <c r="K12" s="439">
        <v>30.369999999999997</v>
      </c>
      <c r="L12" s="439">
        <v>30.03</v>
      </c>
      <c r="M12" s="439">
        <v>32.695999999999998</v>
      </c>
      <c r="N12" s="439">
        <v>35.475000000000001</v>
      </c>
      <c r="O12" s="439">
        <v>35.939</v>
      </c>
      <c r="P12" s="439">
        <v>35.700000000000003</v>
      </c>
      <c r="Q12" s="439">
        <v>36.68</v>
      </c>
      <c r="R12" s="439">
        <v>37.57</v>
      </c>
      <c r="S12" s="439">
        <v>36.1</v>
      </c>
      <c r="T12" s="439">
        <v>37.085000000000001</v>
      </c>
      <c r="U12" s="439">
        <v>36.369999999999997</v>
      </c>
      <c r="V12" s="439" t="s">
        <v>249</v>
      </c>
    </row>
    <row r="13" spans="1:22" ht="26.4">
      <c r="A13" s="439" t="s">
        <v>177</v>
      </c>
      <c r="B13" s="439">
        <v>26.71</v>
      </c>
      <c r="C13" s="439">
        <v>26.55</v>
      </c>
      <c r="D13" s="439">
        <v>26.860000000000003</v>
      </c>
      <c r="E13" s="439">
        <v>25.5</v>
      </c>
      <c r="F13" s="439">
        <v>22.84</v>
      </c>
      <c r="G13" s="439">
        <v>26.089999999999996</v>
      </c>
      <c r="H13" s="439">
        <v>28.639999999999997</v>
      </c>
      <c r="I13" s="439">
        <v>28.345999999999997</v>
      </c>
      <c r="J13" s="439">
        <v>30.112000000000002</v>
      </c>
      <c r="K13" s="439">
        <v>30.380000000000003</v>
      </c>
      <c r="L13" s="439">
        <v>30.03</v>
      </c>
      <c r="M13" s="439">
        <v>32.762999999999998</v>
      </c>
      <c r="N13" s="439">
        <v>35.552</v>
      </c>
      <c r="O13" s="439">
        <v>35.781999999999996</v>
      </c>
      <c r="P13" s="439">
        <v>35.78</v>
      </c>
      <c r="Q13" s="439">
        <v>36.61</v>
      </c>
      <c r="R13" s="439">
        <v>37.200000000000003</v>
      </c>
      <c r="S13" s="439">
        <v>36.1</v>
      </c>
      <c r="T13" s="439">
        <v>37.685000000000002</v>
      </c>
      <c r="U13" s="439">
        <v>37.83</v>
      </c>
      <c r="V13" s="439" t="s">
        <v>250</v>
      </c>
    </row>
    <row r="14" spans="1:22" ht="26.4">
      <c r="A14" s="439" t="s">
        <v>179</v>
      </c>
      <c r="B14" s="439">
        <v>26.598000000000003</v>
      </c>
      <c r="C14" s="439">
        <v>26.55</v>
      </c>
      <c r="D14" s="439">
        <v>26.860000000000003</v>
      </c>
      <c r="E14" s="439">
        <v>25.619999999999997</v>
      </c>
      <c r="F14" s="439">
        <v>23.169999999999998</v>
      </c>
      <c r="G14" s="439">
        <v>26.03</v>
      </c>
      <c r="H14" s="439">
        <v>28.580000000000002</v>
      </c>
      <c r="I14" s="439">
        <v>28.143000000000001</v>
      </c>
      <c r="J14" s="439">
        <v>30.191000000000003</v>
      </c>
      <c r="K14" s="439">
        <v>30.339999999999996</v>
      </c>
      <c r="L14" s="439">
        <v>30.189999999999998</v>
      </c>
      <c r="M14" s="439">
        <v>32.920999999999999</v>
      </c>
      <c r="N14" s="439">
        <v>35.634</v>
      </c>
      <c r="O14" s="439">
        <v>35.581000000000003</v>
      </c>
      <c r="P14" s="439">
        <v>35.69</v>
      </c>
      <c r="Q14" s="439">
        <v>36.700000000000003</v>
      </c>
      <c r="R14" s="439">
        <v>36.94</v>
      </c>
      <c r="S14" s="439">
        <v>36.1</v>
      </c>
      <c r="T14" s="439">
        <v>37.835000000000001</v>
      </c>
      <c r="U14" s="439">
        <v>37.93</v>
      </c>
      <c r="V14" s="439" t="s">
        <v>180</v>
      </c>
    </row>
    <row r="15" spans="1:22" ht="26.4">
      <c r="A15" s="439" t="s">
        <v>181</v>
      </c>
      <c r="B15" s="439">
        <v>26.536000000000001</v>
      </c>
      <c r="C15" s="439">
        <v>26.638999999999999</v>
      </c>
      <c r="D15" s="439">
        <v>26.860000000000003</v>
      </c>
      <c r="E15" s="439">
        <v>25.57</v>
      </c>
      <c r="F15" s="439">
        <v>24.45</v>
      </c>
      <c r="G15" s="439">
        <v>26.07</v>
      </c>
      <c r="H15" s="439">
        <v>28.4</v>
      </c>
      <c r="I15" s="439">
        <v>28.901</v>
      </c>
      <c r="J15" s="439">
        <v>30.169999999999998</v>
      </c>
      <c r="K15" s="439">
        <v>30.05</v>
      </c>
      <c r="L15" s="439">
        <v>30.32</v>
      </c>
      <c r="M15" s="439">
        <v>33.280999999999999</v>
      </c>
      <c r="N15" s="439">
        <v>35.67</v>
      </c>
      <c r="O15" s="439">
        <v>35.5</v>
      </c>
      <c r="P15" s="439">
        <v>35.79</v>
      </c>
      <c r="Q15" s="439">
        <v>37.03</v>
      </c>
      <c r="R15" s="439">
        <v>36.93</v>
      </c>
      <c r="S15" s="439">
        <v>36.1</v>
      </c>
      <c r="T15" s="439">
        <v>37.838571428571434</v>
      </c>
      <c r="U15" s="439">
        <v>38.14</v>
      </c>
      <c r="V15" s="439" t="s">
        <v>182</v>
      </c>
    </row>
    <row r="16" spans="1:22" ht="26.4">
      <c r="A16" s="439" t="s">
        <v>183</v>
      </c>
      <c r="B16" s="439">
        <v>26.425999999999998</v>
      </c>
      <c r="C16" s="439">
        <v>26.860000000000003</v>
      </c>
      <c r="D16" s="439">
        <v>26.860000000000003</v>
      </c>
      <c r="E16" s="439">
        <v>25.080000000000002</v>
      </c>
      <c r="F16" s="439">
        <v>25.05</v>
      </c>
      <c r="G16" s="439">
        <v>26.15</v>
      </c>
      <c r="H16" s="439">
        <v>28</v>
      </c>
      <c r="I16" s="439">
        <v>28.706</v>
      </c>
      <c r="J16" s="439">
        <v>29.85</v>
      </c>
      <c r="K16" s="439">
        <v>29.65</v>
      </c>
      <c r="L16" s="439">
        <v>30.5</v>
      </c>
      <c r="M16" s="439">
        <v>33.511000000000003</v>
      </c>
      <c r="N16" s="439">
        <v>35.691000000000003</v>
      </c>
      <c r="O16" s="439">
        <v>35.399000000000001</v>
      </c>
      <c r="P16" s="439">
        <v>36.299999999999997</v>
      </c>
      <c r="Q16" s="439">
        <v>37.130000000000003</v>
      </c>
      <c r="R16" s="439">
        <v>36.93</v>
      </c>
      <c r="S16" s="439">
        <v>36.1</v>
      </c>
      <c r="T16" s="439">
        <v>37.905238095238097</v>
      </c>
      <c r="U16" s="439">
        <v>39.54</v>
      </c>
      <c r="V16" s="439" t="s">
        <v>184</v>
      </c>
    </row>
    <row r="17" spans="1:22" ht="26.4">
      <c r="A17" s="439" t="s">
        <v>185</v>
      </c>
      <c r="B17" s="439">
        <v>25.874000000000002</v>
      </c>
      <c r="C17" s="439">
        <v>26.860000000000003</v>
      </c>
      <c r="D17" s="439">
        <v>26.860000000000003</v>
      </c>
      <c r="E17" s="439">
        <v>25.06</v>
      </c>
      <c r="F17" s="439">
        <v>25.660000000000004</v>
      </c>
      <c r="G17" s="439">
        <v>26.21</v>
      </c>
      <c r="H17" s="439">
        <v>28.1</v>
      </c>
      <c r="I17" s="439">
        <v>28.792999999999999</v>
      </c>
      <c r="J17" s="439">
        <v>30.130000000000003</v>
      </c>
      <c r="K17" s="439">
        <v>29.7</v>
      </c>
      <c r="L17" s="439">
        <v>31.04</v>
      </c>
      <c r="M17" s="439">
        <v>33.722000000000001</v>
      </c>
      <c r="N17" s="439">
        <v>35.725999999999999</v>
      </c>
      <c r="O17" s="439">
        <v>35.433</v>
      </c>
      <c r="P17" s="439">
        <v>36.33</v>
      </c>
      <c r="Q17" s="439">
        <v>37.26</v>
      </c>
      <c r="R17" s="439">
        <v>36.33</v>
      </c>
      <c r="S17" s="439">
        <v>36.299999999999997</v>
      </c>
      <c r="T17" s="439">
        <v>37.369545454545452</v>
      </c>
      <c r="U17" s="439">
        <v>39.61</v>
      </c>
      <c r="V17" s="439" t="s">
        <v>186</v>
      </c>
    </row>
    <row r="18" spans="1:22" ht="26.4">
      <c r="A18" s="439" t="s">
        <v>251</v>
      </c>
      <c r="B18" s="439">
        <v>26.533083333333327</v>
      </c>
      <c r="C18" s="439">
        <v>26.480916666666662</v>
      </c>
      <c r="D18" s="439">
        <v>26.859999999999996</v>
      </c>
      <c r="E18" s="439">
        <v>25.964166666666664</v>
      </c>
      <c r="F18" s="439">
        <v>24.194999999999997</v>
      </c>
      <c r="G18" s="439">
        <v>26.240000000000002</v>
      </c>
      <c r="H18" s="439">
        <v>27.495833333333334</v>
      </c>
      <c r="I18" s="439">
        <v>28.111833333333337</v>
      </c>
      <c r="J18" s="439">
        <v>29.494083333333336</v>
      </c>
      <c r="K18" s="439">
        <v>30.068333333333332</v>
      </c>
      <c r="L18" s="439">
        <v>30.159166666666664</v>
      </c>
      <c r="M18" s="439">
        <v>32.467166666666664</v>
      </c>
      <c r="N18" s="439">
        <v>35.320416666666667</v>
      </c>
      <c r="O18" s="439">
        <v>35.749333333333333</v>
      </c>
      <c r="P18" s="439">
        <v>35.661666666666662</v>
      </c>
      <c r="Q18" s="439">
        <v>36.691666666666663</v>
      </c>
      <c r="R18" s="439">
        <v>37.156666666666666</v>
      </c>
      <c r="S18" s="439">
        <v>36.058333333333344</v>
      </c>
      <c r="T18" s="439">
        <v>37.003196248196247</v>
      </c>
      <c r="U18" s="439">
        <v>36.5</v>
      </c>
      <c r="V18" s="439" t="s">
        <v>252</v>
      </c>
    </row>
    <row r="20" spans="1:22">
      <c r="A20" t="s">
        <v>253</v>
      </c>
      <c r="V20" t="s">
        <v>199</v>
      </c>
    </row>
    <row r="25" spans="1:22">
      <c r="A25" t="s">
        <v>1575</v>
      </c>
      <c r="V25" t="s">
        <v>1576</v>
      </c>
    </row>
    <row r="26" spans="1:22" ht="18.600000000000001" thickBot="1">
      <c r="A26" s="445" t="s">
        <v>1048</v>
      </c>
    </row>
    <row r="27" spans="1:22" ht="30">
      <c r="A27" s="307" t="s">
        <v>242</v>
      </c>
      <c r="B27" s="307">
        <v>2004</v>
      </c>
      <c r="C27" s="307">
        <v>2005</v>
      </c>
      <c r="D27" s="307">
        <v>2006</v>
      </c>
      <c r="E27" s="307">
        <v>2007</v>
      </c>
      <c r="F27" s="307">
        <v>2008</v>
      </c>
      <c r="G27" s="307">
        <v>2009</v>
      </c>
      <c r="H27" s="307">
        <v>2010</v>
      </c>
      <c r="I27" s="307">
        <v>2011</v>
      </c>
      <c r="J27" s="307">
        <v>2012</v>
      </c>
      <c r="K27" s="307">
        <v>2013</v>
      </c>
      <c r="L27" s="307">
        <v>2014</v>
      </c>
      <c r="M27" s="307">
        <v>2015</v>
      </c>
      <c r="N27" s="307">
        <v>2016</v>
      </c>
      <c r="O27" s="307">
        <v>2017</v>
      </c>
      <c r="P27" s="307">
        <v>2018</v>
      </c>
      <c r="Q27" s="307">
        <v>2019</v>
      </c>
      <c r="R27" s="307">
        <v>2020</v>
      </c>
      <c r="S27" s="307">
        <v>2021</v>
      </c>
      <c r="T27" s="307">
        <v>2022</v>
      </c>
      <c r="U27" s="307">
        <v>2023</v>
      </c>
      <c r="V27" s="307" t="s">
        <v>243</v>
      </c>
    </row>
    <row r="28" spans="1:22" ht="26.4">
      <c r="A28" s="439" t="s">
        <v>163</v>
      </c>
      <c r="B28" s="439">
        <v>30.776</v>
      </c>
      <c r="C28" s="439">
        <v>33.936999999999998</v>
      </c>
      <c r="D28" s="439">
        <v>32.541000000000004</v>
      </c>
      <c r="E28" s="439">
        <v>34.950000000000003</v>
      </c>
      <c r="F28" s="439">
        <v>36.78</v>
      </c>
      <c r="G28" s="439">
        <v>34.519999999999996</v>
      </c>
      <c r="H28" s="439">
        <v>37.410000000000004</v>
      </c>
      <c r="I28" s="439">
        <v>37.57</v>
      </c>
      <c r="J28" s="439">
        <v>37.450000000000003</v>
      </c>
      <c r="K28" s="439">
        <v>39.78</v>
      </c>
      <c r="L28" s="439">
        <v>40.980000000000004</v>
      </c>
      <c r="M28" s="439">
        <v>36.500999999999998</v>
      </c>
      <c r="N28" s="439">
        <v>36.999000000000002</v>
      </c>
      <c r="O28" s="439">
        <v>37.936</v>
      </c>
      <c r="P28" s="439">
        <v>43.03</v>
      </c>
      <c r="Q28" s="439">
        <v>41.44</v>
      </c>
      <c r="R28" s="439">
        <v>41.44</v>
      </c>
      <c r="S28" s="439">
        <v>44</v>
      </c>
      <c r="T28" s="439">
        <v>41.135000000000005</v>
      </c>
      <c r="U28" s="439">
        <v>38.979999999999997</v>
      </c>
      <c r="V28" s="439" t="s">
        <v>244</v>
      </c>
    </row>
    <row r="29" spans="1:22" ht="26.4">
      <c r="A29" s="439" t="s">
        <v>165</v>
      </c>
      <c r="B29" s="439">
        <v>31.576999999999998</v>
      </c>
      <c r="C29" s="439">
        <v>33.887999999999998</v>
      </c>
      <c r="D29" s="439">
        <v>32.085000000000001</v>
      </c>
      <c r="E29" s="439">
        <v>35.06</v>
      </c>
      <c r="F29" s="439">
        <v>36.89</v>
      </c>
      <c r="G29" s="439">
        <v>33.18</v>
      </c>
      <c r="H29" s="439">
        <v>38.549999999999997</v>
      </c>
      <c r="I29" s="439">
        <v>38.760000000000005</v>
      </c>
      <c r="J29" s="439">
        <v>38.660000000000004</v>
      </c>
      <c r="K29" s="439">
        <v>39.950000000000003</v>
      </c>
      <c r="L29" s="439">
        <v>40.989999999999995</v>
      </c>
      <c r="M29" s="439">
        <v>35.516000000000005</v>
      </c>
      <c r="N29" s="439">
        <v>38.093000000000004</v>
      </c>
      <c r="O29" s="439">
        <v>38.113999999999997</v>
      </c>
      <c r="P29" s="439">
        <v>43.47</v>
      </c>
      <c r="Q29" s="439">
        <v>41.35</v>
      </c>
      <c r="R29" s="439">
        <v>40.67</v>
      </c>
      <c r="S29" s="439">
        <v>43.5</v>
      </c>
      <c r="T29" s="439">
        <v>41.164999999999999</v>
      </c>
      <c r="U29" s="439">
        <v>37.659999999999997</v>
      </c>
      <c r="V29" s="439" t="s">
        <v>245</v>
      </c>
    </row>
    <row r="30" spans="1:22" ht="26.4">
      <c r="A30" s="439" t="s">
        <v>167</v>
      </c>
      <c r="B30" s="439">
        <v>32.180999999999997</v>
      </c>
      <c r="C30" s="439">
        <v>34.603999999999999</v>
      </c>
      <c r="D30" s="439">
        <v>32.301000000000002</v>
      </c>
      <c r="E30" s="439">
        <v>35.56</v>
      </c>
      <c r="F30" s="439">
        <v>37.86</v>
      </c>
      <c r="G30" s="439">
        <v>34.33</v>
      </c>
      <c r="H30" s="439">
        <v>35.9</v>
      </c>
      <c r="I30" s="439">
        <v>39.5</v>
      </c>
      <c r="J30" s="439">
        <v>38.660000000000004</v>
      </c>
      <c r="K30" s="439">
        <v>38.769999999999996</v>
      </c>
      <c r="L30" s="439">
        <v>41.33</v>
      </c>
      <c r="M30" s="439">
        <v>34.364999999999995</v>
      </c>
      <c r="N30" s="439">
        <v>38.58</v>
      </c>
      <c r="O30" s="439">
        <v>38.355000000000004</v>
      </c>
      <c r="P30" s="439">
        <v>43.48</v>
      </c>
      <c r="Q30" s="439">
        <v>41.24</v>
      </c>
      <c r="R30" s="439">
        <v>41.18</v>
      </c>
      <c r="S30" s="439">
        <v>42.8</v>
      </c>
      <c r="T30" s="439">
        <v>40.129999999999995</v>
      </c>
      <c r="U30" s="439">
        <v>36.89</v>
      </c>
      <c r="V30" s="439" t="s">
        <v>246</v>
      </c>
    </row>
    <row r="31" spans="1:22" ht="26.4">
      <c r="A31" s="439" t="s">
        <v>169</v>
      </c>
      <c r="B31" s="439">
        <v>31.908999999999999</v>
      </c>
      <c r="C31" s="439">
        <v>34.241</v>
      </c>
      <c r="D31" s="439">
        <v>32.936999999999998</v>
      </c>
      <c r="E31" s="439">
        <v>36.15</v>
      </c>
      <c r="F31" s="439">
        <v>38.03</v>
      </c>
      <c r="G31" s="439">
        <v>35.049999999999997</v>
      </c>
      <c r="H31" s="439">
        <v>35.869999999999997</v>
      </c>
      <c r="I31" s="439">
        <v>39.6</v>
      </c>
      <c r="J31" s="439">
        <v>38.370999999999995</v>
      </c>
      <c r="K31" s="439">
        <v>38.97</v>
      </c>
      <c r="L31" s="439">
        <v>41.239999999999995</v>
      </c>
      <c r="M31" s="439">
        <v>34.385000000000005</v>
      </c>
      <c r="N31" s="439">
        <v>39.86</v>
      </c>
      <c r="O31" s="439">
        <v>38.510000000000005</v>
      </c>
      <c r="P31" s="439">
        <v>43.51</v>
      </c>
      <c r="Q31" s="439">
        <v>41.02</v>
      </c>
      <c r="R31" s="439">
        <v>40.590000000000003</v>
      </c>
      <c r="S31" s="439">
        <v>42.9</v>
      </c>
      <c r="T31" s="439">
        <v>39.5</v>
      </c>
      <c r="U31" s="439">
        <v>37.5</v>
      </c>
      <c r="V31" s="439" t="s">
        <v>247</v>
      </c>
    </row>
    <row r="32" spans="1:22" ht="26.4">
      <c r="A32" s="439" t="s">
        <v>171</v>
      </c>
      <c r="B32" s="439">
        <v>32.076999999999998</v>
      </c>
      <c r="C32" s="439">
        <v>33.683999999999997</v>
      </c>
      <c r="D32" s="439">
        <v>34.299999999999997</v>
      </c>
      <c r="E32" s="439">
        <v>35.269999999999996</v>
      </c>
      <c r="F32" s="439">
        <v>37.239999999999995</v>
      </c>
      <c r="G32" s="439">
        <v>36.29</v>
      </c>
      <c r="H32" s="439">
        <v>34.380000000000003</v>
      </c>
      <c r="I32" s="439">
        <v>39.18</v>
      </c>
      <c r="J32" s="439">
        <v>37.589999999999996</v>
      </c>
      <c r="K32" s="439">
        <v>39.31</v>
      </c>
      <c r="L32" s="439">
        <v>41.160000000000004</v>
      </c>
      <c r="M32" s="439">
        <v>35.941000000000003</v>
      </c>
      <c r="N32" s="439">
        <v>40.025999999999996</v>
      </c>
      <c r="O32" s="439">
        <v>39.701000000000001</v>
      </c>
      <c r="P32" s="439">
        <v>42.07</v>
      </c>
      <c r="Q32" s="439">
        <v>40.92</v>
      </c>
      <c r="R32" s="439">
        <v>41.44</v>
      </c>
      <c r="S32" s="439">
        <v>43.7</v>
      </c>
      <c r="T32" s="439">
        <v>38.575000000000003</v>
      </c>
      <c r="U32" s="439">
        <v>37.33</v>
      </c>
      <c r="V32" s="439" t="s">
        <v>172</v>
      </c>
    </row>
    <row r="33" spans="1:23" ht="26.4">
      <c r="A33" s="439" t="s">
        <v>173</v>
      </c>
      <c r="B33" s="439">
        <v>32.347999999999999</v>
      </c>
      <c r="C33" s="439">
        <v>32.299999999999997</v>
      </c>
      <c r="D33" s="439">
        <v>34.055</v>
      </c>
      <c r="E33" s="439">
        <v>34.6</v>
      </c>
      <c r="F33" s="439">
        <v>36.64</v>
      </c>
      <c r="G33" s="439">
        <v>37.1</v>
      </c>
      <c r="H33" s="439">
        <v>33.989999999999995</v>
      </c>
      <c r="I33" s="439">
        <v>39.510000000000005</v>
      </c>
      <c r="J33" s="439">
        <v>36.942</v>
      </c>
      <c r="K33" s="439">
        <v>40.010000000000005</v>
      </c>
      <c r="L33" s="439">
        <v>40.78</v>
      </c>
      <c r="M33" s="439">
        <v>36.414999999999999</v>
      </c>
      <c r="N33" s="439">
        <v>39.897000000000006</v>
      </c>
      <c r="O33" s="439">
        <v>40.386000000000003</v>
      </c>
      <c r="P33" s="439">
        <v>41.62</v>
      </c>
      <c r="Q33" s="439">
        <v>41.39</v>
      </c>
      <c r="R33" s="439">
        <v>42.25</v>
      </c>
      <c r="S33" s="439">
        <v>43.6</v>
      </c>
      <c r="T33" s="439">
        <v>38.524999999999999</v>
      </c>
      <c r="U33" s="439">
        <v>37.25</v>
      </c>
      <c r="V33" s="439" t="s">
        <v>248</v>
      </c>
    </row>
    <row r="34" spans="1:23" ht="26.4">
      <c r="A34" s="439" t="s">
        <v>175</v>
      </c>
      <c r="B34" s="439">
        <v>32.851999999999997</v>
      </c>
      <c r="C34" s="439">
        <v>31.977999999999998</v>
      </c>
      <c r="D34" s="439">
        <v>34.1</v>
      </c>
      <c r="E34" s="439">
        <v>35.1</v>
      </c>
      <c r="F34" s="439">
        <v>36.18</v>
      </c>
      <c r="G34" s="439">
        <v>37.15</v>
      </c>
      <c r="H34" s="439">
        <v>36.256999999999998</v>
      </c>
      <c r="I34" s="439">
        <v>39.489999999999995</v>
      </c>
      <c r="J34" s="439">
        <v>36.573</v>
      </c>
      <c r="K34" s="439">
        <v>39.68</v>
      </c>
      <c r="L34" s="439">
        <v>40.730000000000004</v>
      </c>
      <c r="M34" s="439">
        <v>35.998000000000005</v>
      </c>
      <c r="N34" s="439">
        <v>39.277000000000001</v>
      </c>
      <c r="O34" s="439">
        <v>41.292999999999999</v>
      </c>
      <c r="P34" s="439">
        <v>41.69</v>
      </c>
      <c r="Q34" s="439">
        <v>41.18</v>
      </c>
      <c r="R34" s="439">
        <v>42.96</v>
      </c>
      <c r="S34" s="439">
        <v>42.7</v>
      </c>
      <c r="T34" s="439">
        <v>37.78</v>
      </c>
      <c r="U34" s="439">
        <v>40.229999999999997</v>
      </c>
      <c r="V34" s="439" t="s">
        <v>249</v>
      </c>
    </row>
    <row r="35" spans="1:23" ht="26.4">
      <c r="A35" s="439" t="s">
        <v>177</v>
      </c>
      <c r="B35" s="439">
        <v>32.561</v>
      </c>
      <c r="C35" s="439">
        <v>32.65</v>
      </c>
      <c r="D35" s="439">
        <v>34.5</v>
      </c>
      <c r="E35" s="439">
        <v>34.700000000000003</v>
      </c>
      <c r="F35" s="439">
        <v>34.339999999999996</v>
      </c>
      <c r="G35" s="439">
        <v>37.160000000000004</v>
      </c>
      <c r="H35" s="439">
        <v>37.113999999999997</v>
      </c>
      <c r="I35" s="439">
        <v>40.03</v>
      </c>
      <c r="J35" s="439">
        <v>37.305999999999997</v>
      </c>
      <c r="K35" s="439">
        <v>40.44</v>
      </c>
      <c r="L35" s="439">
        <v>40.15</v>
      </c>
      <c r="M35" s="439">
        <v>36.438000000000002</v>
      </c>
      <c r="N35" s="439">
        <v>39.847999999999999</v>
      </c>
      <c r="O35" s="439">
        <v>42.216000000000001</v>
      </c>
      <c r="P35" s="439">
        <v>41.35</v>
      </c>
      <c r="Q35" s="439">
        <v>40.71</v>
      </c>
      <c r="R35" s="439">
        <v>43.99</v>
      </c>
      <c r="S35" s="439">
        <v>42.6</v>
      </c>
      <c r="T35" s="439">
        <v>38.19</v>
      </c>
      <c r="U35" s="439">
        <v>41.3</v>
      </c>
      <c r="V35" s="439" t="s">
        <v>250</v>
      </c>
    </row>
    <row r="36" spans="1:23" ht="26.4">
      <c r="A36" s="439" t="s">
        <v>179</v>
      </c>
      <c r="B36" s="439">
        <v>32.512999999999998</v>
      </c>
      <c r="C36" s="439">
        <v>32.536999999999999</v>
      </c>
      <c r="D36" s="439">
        <v>34.200000000000003</v>
      </c>
      <c r="E36" s="439">
        <v>35.510000000000005</v>
      </c>
      <c r="F36" s="439">
        <v>33.339999999999996</v>
      </c>
      <c r="G36" s="439">
        <v>37.82</v>
      </c>
      <c r="H36" s="439">
        <v>37.380000000000003</v>
      </c>
      <c r="I36" s="439">
        <v>39.21</v>
      </c>
      <c r="J36" s="439">
        <v>38.689</v>
      </c>
      <c r="K36" s="439">
        <v>40.450000000000003</v>
      </c>
      <c r="L36" s="439">
        <v>39.049999999999997</v>
      </c>
      <c r="M36" s="439">
        <v>36.962000000000003</v>
      </c>
      <c r="N36" s="439">
        <v>39.951999999999998</v>
      </c>
      <c r="O36" s="439">
        <v>42.381</v>
      </c>
      <c r="P36" s="439">
        <v>41.62</v>
      </c>
      <c r="Q36" s="439">
        <v>40.409999999999997</v>
      </c>
      <c r="R36" s="439">
        <v>43.57</v>
      </c>
      <c r="S36" s="439">
        <v>42.6</v>
      </c>
      <c r="T36" s="439">
        <v>37.525000000000006</v>
      </c>
      <c r="U36" s="439">
        <v>40.61</v>
      </c>
      <c r="V36" s="439" t="s">
        <v>180</v>
      </c>
    </row>
    <row r="37" spans="1:23" ht="26.4">
      <c r="A37" s="439" t="s">
        <v>181</v>
      </c>
      <c r="B37" s="439">
        <v>33.191000000000003</v>
      </c>
      <c r="C37" s="439">
        <v>32.048999999999999</v>
      </c>
      <c r="D37" s="439">
        <v>33.9</v>
      </c>
      <c r="E37" s="439">
        <v>36.33</v>
      </c>
      <c r="F37" s="439">
        <v>32.589999999999996</v>
      </c>
      <c r="G37" s="439">
        <v>38.660000000000004</v>
      </c>
      <c r="H37" s="439">
        <v>39.537999999999997</v>
      </c>
      <c r="I37" s="439">
        <v>39.54</v>
      </c>
      <c r="J37" s="439">
        <v>39.130000000000003</v>
      </c>
      <c r="K37" s="439">
        <v>40.989999999999995</v>
      </c>
      <c r="L37" s="439">
        <v>38.46</v>
      </c>
      <c r="M37" s="439">
        <v>37.410000000000004</v>
      </c>
      <c r="N37" s="439">
        <v>39.355000000000004</v>
      </c>
      <c r="O37" s="439">
        <v>41.801000000000002</v>
      </c>
      <c r="P37" s="439">
        <v>41.16</v>
      </c>
      <c r="Q37" s="439">
        <v>40.9</v>
      </c>
      <c r="R37" s="439">
        <v>43.5</v>
      </c>
      <c r="S37" s="439">
        <v>41.9</v>
      </c>
      <c r="T37" s="439">
        <v>37.204285714285724</v>
      </c>
      <c r="U37" s="439">
        <v>40.65</v>
      </c>
      <c r="V37" s="439" t="s">
        <v>182</v>
      </c>
    </row>
    <row r="38" spans="1:23" ht="26.4">
      <c r="A38" s="439" t="s">
        <v>183</v>
      </c>
      <c r="B38" s="439">
        <v>34.265000000000001</v>
      </c>
      <c r="C38" s="439">
        <v>31.637999999999998</v>
      </c>
      <c r="D38" s="439">
        <v>34.6</v>
      </c>
      <c r="E38" s="439">
        <v>36.86</v>
      </c>
      <c r="F38" s="439">
        <v>31.97</v>
      </c>
      <c r="G38" s="439">
        <v>38.980000000000004</v>
      </c>
      <c r="H38" s="439">
        <v>38.579000000000001</v>
      </c>
      <c r="I38" s="439">
        <v>39</v>
      </c>
      <c r="J38" s="439">
        <v>38.29</v>
      </c>
      <c r="K38" s="439">
        <v>39.96</v>
      </c>
      <c r="L38" s="439">
        <v>38.07</v>
      </c>
      <c r="M38" s="439">
        <v>36.013999999999996</v>
      </c>
      <c r="N38" s="439">
        <v>38.648000000000003</v>
      </c>
      <c r="O38" s="439">
        <v>41.492000000000004</v>
      </c>
      <c r="P38" s="439">
        <v>41.25</v>
      </c>
      <c r="Q38" s="439">
        <v>41.07</v>
      </c>
      <c r="R38" s="439">
        <v>43.67</v>
      </c>
      <c r="S38" s="439">
        <v>41.3</v>
      </c>
      <c r="T38" s="439">
        <v>38.489523809523803</v>
      </c>
      <c r="U38" s="439">
        <v>42.67</v>
      </c>
      <c r="V38" s="439" t="s">
        <v>184</v>
      </c>
    </row>
    <row r="39" spans="1:23" ht="26.4">
      <c r="A39" s="439" t="s">
        <v>185</v>
      </c>
      <c r="B39" s="439">
        <v>34.660000000000004</v>
      </c>
      <c r="C39" s="439">
        <v>31.873000000000001</v>
      </c>
      <c r="D39" s="439">
        <v>35.521000000000001</v>
      </c>
      <c r="E39" s="439">
        <v>36.589999999999996</v>
      </c>
      <c r="F39" s="439">
        <v>34.42</v>
      </c>
      <c r="G39" s="439">
        <v>38.36</v>
      </c>
      <c r="H39" s="439">
        <v>37.212000000000003</v>
      </c>
      <c r="I39" s="439">
        <v>38.03</v>
      </c>
      <c r="J39" s="439">
        <v>39.519999999999996</v>
      </c>
      <c r="K39" s="439">
        <v>40.65</v>
      </c>
      <c r="L39" s="439">
        <v>38.29</v>
      </c>
      <c r="M39" s="439">
        <v>36.567999999999998</v>
      </c>
      <c r="N39" s="439">
        <v>37.702999999999996</v>
      </c>
      <c r="O39" s="439">
        <v>41.932000000000002</v>
      </c>
      <c r="P39" s="439">
        <v>41.37</v>
      </c>
      <c r="Q39" s="439">
        <v>41.37</v>
      </c>
      <c r="R39" s="439">
        <v>44.16</v>
      </c>
      <c r="S39" s="439">
        <v>41.1</v>
      </c>
      <c r="T39" s="439">
        <v>39.509545454545453</v>
      </c>
      <c r="U39" s="439">
        <v>43.22</v>
      </c>
      <c r="V39" s="439" t="s">
        <v>186</v>
      </c>
    </row>
    <row r="40" spans="1:23" ht="26.4">
      <c r="A40" s="439" t="s">
        <v>251</v>
      </c>
      <c r="B40" s="439">
        <v>32.575833333333335</v>
      </c>
      <c r="C40" s="439">
        <v>32.948249999999994</v>
      </c>
      <c r="D40" s="439">
        <v>33.75333333333333</v>
      </c>
      <c r="E40" s="439">
        <v>35.556666666666665</v>
      </c>
      <c r="F40" s="439">
        <v>35.523333333333333</v>
      </c>
      <c r="G40" s="439">
        <v>36.549999999999997</v>
      </c>
      <c r="H40" s="439">
        <v>36.848333333333336</v>
      </c>
      <c r="I40" s="439">
        <v>39.118333333333332</v>
      </c>
      <c r="J40" s="439">
        <v>38.098416666666672</v>
      </c>
      <c r="K40" s="439">
        <v>39.913333333333334</v>
      </c>
      <c r="L40" s="439">
        <v>40.102499999999999</v>
      </c>
      <c r="M40" s="439">
        <v>36.042749999999998</v>
      </c>
      <c r="N40" s="439">
        <v>39.019833333333331</v>
      </c>
      <c r="O40" s="439">
        <v>40.34308333333334</v>
      </c>
      <c r="P40" s="439">
        <v>42.134999999999998</v>
      </c>
      <c r="Q40" s="439">
        <v>41.057272727272725</v>
      </c>
      <c r="R40" s="439">
        <v>42.451666666666661</v>
      </c>
      <c r="S40" s="439">
        <v>42.725000000000001</v>
      </c>
      <c r="T40" s="439">
        <v>38.977362914862915</v>
      </c>
      <c r="U40" s="439">
        <v>39.520000000000003</v>
      </c>
      <c r="V40" s="439" t="s">
        <v>252</v>
      </c>
    </row>
    <row r="42" spans="1:23">
      <c r="A42" t="s">
        <v>253</v>
      </c>
      <c r="W42" t="s">
        <v>199</v>
      </c>
    </row>
    <row r="45" spans="1:23">
      <c r="V45" t="s">
        <v>1576</v>
      </c>
    </row>
    <row r="46" spans="1:23">
      <c r="A46" t="s">
        <v>1575</v>
      </c>
    </row>
    <row r="47" spans="1:23" ht="15" thickBot="1">
      <c r="A47" t="s">
        <v>254</v>
      </c>
      <c r="V47" t="s">
        <v>255</v>
      </c>
    </row>
    <row r="48" spans="1:23" ht="30">
      <c r="A48" s="307" t="s">
        <v>242</v>
      </c>
      <c r="B48" s="307">
        <v>2004</v>
      </c>
      <c r="C48" s="307">
        <v>2005</v>
      </c>
      <c r="D48" s="307">
        <v>2006</v>
      </c>
      <c r="E48" s="307">
        <v>2007</v>
      </c>
      <c r="F48" s="307">
        <v>2008</v>
      </c>
      <c r="G48" s="307">
        <v>2009</v>
      </c>
      <c r="H48" s="307">
        <v>2010</v>
      </c>
      <c r="I48" s="307">
        <v>2011</v>
      </c>
      <c r="J48" s="307">
        <v>2012</v>
      </c>
      <c r="K48" s="307">
        <v>2013</v>
      </c>
      <c r="L48" s="307">
        <v>2014</v>
      </c>
      <c r="M48" s="307">
        <v>2015</v>
      </c>
      <c r="N48" s="307">
        <v>2016</v>
      </c>
      <c r="O48" s="307">
        <v>2017</v>
      </c>
      <c r="P48" s="307">
        <v>2018</v>
      </c>
      <c r="Q48" s="307">
        <v>2019</v>
      </c>
      <c r="R48" s="307">
        <v>2020</v>
      </c>
      <c r="S48" s="307">
        <v>2021</v>
      </c>
      <c r="T48" s="307">
        <v>2022</v>
      </c>
      <c r="U48" s="307">
        <v>2023</v>
      </c>
      <c r="V48" s="307" t="s">
        <v>243</v>
      </c>
    </row>
    <row r="49" spans="1:22" ht="26.4">
      <c r="A49" s="443" t="s">
        <v>163</v>
      </c>
      <c r="B49" s="439">
        <v>46.917000000000002</v>
      </c>
      <c r="C49" s="439">
        <v>51.725000000000001</v>
      </c>
      <c r="D49" s="439">
        <v>49.626999999999995</v>
      </c>
      <c r="E49" s="439">
        <v>53</v>
      </c>
      <c r="F49" s="439">
        <v>56.08</v>
      </c>
      <c r="G49" s="439">
        <v>53</v>
      </c>
      <c r="H49" s="439">
        <v>57.04</v>
      </c>
      <c r="I49" s="439">
        <v>59.087000000000003</v>
      </c>
      <c r="J49" s="439">
        <v>57.089999999999996</v>
      </c>
      <c r="K49" s="439">
        <v>60.64</v>
      </c>
      <c r="L49" s="439">
        <v>62.622</v>
      </c>
      <c r="M49" s="439">
        <v>55.646000000000001</v>
      </c>
      <c r="N49" s="439">
        <v>56.403999999999996</v>
      </c>
      <c r="O49" s="439">
        <v>57.833000000000006</v>
      </c>
      <c r="P49" s="439">
        <v>65.589999999999989</v>
      </c>
      <c r="Q49" s="439">
        <v>63.17</v>
      </c>
      <c r="R49" s="439">
        <v>63.3</v>
      </c>
      <c r="S49" s="439">
        <v>67.2</v>
      </c>
      <c r="T49" s="439">
        <v>62.704999999999998</v>
      </c>
      <c r="U49" s="439">
        <v>59.4</v>
      </c>
      <c r="V49" s="438" t="s">
        <v>244</v>
      </c>
    </row>
    <row r="50" spans="1:22" ht="26.4">
      <c r="A50" s="443" t="s">
        <v>165</v>
      </c>
      <c r="B50" s="439">
        <v>48.137999999999998</v>
      </c>
      <c r="C50" s="439">
        <v>50.082000000000001</v>
      </c>
      <c r="D50" s="439">
        <v>48.914000000000001</v>
      </c>
      <c r="E50" s="439">
        <v>53</v>
      </c>
      <c r="F50" s="439">
        <v>56.239999999999995</v>
      </c>
      <c r="G50" s="439">
        <v>51</v>
      </c>
      <c r="H50" s="439">
        <v>54.660000000000004</v>
      </c>
      <c r="I50" s="439">
        <v>60.213000000000001</v>
      </c>
      <c r="J50" s="439">
        <v>58.94</v>
      </c>
      <c r="K50" s="439">
        <v>60.9</v>
      </c>
      <c r="L50" s="439">
        <v>62.640999999999998</v>
      </c>
      <c r="M50" s="439">
        <v>54.144000000000005</v>
      </c>
      <c r="N50" s="439">
        <v>58.073</v>
      </c>
      <c r="O50" s="439">
        <v>58.103999999999999</v>
      </c>
      <c r="P50" s="439">
        <v>66.260000000000005</v>
      </c>
      <c r="Q50" s="439">
        <v>63.04</v>
      </c>
      <c r="R50" s="439">
        <v>62.2</v>
      </c>
      <c r="S50" s="439">
        <v>66.5</v>
      </c>
      <c r="T50" s="439">
        <v>62.745000000000005</v>
      </c>
      <c r="U50" s="439">
        <v>57.4</v>
      </c>
      <c r="V50" s="438" t="s">
        <v>245</v>
      </c>
    </row>
    <row r="51" spans="1:22" ht="26.4">
      <c r="A51" s="443" t="s">
        <v>167</v>
      </c>
      <c r="B51" s="439">
        <v>49.061999999999998</v>
      </c>
      <c r="C51" s="439">
        <v>52.753999999999998</v>
      </c>
      <c r="D51" s="439">
        <v>49.242000000000004</v>
      </c>
      <c r="E51" s="439">
        <v>54</v>
      </c>
      <c r="F51" s="439">
        <v>57.720000000000006</v>
      </c>
      <c r="G51" s="439">
        <v>52</v>
      </c>
      <c r="H51" s="439">
        <v>54.73</v>
      </c>
      <c r="I51" s="439">
        <v>60.375</v>
      </c>
      <c r="J51" s="439">
        <v>58.989999999999995</v>
      </c>
      <c r="K51" s="439">
        <v>59.1</v>
      </c>
      <c r="L51" s="439">
        <v>63.169000000000004</v>
      </c>
      <c r="M51" s="439">
        <v>52.39</v>
      </c>
      <c r="N51" s="439">
        <v>58.814</v>
      </c>
      <c r="O51" s="439">
        <v>58.472000000000001</v>
      </c>
      <c r="P51" s="439">
        <v>66.28</v>
      </c>
      <c r="Q51" s="439">
        <v>62.87</v>
      </c>
      <c r="R51" s="439">
        <v>62.9</v>
      </c>
      <c r="S51" s="439">
        <v>65.400000000000006</v>
      </c>
      <c r="T51" s="439">
        <v>61.174999999999997</v>
      </c>
      <c r="U51" s="439">
        <v>56.2</v>
      </c>
      <c r="V51" s="438" t="s">
        <v>246</v>
      </c>
    </row>
    <row r="52" spans="1:22" ht="26.4">
      <c r="A52" s="443" t="s">
        <v>169</v>
      </c>
      <c r="B52" s="439">
        <v>48.652999999999999</v>
      </c>
      <c r="C52" s="439">
        <v>52.21</v>
      </c>
      <c r="D52" s="439">
        <v>50.239999999999995</v>
      </c>
      <c r="E52" s="439">
        <v>55</v>
      </c>
      <c r="F52" s="439">
        <v>57.970000000000006</v>
      </c>
      <c r="G52" s="439">
        <v>53</v>
      </c>
      <c r="H52" s="439">
        <v>54.69</v>
      </c>
      <c r="I52" s="439">
        <v>59.725000000000001</v>
      </c>
      <c r="J52" s="439">
        <v>58.496000000000002</v>
      </c>
      <c r="K52" s="439">
        <v>59.410000000000004</v>
      </c>
      <c r="L52" s="439">
        <v>63.022000000000006</v>
      </c>
      <c r="M52" s="439">
        <v>52.419000000000004</v>
      </c>
      <c r="N52" s="439">
        <v>60.765999999999998</v>
      </c>
      <c r="O52" s="439">
        <v>58.708000000000006</v>
      </c>
      <c r="P52" s="439">
        <v>66.320000000000007</v>
      </c>
      <c r="Q52" s="439">
        <v>62.53</v>
      </c>
      <c r="R52" s="439">
        <v>62</v>
      </c>
      <c r="S52" s="439">
        <v>65.599999999999994</v>
      </c>
      <c r="T52" s="439">
        <v>60.22</v>
      </c>
      <c r="U52" s="439">
        <v>57.2</v>
      </c>
      <c r="V52" s="438" t="s">
        <v>247</v>
      </c>
    </row>
    <row r="53" spans="1:22" ht="26.4">
      <c r="A53" s="443" t="s">
        <v>171</v>
      </c>
      <c r="B53" s="439">
        <v>48.888999999999996</v>
      </c>
      <c r="C53" s="439">
        <v>51.361000000000004</v>
      </c>
      <c r="D53" s="439">
        <v>52</v>
      </c>
      <c r="E53" s="439">
        <v>54</v>
      </c>
      <c r="F53" s="439">
        <v>56.779999999999994</v>
      </c>
      <c r="G53" s="439">
        <v>55</v>
      </c>
      <c r="H53" s="439">
        <v>52.410000000000004</v>
      </c>
      <c r="I53" s="439">
        <v>60.226999999999997</v>
      </c>
      <c r="J53" s="439">
        <v>57.305999999999997</v>
      </c>
      <c r="K53" s="439">
        <v>59.92</v>
      </c>
      <c r="L53" s="439">
        <v>62.911999999999999</v>
      </c>
      <c r="M53" s="439">
        <v>54.790999999999997</v>
      </c>
      <c r="N53" s="439">
        <v>61.02</v>
      </c>
      <c r="O53" s="439">
        <v>60.524000000000001</v>
      </c>
      <c r="P53" s="439">
        <v>64.14</v>
      </c>
      <c r="Q53" s="439">
        <v>62.39</v>
      </c>
      <c r="R53" s="439">
        <v>62.8</v>
      </c>
      <c r="S53" s="439">
        <v>66.8</v>
      </c>
      <c r="T53" s="439">
        <v>58.805</v>
      </c>
      <c r="U53" s="439">
        <v>56.9</v>
      </c>
      <c r="V53" s="438" t="s">
        <v>172</v>
      </c>
    </row>
    <row r="54" spans="1:22" ht="26.4">
      <c r="A54" s="443" t="s">
        <v>173</v>
      </c>
      <c r="B54" s="439">
        <v>49.347999999999999</v>
      </c>
      <c r="C54" s="439">
        <v>49.249000000000002</v>
      </c>
      <c r="D54" s="439">
        <v>51.916999999999994</v>
      </c>
      <c r="E54" s="439">
        <v>53</v>
      </c>
      <c r="F54" s="439">
        <v>55.86</v>
      </c>
      <c r="G54" s="439">
        <v>57</v>
      </c>
      <c r="H54" s="439">
        <v>51.820000000000007</v>
      </c>
      <c r="I54" s="439">
        <v>60.205999999999996</v>
      </c>
      <c r="J54" s="439">
        <v>56.317999999999998</v>
      </c>
      <c r="K54" s="439">
        <v>60.989999999999995</v>
      </c>
      <c r="L54" s="439">
        <v>62.315999999999995</v>
      </c>
      <c r="M54" s="439">
        <v>55.513999999999996</v>
      </c>
      <c r="N54" s="439">
        <v>60.823</v>
      </c>
      <c r="O54" s="439">
        <v>61.567999999999998</v>
      </c>
      <c r="P54" s="439">
        <v>63.45</v>
      </c>
      <c r="Q54" s="439">
        <v>63.1</v>
      </c>
      <c r="R54" s="439">
        <v>64.599999999999994</v>
      </c>
      <c r="S54" s="439">
        <v>66.599999999999994</v>
      </c>
      <c r="T54" s="439">
        <v>58.730000000000004</v>
      </c>
      <c r="U54" s="439">
        <v>56.8</v>
      </c>
      <c r="V54" s="438" t="s">
        <v>248</v>
      </c>
    </row>
    <row r="55" spans="1:22" ht="26.4">
      <c r="A55" s="443" t="s">
        <v>175</v>
      </c>
      <c r="B55" s="439">
        <v>50.082000000000001</v>
      </c>
      <c r="C55" s="439">
        <v>60.204999999999998</v>
      </c>
      <c r="D55" s="439">
        <v>51.94</v>
      </c>
      <c r="E55" s="439">
        <v>54</v>
      </c>
      <c r="F55" s="439">
        <v>55.160000000000004</v>
      </c>
      <c r="G55" s="439">
        <v>57</v>
      </c>
      <c r="H55" s="439">
        <v>55.274000000000001</v>
      </c>
      <c r="I55" s="439">
        <v>61.030999999999992</v>
      </c>
      <c r="J55" s="439">
        <v>55.754999999999995</v>
      </c>
      <c r="K55" s="439">
        <v>60.489999999999995</v>
      </c>
      <c r="L55" s="439">
        <v>62.253999999999998</v>
      </c>
      <c r="M55" s="439">
        <v>54.878999999999998</v>
      </c>
      <c r="N55" s="439">
        <v>59.876999999999995</v>
      </c>
      <c r="O55" s="439">
        <v>52.951000000000001</v>
      </c>
      <c r="P55" s="439">
        <v>63.56</v>
      </c>
      <c r="Q55" s="439">
        <v>62.78</v>
      </c>
      <c r="R55" s="439">
        <v>66.5</v>
      </c>
      <c r="S55" s="439">
        <v>65.2</v>
      </c>
      <c r="T55" s="439">
        <v>57.584999999999994</v>
      </c>
      <c r="U55" s="439">
        <v>61.3</v>
      </c>
      <c r="V55" s="438" t="s">
        <v>249</v>
      </c>
    </row>
    <row r="56" spans="1:22" ht="26.4">
      <c r="A56" s="443" t="s">
        <v>177</v>
      </c>
      <c r="B56" s="439">
        <v>49.637999999999998</v>
      </c>
      <c r="C56" s="439">
        <v>49.774999999999999</v>
      </c>
      <c r="D56" s="439">
        <v>52.475999999999999</v>
      </c>
      <c r="E56" s="439">
        <v>53</v>
      </c>
      <c r="F56" s="439">
        <v>52.35</v>
      </c>
      <c r="G56" s="439">
        <v>57</v>
      </c>
      <c r="H56" s="439">
        <v>56.578999999999994</v>
      </c>
      <c r="I56" s="439">
        <v>59.771000000000001</v>
      </c>
      <c r="J56" s="439">
        <v>56.872</v>
      </c>
      <c r="K56" s="439">
        <v>61.65</v>
      </c>
      <c r="L56" s="439">
        <v>61.358000000000004</v>
      </c>
      <c r="M56" s="439">
        <v>55.55</v>
      </c>
      <c r="N56" s="439">
        <v>60.748000000000005</v>
      </c>
      <c r="O56" s="439">
        <v>64.358000000000004</v>
      </c>
      <c r="P56" s="439">
        <v>63.04</v>
      </c>
      <c r="Q56" s="439">
        <v>62.07</v>
      </c>
      <c r="R56" s="439">
        <v>66.7</v>
      </c>
      <c r="S56" s="439">
        <v>65.099999999999994</v>
      </c>
      <c r="T56" s="439">
        <v>58.22</v>
      </c>
      <c r="U56" s="439">
        <v>63</v>
      </c>
      <c r="V56" s="438" t="s">
        <v>250</v>
      </c>
    </row>
    <row r="57" spans="1:22" ht="26.4">
      <c r="A57" s="443" t="s">
        <v>179</v>
      </c>
      <c r="B57" s="439">
        <v>49.567</v>
      </c>
      <c r="C57" s="439">
        <v>49.601999999999997</v>
      </c>
      <c r="D57" s="439">
        <v>52.154999999999994</v>
      </c>
      <c r="E57" s="439">
        <v>54</v>
      </c>
      <c r="F57" s="439">
        <v>50.83</v>
      </c>
      <c r="G57" s="439">
        <v>58</v>
      </c>
      <c r="H57" s="439">
        <v>56.991999999999997</v>
      </c>
      <c r="I57" s="439">
        <v>57.274999999999999</v>
      </c>
      <c r="J57" s="439">
        <v>58.98</v>
      </c>
      <c r="K57" s="439">
        <v>61.660000000000004</v>
      </c>
      <c r="L57" s="439">
        <v>59.672000000000004</v>
      </c>
      <c r="M57" s="439">
        <v>56.349000000000004</v>
      </c>
      <c r="N57" s="439">
        <v>60.905999999999992</v>
      </c>
      <c r="O57" s="439">
        <v>64.609000000000009</v>
      </c>
      <c r="P57" s="439">
        <v>63.45</v>
      </c>
      <c r="Q57" s="439">
        <v>61.6</v>
      </c>
      <c r="R57" s="439">
        <v>67.5</v>
      </c>
      <c r="S57" s="439">
        <v>65</v>
      </c>
      <c r="T57" s="439">
        <v>57.204999999999998</v>
      </c>
      <c r="U57" s="439">
        <v>61.9</v>
      </c>
      <c r="V57" s="438" t="s">
        <v>180</v>
      </c>
    </row>
    <row r="58" spans="1:22" ht="26.4">
      <c r="A58" s="443" t="s">
        <v>181</v>
      </c>
      <c r="B58" s="439">
        <v>50.597999999999999</v>
      </c>
      <c r="C58" s="439">
        <v>46.558999999999997</v>
      </c>
      <c r="D58" s="439">
        <v>51.67</v>
      </c>
      <c r="E58" s="439">
        <v>55</v>
      </c>
      <c r="F58" s="439">
        <v>49.69</v>
      </c>
      <c r="G58" s="439">
        <v>59</v>
      </c>
      <c r="H58" s="439">
        <v>60.275999999999996</v>
      </c>
      <c r="I58" s="439">
        <v>60.280999999999992</v>
      </c>
      <c r="J58" s="439">
        <v>59.660000000000004</v>
      </c>
      <c r="K58" s="439">
        <v>62.489999999999995</v>
      </c>
      <c r="L58" s="439">
        <v>58.512</v>
      </c>
      <c r="M58" s="439">
        <v>57.032000000000004</v>
      </c>
      <c r="N58" s="439">
        <v>59.996000000000002</v>
      </c>
      <c r="O58" s="439">
        <v>63.725999999999999</v>
      </c>
      <c r="P58" s="439">
        <v>62.75</v>
      </c>
      <c r="Q58" s="439">
        <v>62.35</v>
      </c>
      <c r="R58" s="439">
        <v>66.5</v>
      </c>
      <c r="S58" s="439">
        <v>64</v>
      </c>
      <c r="T58" s="439">
        <v>56.719047619047629</v>
      </c>
      <c r="U58" s="439">
        <v>62</v>
      </c>
      <c r="V58" s="438" t="s">
        <v>182</v>
      </c>
    </row>
    <row r="59" spans="1:22" ht="26.4">
      <c r="A59" s="443" t="s">
        <v>183</v>
      </c>
      <c r="B59" s="439">
        <v>52.246000000000002</v>
      </c>
      <c r="C59" s="439">
        <v>48.238999999999997</v>
      </c>
      <c r="D59" s="439">
        <v>52.69</v>
      </c>
      <c r="E59" s="439">
        <v>56</v>
      </c>
      <c r="F59" s="439">
        <v>48.739999999999995</v>
      </c>
      <c r="G59" s="439">
        <v>59</v>
      </c>
      <c r="H59" s="439">
        <v>58.813000000000002</v>
      </c>
      <c r="I59" s="439">
        <v>59.45</v>
      </c>
      <c r="J59" s="439">
        <v>58.379999999999995</v>
      </c>
      <c r="K59" s="439">
        <v>60.92</v>
      </c>
      <c r="L59" s="439">
        <v>58.188000000000002</v>
      </c>
      <c r="M59" s="439">
        <v>54.903999999999996</v>
      </c>
      <c r="N59" s="439">
        <v>58.919000000000004</v>
      </c>
      <c r="O59" s="439">
        <v>63.254999999999995</v>
      </c>
      <c r="P59" s="439">
        <v>62.88</v>
      </c>
      <c r="Q59" s="439">
        <v>62.61</v>
      </c>
      <c r="R59" s="439">
        <v>66.7</v>
      </c>
      <c r="S59" s="439">
        <v>63.1</v>
      </c>
      <c r="T59" s="439">
        <v>58.675714285714299</v>
      </c>
      <c r="U59" s="439">
        <v>65.099999999999994</v>
      </c>
      <c r="V59" s="438" t="s">
        <v>184</v>
      </c>
    </row>
    <row r="60" spans="1:22" ht="26.4">
      <c r="A60" s="443" t="s">
        <v>185</v>
      </c>
      <c r="B60" s="439">
        <v>52.845000000000006</v>
      </c>
      <c r="C60" s="439">
        <v>48.558999999999997</v>
      </c>
      <c r="D60" s="439">
        <v>54.150999999999996</v>
      </c>
      <c r="E60" s="439">
        <v>56</v>
      </c>
      <c r="F60" s="439">
        <v>52.48</v>
      </c>
      <c r="G60" s="439">
        <v>58</v>
      </c>
      <c r="H60" s="439">
        <v>56.73</v>
      </c>
      <c r="I60" s="439">
        <v>57.983000000000004</v>
      </c>
      <c r="J60" s="439">
        <v>60.25</v>
      </c>
      <c r="K60" s="439">
        <v>61.96</v>
      </c>
      <c r="L60" s="439">
        <v>58.524000000000001</v>
      </c>
      <c r="M60" s="439">
        <v>55.747</v>
      </c>
      <c r="N60" s="439">
        <v>57.477999999999994</v>
      </c>
      <c r="O60" s="439">
        <v>63.924999999999997</v>
      </c>
      <c r="P60" s="439">
        <v>63.07</v>
      </c>
      <c r="Q60" s="439">
        <v>63.07</v>
      </c>
      <c r="R60" s="439">
        <v>67.5</v>
      </c>
      <c r="S60" s="439">
        <v>62.6</v>
      </c>
      <c r="T60" s="439">
        <v>60.23</v>
      </c>
      <c r="U60" s="439">
        <v>65.7</v>
      </c>
      <c r="V60" s="438" t="s">
        <v>186</v>
      </c>
    </row>
    <row r="61" spans="1:22" ht="26.4">
      <c r="A61" s="443" t="s">
        <v>251</v>
      </c>
      <c r="B61" s="439">
        <v>49.66525</v>
      </c>
      <c r="C61" s="439">
        <v>50.860000000000014</v>
      </c>
      <c r="D61" s="439">
        <v>51.418500000000009</v>
      </c>
      <c r="E61" s="439">
        <v>54.166666666666664</v>
      </c>
      <c r="F61" s="439">
        <v>54.158333333333324</v>
      </c>
      <c r="G61" s="439">
        <v>55.75</v>
      </c>
      <c r="H61" s="439">
        <v>55.834499999999998</v>
      </c>
      <c r="I61" s="439">
        <v>59.635333333333335</v>
      </c>
      <c r="J61" s="439">
        <v>58.086416666666658</v>
      </c>
      <c r="K61" s="439">
        <v>60.844166666666666</v>
      </c>
      <c r="L61" s="439">
        <v>61.26583333333334</v>
      </c>
      <c r="M61" s="439">
        <v>54.947083333333332</v>
      </c>
      <c r="N61" s="439">
        <v>59.485333333333323</v>
      </c>
      <c r="O61" s="439">
        <v>60.66941666666667</v>
      </c>
      <c r="P61" s="439">
        <v>64.232500000000002</v>
      </c>
      <c r="Q61" s="439">
        <v>62.582727272727283</v>
      </c>
      <c r="R61" s="439">
        <v>65.081818181818193</v>
      </c>
      <c r="S61" s="439">
        <v>65.25833333333334</v>
      </c>
      <c r="T61" s="439">
        <v>59.417896825396831</v>
      </c>
      <c r="U61" s="439">
        <v>60.2</v>
      </c>
      <c r="V61" s="438" t="s">
        <v>252</v>
      </c>
    </row>
    <row r="63" spans="1:22">
      <c r="A63" t="s">
        <v>253</v>
      </c>
      <c r="V63" t="s">
        <v>199</v>
      </c>
    </row>
    <row r="66" spans="1:22">
      <c r="V66" t="s">
        <v>1576</v>
      </c>
    </row>
    <row r="67" spans="1:22">
      <c r="A67" t="s">
        <v>1575</v>
      </c>
    </row>
    <row r="68" spans="1:22" ht="15" thickBot="1">
      <c r="A68" t="s">
        <v>256</v>
      </c>
      <c r="V68" t="s">
        <v>257</v>
      </c>
    </row>
    <row r="69" spans="1:22" ht="30">
      <c r="A69" s="307" t="s">
        <v>242</v>
      </c>
      <c r="B69" s="307">
        <v>2004</v>
      </c>
      <c r="C69" s="307">
        <v>2005</v>
      </c>
      <c r="D69" s="307">
        <v>2006</v>
      </c>
      <c r="E69" s="307">
        <v>2007</v>
      </c>
      <c r="F69" s="307">
        <v>2008</v>
      </c>
      <c r="G69" s="307">
        <v>2009</v>
      </c>
      <c r="H69" s="307">
        <v>2010</v>
      </c>
      <c r="I69" s="307">
        <v>2011</v>
      </c>
      <c r="J69" s="307">
        <v>2012</v>
      </c>
      <c r="K69" s="307">
        <v>2013</v>
      </c>
      <c r="L69" s="307">
        <v>2014</v>
      </c>
      <c r="M69" s="307">
        <v>2015</v>
      </c>
      <c r="N69" s="307">
        <v>2016</v>
      </c>
      <c r="O69" s="307">
        <v>2017</v>
      </c>
      <c r="P69" s="307">
        <v>2018</v>
      </c>
      <c r="Q69" s="307">
        <v>2019</v>
      </c>
      <c r="R69" s="307">
        <v>2020</v>
      </c>
      <c r="S69" s="307">
        <v>2021</v>
      </c>
      <c r="T69" s="307">
        <v>2022</v>
      </c>
      <c r="U69" s="307">
        <v>2023</v>
      </c>
      <c r="V69" s="307" t="s">
        <v>243</v>
      </c>
    </row>
    <row r="70" spans="1:22" ht="26.4">
      <c r="A70" s="310" t="s">
        <v>163</v>
      </c>
      <c r="B70" s="441">
        <v>48.195999999999998</v>
      </c>
      <c r="C70" s="441">
        <v>48.608999999999995</v>
      </c>
      <c r="D70" s="441">
        <v>47.385000000000005</v>
      </c>
      <c r="E70" s="441">
        <v>64.070000000000007</v>
      </c>
      <c r="F70" s="441">
        <v>49.3</v>
      </c>
      <c r="G70" s="441">
        <v>37.410000000000004</v>
      </c>
      <c r="H70" s="441">
        <v>42.36</v>
      </c>
      <c r="I70" s="441">
        <v>45.780999999999999</v>
      </c>
      <c r="J70" s="441">
        <v>45</v>
      </c>
      <c r="K70" s="441">
        <v>47.95</v>
      </c>
      <c r="L70" s="441">
        <v>49.53</v>
      </c>
      <c r="M70" s="441">
        <v>47.519999999999996</v>
      </c>
      <c r="N70" s="441">
        <v>49.058</v>
      </c>
      <c r="O70" s="441">
        <v>44.08</v>
      </c>
      <c r="P70" s="441">
        <v>48.72</v>
      </c>
      <c r="Q70" s="441">
        <v>46.73</v>
      </c>
      <c r="R70" s="441">
        <v>48.76</v>
      </c>
      <c r="S70" s="441">
        <v>49.4</v>
      </c>
      <c r="T70" s="441">
        <v>49.254999999999995</v>
      </c>
      <c r="U70" s="441">
        <v>44.19</v>
      </c>
      <c r="V70" s="310" t="s">
        <v>244</v>
      </c>
    </row>
    <row r="71" spans="1:22" ht="26.4">
      <c r="A71" s="310" t="s">
        <v>165</v>
      </c>
      <c r="B71" s="441">
        <v>49.613</v>
      </c>
      <c r="C71" s="441">
        <v>49.162999999999997</v>
      </c>
      <c r="D71" s="441">
        <v>46.963000000000001</v>
      </c>
      <c r="E71" s="441">
        <v>52.52</v>
      </c>
      <c r="F71" s="441">
        <v>49.230000000000004</v>
      </c>
      <c r="G71" s="441">
        <v>37.18</v>
      </c>
      <c r="H71" s="441">
        <v>40.989999999999995</v>
      </c>
      <c r="I71" s="441">
        <v>45.641000000000005</v>
      </c>
      <c r="J71" s="441">
        <v>46.17</v>
      </c>
      <c r="K71" s="441">
        <v>46.32</v>
      </c>
      <c r="L71" s="441">
        <v>49.67</v>
      </c>
      <c r="M71" s="441">
        <v>47.881999999999998</v>
      </c>
      <c r="N71" s="441">
        <v>49.207999999999998</v>
      </c>
      <c r="O71" s="441">
        <v>44.747</v>
      </c>
      <c r="P71" s="441">
        <v>49.19</v>
      </c>
      <c r="Q71" s="441">
        <v>47.36</v>
      </c>
      <c r="R71" s="441">
        <v>48.32</v>
      </c>
      <c r="S71" s="441">
        <v>49.9</v>
      </c>
      <c r="T71" s="441">
        <v>49.185000000000002</v>
      </c>
      <c r="U71" s="441">
        <v>42.5</v>
      </c>
      <c r="V71" s="310" t="s">
        <v>245</v>
      </c>
    </row>
    <row r="72" spans="1:22" ht="26.4">
      <c r="A72" s="310" t="s">
        <v>167</v>
      </c>
      <c r="B72" s="441">
        <v>48.524999999999999</v>
      </c>
      <c r="C72" s="441">
        <v>49.960999999999999</v>
      </c>
      <c r="D72" s="441">
        <v>46.847000000000001</v>
      </c>
      <c r="E72" s="441">
        <v>52.3</v>
      </c>
      <c r="F72" s="441">
        <v>48.97</v>
      </c>
      <c r="G72" s="441">
        <v>37.450000000000003</v>
      </c>
      <c r="H72" s="441">
        <v>39.81</v>
      </c>
      <c r="I72" s="441">
        <v>44.9</v>
      </c>
      <c r="J72" s="441">
        <v>46.33</v>
      </c>
      <c r="K72" s="441">
        <v>45.08</v>
      </c>
      <c r="L72" s="441">
        <v>49.739999999999995</v>
      </c>
      <c r="M72" s="441">
        <v>47.53</v>
      </c>
      <c r="N72" s="441">
        <v>49.381</v>
      </c>
      <c r="O72" s="441">
        <v>44.291000000000004</v>
      </c>
      <c r="P72" s="441">
        <v>49.25</v>
      </c>
      <c r="Q72" s="441">
        <v>48.04</v>
      </c>
      <c r="R72" s="441">
        <v>46.1</v>
      </c>
      <c r="S72" s="441">
        <v>50</v>
      </c>
      <c r="T72" s="441">
        <v>48</v>
      </c>
      <c r="U72" s="441">
        <v>41.78</v>
      </c>
      <c r="V72" s="310" t="s">
        <v>246</v>
      </c>
    </row>
    <row r="73" spans="1:22" ht="26.4">
      <c r="A73" s="310" t="s">
        <v>169</v>
      </c>
      <c r="B73" s="441">
        <v>48.054000000000002</v>
      </c>
      <c r="C73" s="441">
        <v>50.158999999999999</v>
      </c>
      <c r="D73" s="441">
        <v>47.448</v>
      </c>
      <c r="E73" s="441">
        <v>53.160000000000004</v>
      </c>
      <c r="F73" s="441">
        <v>47.75</v>
      </c>
      <c r="G73" s="441">
        <v>39.010000000000005</v>
      </c>
      <c r="H73" s="441">
        <v>40.9</v>
      </c>
      <c r="I73" s="441">
        <v>44.567</v>
      </c>
      <c r="J73" s="441">
        <v>46.561999999999998</v>
      </c>
      <c r="K73" s="441">
        <v>45.82</v>
      </c>
      <c r="L73" s="441">
        <v>50</v>
      </c>
      <c r="M73" s="441">
        <v>47.6</v>
      </c>
      <c r="N73" s="441">
        <v>50.326000000000001</v>
      </c>
      <c r="O73" s="441">
        <v>45.372</v>
      </c>
      <c r="P73" s="441">
        <v>49.89</v>
      </c>
      <c r="Q73" s="441">
        <v>47.6</v>
      </c>
      <c r="R73" s="441">
        <v>46.38</v>
      </c>
      <c r="S73" s="441">
        <v>49.8</v>
      </c>
      <c r="T73" s="441">
        <v>47.25</v>
      </c>
      <c r="U73" s="441">
        <v>42.6</v>
      </c>
      <c r="V73" s="310" t="s">
        <v>247</v>
      </c>
    </row>
    <row r="74" spans="1:22" ht="26.4">
      <c r="A74" s="310" t="s">
        <v>171</v>
      </c>
      <c r="B74" s="441">
        <v>47.725000000000001</v>
      </c>
      <c r="C74" s="441">
        <v>49.228999999999999</v>
      </c>
      <c r="D74" s="441">
        <v>50.18</v>
      </c>
      <c r="E74" s="441">
        <v>51.7</v>
      </c>
      <c r="F74" s="441">
        <v>47.010000000000005</v>
      </c>
      <c r="G74" s="441">
        <v>40.93</v>
      </c>
      <c r="H74" s="441">
        <v>40.14</v>
      </c>
      <c r="I74" s="441">
        <v>44.585999999999999</v>
      </c>
      <c r="J74" s="441">
        <v>46.753</v>
      </c>
      <c r="K74" s="441">
        <v>46.32</v>
      </c>
      <c r="L74" s="441">
        <v>50.45</v>
      </c>
      <c r="M74" s="441">
        <v>49.704999999999998</v>
      </c>
      <c r="N74" s="441">
        <v>51.363999999999997</v>
      </c>
      <c r="O74" s="441">
        <v>46.523000000000003</v>
      </c>
      <c r="P74" s="441">
        <v>47.98</v>
      </c>
      <c r="Q74" s="441">
        <v>47.02</v>
      </c>
      <c r="R74" s="441">
        <v>48.76</v>
      </c>
      <c r="S74" s="441">
        <v>50.8</v>
      </c>
      <c r="T74" s="441">
        <v>45.414999999999999</v>
      </c>
      <c r="U74" s="441">
        <v>42.84</v>
      </c>
      <c r="V74" s="310" t="s">
        <v>172</v>
      </c>
    </row>
    <row r="75" spans="1:22" ht="26.4">
      <c r="A75" s="310" t="s">
        <v>173</v>
      </c>
      <c r="B75" s="441">
        <v>48.631999999999998</v>
      </c>
      <c r="C75" s="441">
        <v>48.314999999999998</v>
      </c>
      <c r="D75" s="441">
        <v>49.561</v>
      </c>
      <c r="E75" s="441">
        <v>51.2</v>
      </c>
      <c r="F75" s="441">
        <v>46.33</v>
      </c>
      <c r="G75" s="441">
        <v>43.31</v>
      </c>
      <c r="H75" s="441">
        <v>41.03</v>
      </c>
      <c r="I75" s="441">
        <v>44.551000000000002</v>
      </c>
      <c r="J75" s="441">
        <v>45.841999999999999</v>
      </c>
      <c r="K75" s="441">
        <v>46.97</v>
      </c>
      <c r="L75" s="441">
        <v>50.62</v>
      </c>
      <c r="M75" s="441">
        <v>50.475000000000001</v>
      </c>
      <c r="N75" s="441">
        <v>50.660000000000004</v>
      </c>
      <c r="O75" s="441">
        <v>46.042999999999999</v>
      </c>
      <c r="P75" s="441">
        <v>47.34</v>
      </c>
      <c r="Q75" s="441">
        <v>46.06</v>
      </c>
      <c r="R75" s="441">
        <v>47.04</v>
      </c>
      <c r="S75" s="441">
        <v>50.9</v>
      </c>
      <c r="T75" s="441">
        <v>44.894999999999996</v>
      </c>
      <c r="U75" s="441">
        <v>43.38</v>
      </c>
      <c r="V75" s="310" t="s">
        <v>248</v>
      </c>
    </row>
    <row r="76" spans="1:22" ht="26.4">
      <c r="A76" s="310" t="s">
        <v>175</v>
      </c>
      <c r="B76" s="441">
        <v>48.509</v>
      </c>
      <c r="C76" s="441">
        <v>46.499000000000002</v>
      </c>
      <c r="D76" s="441">
        <v>49.525999999999996</v>
      </c>
      <c r="E76" s="441">
        <v>52.123000000000005</v>
      </c>
      <c r="F76" s="441">
        <v>45.65</v>
      </c>
      <c r="G76" s="441">
        <v>43.19</v>
      </c>
      <c r="H76" s="441">
        <v>43.376999999999995</v>
      </c>
      <c r="I76" s="441">
        <v>45.745999999999995</v>
      </c>
      <c r="J76" s="441">
        <v>46.314999999999998</v>
      </c>
      <c r="K76" s="441">
        <v>46.089999999999996</v>
      </c>
      <c r="L76" s="441">
        <v>51.320000000000007</v>
      </c>
      <c r="M76" s="441">
        <v>50.888999999999996</v>
      </c>
      <c r="N76" s="441">
        <v>46.8</v>
      </c>
      <c r="O76" s="441">
        <v>46.67</v>
      </c>
      <c r="P76" s="441">
        <v>47.03</v>
      </c>
      <c r="Q76" s="441">
        <v>45.7</v>
      </c>
      <c r="R76" s="441">
        <v>47.45</v>
      </c>
      <c r="S76" s="441">
        <v>50</v>
      </c>
      <c r="T76" s="441">
        <v>44.47</v>
      </c>
      <c r="U76" s="441">
        <v>46.87</v>
      </c>
      <c r="V76" s="310" t="s">
        <v>249</v>
      </c>
    </row>
    <row r="77" spans="1:22" ht="26.4">
      <c r="A77" s="310" t="s">
        <v>177</v>
      </c>
      <c r="B77" s="441">
        <v>48.692999999999998</v>
      </c>
      <c r="C77" s="441">
        <v>47.626999999999995</v>
      </c>
      <c r="D77" s="441">
        <v>50.844000000000001</v>
      </c>
      <c r="E77" s="441" t="e">
        <v>#VALUE!</v>
      </c>
      <c r="F77" s="441">
        <v>43.35</v>
      </c>
      <c r="G77" s="441">
        <v>43.1</v>
      </c>
      <c r="H77" s="441">
        <v>45.006</v>
      </c>
      <c r="I77" s="441">
        <v>44.858999999999995</v>
      </c>
      <c r="J77" s="441">
        <v>47.29</v>
      </c>
      <c r="K77" s="441">
        <v>47.04</v>
      </c>
      <c r="L77" s="441">
        <v>50.38</v>
      </c>
      <c r="M77" s="441">
        <v>51.143000000000001</v>
      </c>
      <c r="N77" s="441">
        <v>46.683999999999997</v>
      </c>
      <c r="O77" s="441">
        <v>46.427</v>
      </c>
      <c r="P77" s="441">
        <v>46.15</v>
      </c>
      <c r="Q77" s="441">
        <v>44.48</v>
      </c>
      <c r="R77" s="441">
        <v>48.81</v>
      </c>
      <c r="S77" s="441">
        <v>50</v>
      </c>
      <c r="T77" s="441">
        <v>45.265000000000001</v>
      </c>
      <c r="U77" s="441">
        <v>48.09</v>
      </c>
      <c r="V77" s="310" t="s">
        <v>250</v>
      </c>
    </row>
    <row r="78" spans="1:22" ht="26.4">
      <c r="A78" s="310" t="s">
        <v>179</v>
      </c>
      <c r="B78" s="441">
        <v>47.754000000000005</v>
      </c>
      <c r="C78" s="441">
        <v>48.070999999999998</v>
      </c>
      <c r="D78" s="441">
        <v>50.666000000000004</v>
      </c>
      <c r="E78" s="441">
        <v>51.660000000000004</v>
      </c>
      <c r="F78" s="441">
        <v>41.71</v>
      </c>
      <c r="G78" s="441">
        <v>42.55</v>
      </c>
      <c r="H78" s="441">
        <v>44.58</v>
      </c>
      <c r="I78" s="441">
        <v>44.286999999999999</v>
      </c>
      <c r="J78" s="441">
        <v>48.527000000000001</v>
      </c>
      <c r="K78" s="441">
        <v>47.97</v>
      </c>
      <c r="L78" s="441">
        <v>49.3</v>
      </c>
      <c r="M78" s="441">
        <v>50.585000000000001</v>
      </c>
      <c r="N78" s="441">
        <v>46.868000000000002</v>
      </c>
      <c r="O78" s="441">
        <v>47.374000000000002</v>
      </c>
      <c r="P78" s="441">
        <v>46.58</v>
      </c>
      <c r="Q78" s="441">
        <v>45.29</v>
      </c>
      <c r="R78" s="441">
        <v>48.02</v>
      </c>
      <c r="S78" s="441">
        <v>49.8</v>
      </c>
      <c r="T78" s="441">
        <v>42.965000000000003</v>
      </c>
      <c r="U78" s="441">
        <v>47.14</v>
      </c>
      <c r="V78" s="310" t="s">
        <v>180</v>
      </c>
    </row>
    <row r="79" spans="1:22" ht="26.4">
      <c r="A79" s="310" t="s">
        <v>181</v>
      </c>
      <c r="B79" s="441">
        <v>47.975000000000001</v>
      </c>
      <c r="C79" s="441">
        <v>47.018999999999998</v>
      </c>
      <c r="D79" s="441">
        <v>50.331000000000003</v>
      </c>
      <c r="E79" s="441">
        <v>52.2</v>
      </c>
      <c r="F79" s="441">
        <v>41.46</v>
      </c>
      <c r="G79" s="441">
        <v>42.08</v>
      </c>
      <c r="H79" s="441">
        <v>45.129000000000005</v>
      </c>
      <c r="I79" s="441">
        <v>45.392000000000003</v>
      </c>
      <c r="J79" s="441">
        <v>48.519999999999996</v>
      </c>
      <c r="K79" s="441">
        <v>48.39</v>
      </c>
      <c r="L79" s="441">
        <v>48.769999999999996</v>
      </c>
      <c r="M79" s="441">
        <v>51</v>
      </c>
      <c r="N79" s="441">
        <v>44.107999999999997</v>
      </c>
      <c r="O79" s="441">
        <v>46.905000000000001</v>
      </c>
      <c r="P79" s="441">
        <v>46.63</v>
      </c>
      <c r="Q79" s="441">
        <v>46.68</v>
      </c>
      <c r="R79" s="441">
        <v>47.91</v>
      </c>
      <c r="S79" s="441">
        <v>49.5</v>
      </c>
      <c r="T79" s="441">
        <v>42.646666666666675</v>
      </c>
      <c r="U79" s="441">
        <v>46.82</v>
      </c>
      <c r="V79" s="310" t="s">
        <v>182</v>
      </c>
    </row>
    <row r="80" spans="1:22" ht="26.4">
      <c r="A80" s="310" t="s">
        <v>183</v>
      </c>
      <c r="B80" s="441">
        <v>49.052999999999997</v>
      </c>
      <c r="C80" s="441">
        <v>45.474000000000004</v>
      </c>
      <c r="D80" s="441">
        <v>51.297000000000004</v>
      </c>
      <c r="E80" s="441">
        <v>51.96</v>
      </c>
      <c r="F80" s="441">
        <v>38.700000000000003</v>
      </c>
      <c r="G80" s="441">
        <v>43.32</v>
      </c>
      <c r="H80" s="441">
        <v>44.975000000000001</v>
      </c>
      <c r="I80" s="441">
        <v>45.417999999999999</v>
      </c>
      <c r="J80" s="441">
        <v>47.660000000000004</v>
      </c>
      <c r="K80" s="441">
        <v>47.64</v>
      </c>
      <c r="L80" s="441">
        <v>48.2</v>
      </c>
      <c r="M80" s="441">
        <v>51.006</v>
      </c>
      <c r="N80" s="441">
        <v>44.302</v>
      </c>
      <c r="O80" s="441">
        <v>46.779000000000003</v>
      </c>
      <c r="P80" s="441">
        <v>46.83</v>
      </c>
      <c r="Q80" s="441">
        <v>47.87</v>
      </c>
      <c r="R80" s="441">
        <v>48.74</v>
      </c>
      <c r="S80" s="441">
        <v>48.8</v>
      </c>
      <c r="T80" s="441">
        <v>44.329523809523806</v>
      </c>
      <c r="U80" s="441">
        <v>49</v>
      </c>
      <c r="V80" s="310" t="s">
        <v>184</v>
      </c>
    </row>
    <row r="81" spans="1:22" ht="26.4">
      <c r="A81" s="310" t="s">
        <v>185</v>
      </c>
      <c r="B81" s="441">
        <v>49.980000000000004</v>
      </c>
      <c r="C81" s="441">
        <v>46.97</v>
      </c>
      <c r="D81" s="441">
        <v>52.791999999999994</v>
      </c>
      <c r="E81" s="441">
        <v>50.760000000000005</v>
      </c>
      <c r="F81" s="441">
        <v>38.33</v>
      </c>
      <c r="G81" s="441">
        <v>42.47</v>
      </c>
      <c r="H81" s="441">
        <v>43.963000000000001</v>
      </c>
      <c r="I81" s="441">
        <v>44.999000000000002</v>
      </c>
      <c r="J81" s="441">
        <v>48.64</v>
      </c>
      <c r="K81" s="441">
        <v>48.6</v>
      </c>
      <c r="L81" s="441">
        <v>48.55</v>
      </c>
      <c r="M81" s="441">
        <v>50.558999999999997</v>
      </c>
      <c r="N81" s="441">
        <v>44.600999999999999</v>
      </c>
      <c r="O81" s="441">
        <v>47.454999999999998</v>
      </c>
      <c r="P81" s="441">
        <v>46.07</v>
      </c>
      <c r="Q81" s="441">
        <v>48.79</v>
      </c>
      <c r="R81" s="441">
        <v>48.8</v>
      </c>
      <c r="S81" s="441">
        <v>48.3</v>
      </c>
      <c r="T81" s="441">
        <v>45.486363636363642</v>
      </c>
      <c r="U81" s="441">
        <v>50.15</v>
      </c>
      <c r="V81" s="310" t="s">
        <v>186</v>
      </c>
    </row>
    <row r="82" spans="1:22" ht="26.4">
      <c r="A82" s="310" t="s">
        <v>251</v>
      </c>
      <c r="B82" s="441">
        <v>48.559083333333334</v>
      </c>
      <c r="C82" s="441">
        <v>48.091333333333324</v>
      </c>
      <c r="D82" s="441">
        <v>49.486666666666679</v>
      </c>
      <c r="E82" s="441">
        <v>53.059363636363642</v>
      </c>
      <c r="F82" s="441">
        <v>44.815833333333337</v>
      </c>
      <c r="G82" s="441">
        <v>41</v>
      </c>
      <c r="H82" s="441">
        <v>42.688333333333333</v>
      </c>
      <c r="I82" s="441">
        <v>45.060583333333334</v>
      </c>
      <c r="J82" s="441">
        <v>46.967416666666658</v>
      </c>
      <c r="K82" s="441">
        <v>47.01583333333334</v>
      </c>
      <c r="L82" s="441">
        <v>49.710833333333333</v>
      </c>
      <c r="M82" s="441">
        <v>49.657833333333336</v>
      </c>
      <c r="N82" s="441">
        <v>47.78</v>
      </c>
      <c r="O82" s="441">
        <v>46.055500000000002</v>
      </c>
      <c r="P82" s="441">
        <v>47.638333333333328</v>
      </c>
      <c r="Q82" s="441">
        <v>46.808181818181829</v>
      </c>
      <c r="R82" s="441">
        <v>47.848181818181814</v>
      </c>
      <c r="S82" s="441">
        <v>49.766666666666659</v>
      </c>
      <c r="T82" s="441">
        <v>45.763546176046184</v>
      </c>
      <c r="U82" s="441">
        <v>45.45</v>
      </c>
      <c r="V82" s="310" t="s">
        <v>252</v>
      </c>
    </row>
    <row r="84" spans="1:22">
      <c r="A84" t="s">
        <v>253</v>
      </c>
      <c r="V84" t="s">
        <v>199</v>
      </c>
    </row>
    <row r="88" spans="1:22">
      <c r="V88" t="s">
        <v>1576</v>
      </c>
    </row>
    <row r="89" spans="1:22">
      <c r="A89" t="s">
        <v>1575</v>
      </c>
    </row>
    <row r="90" spans="1:22">
      <c r="A90" t="s">
        <v>258</v>
      </c>
      <c r="V90" t="s">
        <v>259</v>
      </c>
    </row>
    <row r="91" spans="1:22" ht="30">
      <c r="A91" s="446" t="s">
        <v>242</v>
      </c>
      <c r="B91" s="446">
        <v>2004</v>
      </c>
      <c r="C91" s="446">
        <v>2005</v>
      </c>
      <c r="D91" s="446">
        <v>2006</v>
      </c>
      <c r="E91" s="446">
        <v>2007</v>
      </c>
      <c r="F91" s="446">
        <v>2008</v>
      </c>
      <c r="G91" s="446">
        <v>2009</v>
      </c>
      <c r="H91" s="446">
        <v>2010</v>
      </c>
      <c r="I91" s="446">
        <v>2011</v>
      </c>
      <c r="J91" s="446">
        <v>2012</v>
      </c>
      <c r="K91" s="446">
        <v>2013</v>
      </c>
      <c r="L91" s="446">
        <v>2014</v>
      </c>
      <c r="M91" s="446">
        <v>2015</v>
      </c>
      <c r="N91" s="446">
        <v>2016</v>
      </c>
      <c r="O91" s="446">
        <v>2017</v>
      </c>
      <c r="P91" s="446">
        <v>2018</v>
      </c>
      <c r="Q91" s="446">
        <v>2019</v>
      </c>
      <c r="R91" s="446">
        <v>2020</v>
      </c>
      <c r="S91" s="446">
        <v>2021</v>
      </c>
      <c r="T91" s="446">
        <v>2022</v>
      </c>
      <c r="U91" s="446">
        <v>2023</v>
      </c>
      <c r="V91" s="446" t="s">
        <v>243</v>
      </c>
    </row>
    <row r="92" spans="1:22" ht="26.4">
      <c r="A92" s="310" t="s">
        <v>163</v>
      </c>
      <c r="B92" s="444">
        <v>3.0043408727438887</v>
      </c>
      <c r="C92" s="444">
        <v>3.0525983217066006</v>
      </c>
      <c r="D92" s="444">
        <v>2.9692799999999999</v>
      </c>
      <c r="E92" s="444">
        <v>3.1149999999999998</v>
      </c>
      <c r="F92" s="444">
        <v>3.2475138888888884</v>
      </c>
      <c r="G92" s="444">
        <v>3.09</v>
      </c>
      <c r="H92" s="444">
        <v>3.31</v>
      </c>
      <c r="I92" s="444">
        <v>3.37</v>
      </c>
      <c r="J92" s="444">
        <v>3.37</v>
      </c>
      <c r="K92" s="444">
        <v>3.5700000000000003</v>
      </c>
      <c r="L92" s="444">
        <v>3.66</v>
      </c>
      <c r="M92" s="444">
        <v>3.34</v>
      </c>
      <c r="N92" s="444">
        <v>3.4299999999999997</v>
      </c>
      <c r="O92" s="444">
        <v>3.55</v>
      </c>
      <c r="P92" s="444">
        <v>3.8294999999999995</v>
      </c>
      <c r="Q92" s="444">
        <v>3.8043999999999998</v>
      </c>
      <c r="R92" s="444">
        <v>3.88</v>
      </c>
      <c r="S92" s="444">
        <v>4.0599999999999996</v>
      </c>
      <c r="T92" s="444">
        <v>3.9137</v>
      </c>
      <c r="U92" s="444">
        <v>6.8</v>
      </c>
      <c r="V92" s="310" t="s">
        <v>244</v>
      </c>
    </row>
    <row r="93" spans="1:22" ht="26.4">
      <c r="A93" s="310" t="s">
        <v>165</v>
      </c>
      <c r="B93" s="444">
        <v>3.0108757870635374</v>
      </c>
      <c r="C93" s="444">
        <v>3.0517806935332712</v>
      </c>
      <c r="D93" s="444">
        <v>2.9356200000000001</v>
      </c>
      <c r="E93" s="444">
        <v>3.1510000000000002</v>
      </c>
      <c r="F93" s="444">
        <v>3.2516799999999995</v>
      </c>
      <c r="G93" s="444">
        <v>2.9899999999999998</v>
      </c>
      <c r="H93" s="444">
        <v>3.19</v>
      </c>
      <c r="I93" s="444">
        <v>3.46</v>
      </c>
      <c r="J93" s="444">
        <v>3.47</v>
      </c>
      <c r="K93" s="444">
        <v>3.5700000000000003</v>
      </c>
      <c r="L93" s="444">
        <v>3.66</v>
      </c>
      <c r="M93" s="444">
        <v>3.2700000000000005</v>
      </c>
      <c r="N93" s="444">
        <v>3.5</v>
      </c>
      <c r="O93" s="444">
        <v>3.56</v>
      </c>
      <c r="P93" s="444">
        <v>3.8218999999999994</v>
      </c>
      <c r="Q93" s="444">
        <v>3.8174999999999999</v>
      </c>
      <c r="R93" s="444">
        <v>3.85</v>
      </c>
      <c r="S93" s="444">
        <v>4.0199999999999996</v>
      </c>
      <c r="T93" s="444">
        <v>3.87</v>
      </c>
      <c r="U93" s="444">
        <v>6.84</v>
      </c>
      <c r="V93" s="310" t="s">
        <v>245</v>
      </c>
    </row>
    <row r="94" spans="1:22" ht="26.4">
      <c r="A94" s="310" t="s">
        <v>167</v>
      </c>
      <c r="B94" s="444">
        <v>2.9241071428571428</v>
      </c>
      <c r="C94" s="444">
        <v>3.1038976424594238</v>
      </c>
      <c r="D94" s="444">
        <v>2.9527100000000002</v>
      </c>
      <c r="E94" s="444">
        <v>3.1890000000000001</v>
      </c>
      <c r="F94" s="444">
        <v>3.3120441176470585</v>
      </c>
      <c r="G94" s="444">
        <v>3.08</v>
      </c>
      <c r="H94" s="444">
        <v>3.2</v>
      </c>
      <c r="I94" s="444">
        <v>3.5100000000000002</v>
      </c>
      <c r="J94" s="444">
        <v>3.47</v>
      </c>
      <c r="K94" s="444">
        <v>3.4899999999999998</v>
      </c>
      <c r="L94" s="444">
        <v>3.6799999999999997</v>
      </c>
      <c r="M94" s="444">
        <v>3.2</v>
      </c>
      <c r="N94" s="444">
        <v>3.55</v>
      </c>
      <c r="O94" s="444">
        <v>3.5799999999999996</v>
      </c>
      <c r="P94" s="444">
        <v>3.8393999999999999</v>
      </c>
      <c r="Q94" s="444">
        <v>3.7951000000000001</v>
      </c>
      <c r="R94" s="444">
        <v>3.85</v>
      </c>
      <c r="S94" s="444">
        <v>3.99</v>
      </c>
      <c r="T94" s="444">
        <v>3.7372000000000001</v>
      </c>
      <c r="U94" s="444">
        <v>3.33</v>
      </c>
      <c r="V94" s="310" t="s">
        <v>246</v>
      </c>
    </row>
    <row r="95" spans="1:22" ht="26.4">
      <c r="A95" s="310" t="s">
        <v>169</v>
      </c>
      <c r="B95" s="444">
        <v>2.9139290407358742</v>
      </c>
      <c r="C95" s="444">
        <v>3.0794925512104276</v>
      </c>
      <c r="D95" s="444">
        <v>2.9942199999999999</v>
      </c>
      <c r="E95" s="444">
        <v>3.2290000000000001</v>
      </c>
      <c r="F95" s="444">
        <v>3.310455555555555</v>
      </c>
      <c r="G95" s="444">
        <v>3.15</v>
      </c>
      <c r="H95" s="444">
        <v>3.21</v>
      </c>
      <c r="I95" s="444">
        <v>3.5</v>
      </c>
      <c r="J95" s="444">
        <v>3.44</v>
      </c>
      <c r="K95" s="444">
        <v>3.5</v>
      </c>
      <c r="L95" s="444">
        <v>3.6700000000000004</v>
      </c>
      <c r="M95" s="444">
        <v>3.2</v>
      </c>
      <c r="N95" s="444">
        <v>3.63</v>
      </c>
      <c r="O95" s="444">
        <v>3.59</v>
      </c>
      <c r="P95" s="444">
        <v>3.8429000000000002</v>
      </c>
      <c r="Q95" s="444">
        <v>3.7860999999999998</v>
      </c>
      <c r="R95" s="444">
        <v>3.68</v>
      </c>
      <c r="S95" s="444">
        <v>4.01</v>
      </c>
      <c r="T95" s="444">
        <v>3.7151999999999998</v>
      </c>
      <c r="U95" s="444">
        <v>3.37</v>
      </c>
      <c r="V95" s="310" t="s">
        <v>247</v>
      </c>
    </row>
    <row r="96" spans="1:22" ht="26.4">
      <c r="A96" s="310" t="s">
        <v>171</v>
      </c>
      <c r="B96" s="444">
        <v>2.9335015911335454</v>
      </c>
      <c r="C96" s="444">
        <v>3.0182149362477229</v>
      </c>
      <c r="D96" s="444">
        <v>3.0983399999999999</v>
      </c>
      <c r="E96" s="444">
        <v>3.1480000000000001</v>
      </c>
      <c r="F96" s="444">
        <v>3.3096234782608698</v>
      </c>
      <c r="G96" s="444">
        <v>3.22</v>
      </c>
      <c r="H96" s="444">
        <v>3.1100000000000003</v>
      </c>
      <c r="I96" s="444">
        <v>3.46</v>
      </c>
      <c r="J96" s="444">
        <v>3.3899999999999997</v>
      </c>
      <c r="K96" s="444">
        <v>3.53</v>
      </c>
      <c r="L96" s="444">
        <v>3.6700000000000004</v>
      </c>
      <c r="M96" s="444">
        <v>3.29</v>
      </c>
      <c r="N96" s="444">
        <v>3.6399999999999997</v>
      </c>
      <c r="O96" s="444">
        <v>3.65</v>
      </c>
      <c r="P96" s="444">
        <v>3.7715000000000001</v>
      </c>
      <c r="Q96" s="444">
        <v>3.7806999999999999</v>
      </c>
      <c r="R96" s="444">
        <v>3.88</v>
      </c>
      <c r="S96" s="444">
        <v>4.0599999999999996</v>
      </c>
      <c r="T96" s="444">
        <v>3.6459000000000001</v>
      </c>
      <c r="U96" s="444">
        <v>3.39</v>
      </c>
      <c r="V96" s="310" t="s">
        <v>172</v>
      </c>
    </row>
    <row r="97" spans="1:22" ht="26.4">
      <c r="A97" s="310" t="s">
        <v>173</v>
      </c>
      <c r="B97" s="444">
        <v>2.9459639021149373</v>
      </c>
      <c r="C97" s="444">
        <v>2.9408506867523259</v>
      </c>
      <c r="D97" s="444">
        <v>3.0808800000000001</v>
      </c>
      <c r="E97" s="444">
        <v>3.093</v>
      </c>
      <c r="F97" s="444">
        <v>3.0387694736842104</v>
      </c>
      <c r="G97" s="444">
        <v>3.29</v>
      </c>
      <c r="H97" s="444">
        <v>3.09</v>
      </c>
      <c r="I97" s="444">
        <v>3.4899999999999998</v>
      </c>
      <c r="J97" s="444">
        <v>3.35</v>
      </c>
      <c r="K97" s="444">
        <v>3.5799999999999996</v>
      </c>
      <c r="L97" s="444">
        <v>3.6399999999999997</v>
      </c>
      <c r="M97" s="444">
        <v>3.3299999999999996</v>
      </c>
      <c r="N97" s="444">
        <v>3.65</v>
      </c>
      <c r="O97" s="444">
        <v>3.69</v>
      </c>
      <c r="P97" s="444">
        <v>3.7515000000000001</v>
      </c>
      <c r="Q97" s="444">
        <v>3.819</v>
      </c>
      <c r="R97" s="444">
        <v>3.88</v>
      </c>
      <c r="S97" s="444">
        <v>4.08</v>
      </c>
      <c r="T97" s="444">
        <v>3.6461000000000001</v>
      </c>
      <c r="U97" s="444">
        <v>3.42</v>
      </c>
      <c r="V97" s="310" t="s">
        <v>248</v>
      </c>
    </row>
    <row r="98" spans="1:22" ht="26.4">
      <c r="A98" s="310" t="s">
        <v>175</v>
      </c>
      <c r="B98" s="444">
        <v>2.9860381994862055</v>
      </c>
      <c r="C98" s="444">
        <v>2.8966799999999999</v>
      </c>
      <c r="D98" s="444">
        <v>3.0794799999999998</v>
      </c>
      <c r="E98" s="444">
        <v>3.1322399999999999</v>
      </c>
      <c r="F98" s="444">
        <v>3.154997391304347</v>
      </c>
      <c r="G98" s="444">
        <v>3.3</v>
      </c>
      <c r="H98" s="444">
        <v>3.29</v>
      </c>
      <c r="I98" s="444">
        <v>3.5</v>
      </c>
      <c r="J98" s="444">
        <v>3.3200000000000003</v>
      </c>
      <c r="K98" s="444">
        <v>3.56</v>
      </c>
      <c r="L98" s="444">
        <v>3.6399999999999997</v>
      </c>
      <c r="M98" s="444">
        <v>3.31</v>
      </c>
      <c r="N98" s="444">
        <v>3.6100000000000003</v>
      </c>
      <c r="O98" s="444">
        <v>3.7600000000000002</v>
      </c>
      <c r="P98" s="444">
        <v>3.7705000000000002</v>
      </c>
      <c r="Q98" s="444">
        <v>3.8254000000000001</v>
      </c>
      <c r="R98" s="444">
        <v>3.93</v>
      </c>
      <c r="S98" s="444">
        <v>4.03</v>
      </c>
      <c r="T98" s="444">
        <v>3.6210000000000004</v>
      </c>
      <c r="U98" s="444">
        <v>3.73</v>
      </c>
      <c r="V98" s="310" t="s">
        <v>249</v>
      </c>
    </row>
    <row r="99" spans="1:22" ht="26.4">
      <c r="A99" s="310" t="s">
        <v>177</v>
      </c>
      <c r="B99" s="444">
        <v>2.9615256680341502</v>
      </c>
      <c r="C99" s="444">
        <v>2.96353</v>
      </c>
      <c r="D99" s="444">
        <v>3.1058300000000001</v>
      </c>
      <c r="E99" s="444">
        <v>3.1023399999999999</v>
      </c>
      <c r="F99" s="444">
        <v>3.0121738095238095</v>
      </c>
      <c r="G99" s="444">
        <v>3.29</v>
      </c>
      <c r="H99" s="444">
        <v>3.3299999999999996</v>
      </c>
      <c r="I99" s="444">
        <v>3.63</v>
      </c>
      <c r="J99" s="444">
        <v>3.38</v>
      </c>
      <c r="K99" s="444">
        <v>3.62</v>
      </c>
      <c r="L99" s="444">
        <v>3.59</v>
      </c>
      <c r="M99" s="444">
        <v>3.4</v>
      </c>
      <c r="N99" s="444">
        <v>3.65</v>
      </c>
      <c r="O99" s="444">
        <v>3.79</v>
      </c>
      <c r="P99" s="444">
        <v>3.7621000000000002</v>
      </c>
      <c r="Q99" s="444">
        <v>3.8119999999999998</v>
      </c>
      <c r="R99" s="444">
        <v>4.0199999999999996</v>
      </c>
      <c r="S99" s="444">
        <v>4.03</v>
      </c>
      <c r="T99" s="444">
        <v>3.6242000000000001</v>
      </c>
      <c r="U99" s="444">
        <v>3.81</v>
      </c>
      <c r="V99" s="310" t="s">
        <v>250</v>
      </c>
    </row>
    <row r="100" spans="1:22" ht="26.4">
      <c r="A100" s="310" t="s">
        <v>179</v>
      </c>
      <c r="B100" s="444">
        <v>3.0056710775047262</v>
      </c>
      <c r="C100" s="444" t="s">
        <v>13</v>
      </c>
      <c r="D100" s="444">
        <v>3.0902199999999995</v>
      </c>
      <c r="E100" s="444">
        <v>3.1670000000000003</v>
      </c>
      <c r="F100" s="444">
        <v>2.9462331818181808</v>
      </c>
      <c r="G100" s="444">
        <v>3.34</v>
      </c>
      <c r="H100" s="444">
        <v>3.3600000000000003</v>
      </c>
      <c r="I100" s="444">
        <v>3.4899999999999998</v>
      </c>
      <c r="J100" s="444">
        <v>3.4899999999999998</v>
      </c>
      <c r="K100" s="444">
        <v>3.6100000000000003</v>
      </c>
      <c r="L100" s="444">
        <v>3.5100000000000002</v>
      </c>
      <c r="M100" s="444">
        <v>3.6700000000000004</v>
      </c>
      <c r="N100" s="444">
        <v>3.66</v>
      </c>
      <c r="O100" s="444">
        <v>3.79</v>
      </c>
      <c r="P100" s="444">
        <v>3.7930999999999999</v>
      </c>
      <c r="Q100" s="444">
        <v>3.7892000000000001</v>
      </c>
      <c r="R100" s="444">
        <v>4.01</v>
      </c>
      <c r="S100" s="444">
        <v>4.03</v>
      </c>
      <c r="T100" s="444">
        <v>3.5186500000000001</v>
      </c>
      <c r="U100" s="444">
        <v>3.71</v>
      </c>
      <c r="V100" s="310" t="s">
        <v>180</v>
      </c>
    </row>
    <row r="101" spans="1:22" ht="26.4">
      <c r="A101" s="310" t="s">
        <v>181</v>
      </c>
      <c r="B101" s="444">
        <v>3.0819746376811592</v>
      </c>
      <c r="C101" s="444">
        <v>2.92706</v>
      </c>
      <c r="D101" s="444">
        <v>3.0681099999999999</v>
      </c>
      <c r="E101" s="444">
        <v>3.2280000000000002</v>
      </c>
      <c r="F101" s="444">
        <v>2.9153411764705877</v>
      </c>
      <c r="G101" s="444">
        <v>3.4</v>
      </c>
      <c r="H101" s="444">
        <v>3.5164</v>
      </c>
      <c r="I101" s="444">
        <v>3.53</v>
      </c>
      <c r="J101" s="444">
        <v>3.5100000000000002</v>
      </c>
      <c r="K101" s="444">
        <v>3.6100000000000003</v>
      </c>
      <c r="L101" s="444">
        <v>3.4799999999999995</v>
      </c>
      <c r="M101" s="444">
        <v>3.4200000000000004</v>
      </c>
      <c r="N101" s="444">
        <v>3.62</v>
      </c>
      <c r="O101" s="444">
        <v>3.75</v>
      </c>
      <c r="P101" s="444">
        <v>3.7471000000000001</v>
      </c>
      <c r="Q101" s="444">
        <v>3.8315999999999999</v>
      </c>
      <c r="R101" s="444">
        <v>4.01</v>
      </c>
      <c r="S101" s="444">
        <v>3.98</v>
      </c>
      <c r="T101" s="444">
        <v>3.449466666666666</v>
      </c>
      <c r="U101" s="444">
        <v>2.57</v>
      </c>
      <c r="V101" s="310" t="s">
        <v>182</v>
      </c>
    </row>
    <row r="102" spans="1:22" ht="26.4">
      <c r="A102" s="310" t="s">
        <v>183</v>
      </c>
      <c r="B102" s="444">
        <v>3.0376344086021505</v>
      </c>
      <c r="C102" s="444">
        <v>2.9014899999999999</v>
      </c>
      <c r="D102" s="444">
        <v>3.1171600000000002</v>
      </c>
      <c r="E102" s="444">
        <v>3.2520000000000002</v>
      </c>
      <c r="F102" s="444">
        <v>2.9342876190476188</v>
      </c>
      <c r="G102" s="444">
        <v>3.4200000000000004</v>
      </c>
      <c r="H102" s="444">
        <v>3.4353400000000001</v>
      </c>
      <c r="I102" s="444">
        <v>3.4799999999999995</v>
      </c>
      <c r="J102" s="444">
        <v>3.45</v>
      </c>
      <c r="K102" s="444">
        <v>3.6100000000000003</v>
      </c>
      <c r="L102" s="444">
        <v>3.45</v>
      </c>
      <c r="M102" s="444">
        <v>3.35</v>
      </c>
      <c r="N102" s="444">
        <v>3.5799999999999996</v>
      </c>
      <c r="O102" s="444">
        <v>3.7299999999999995</v>
      </c>
      <c r="P102" s="444">
        <v>3.7917999999999998</v>
      </c>
      <c r="Q102" s="444">
        <v>3.8479000000000001</v>
      </c>
      <c r="R102" s="444">
        <v>4.04</v>
      </c>
      <c r="S102" s="444">
        <v>0.95</v>
      </c>
      <c r="T102" s="444">
        <v>3.50414761904762</v>
      </c>
      <c r="U102" s="444">
        <v>3.89</v>
      </c>
      <c r="V102" s="310" t="s">
        <v>184</v>
      </c>
    </row>
    <row r="103" spans="1:22" ht="26.4">
      <c r="A103" s="310" t="s">
        <v>185</v>
      </c>
      <c r="B103" s="444">
        <v>3.0714799712161196</v>
      </c>
      <c r="C103" s="444">
        <v>2.91886</v>
      </c>
      <c r="D103" s="444">
        <v>3.1866700000000003</v>
      </c>
      <c r="E103" s="444">
        <v>3.2310000000000003</v>
      </c>
      <c r="F103" s="444">
        <v>3.0713574999999995</v>
      </c>
      <c r="G103" s="444">
        <v>3.38</v>
      </c>
      <c r="H103" s="444">
        <v>3.33846</v>
      </c>
      <c r="I103" s="444">
        <v>3.41</v>
      </c>
      <c r="J103" s="444">
        <v>3.55098</v>
      </c>
      <c r="K103" s="444">
        <v>3.6100000000000003</v>
      </c>
      <c r="L103" s="444">
        <v>3.4799999999999995</v>
      </c>
      <c r="M103" s="444">
        <v>3.3899999999999997</v>
      </c>
      <c r="N103" s="444">
        <v>3.53</v>
      </c>
      <c r="O103" s="444">
        <v>3.7600000000000002</v>
      </c>
      <c r="P103" s="444">
        <v>3.8134999999999999</v>
      </c>
      <c r="Q103" s="444">
        <v>3.8725000000000001</v>
      </c>
      <c r="R103" s="444">
        <v>4.05</v>
      </c>
      <c r="S103" s="444">
        <v>0.92</v>
      </c>
      <c r="T103" s="444">
        <v>3.5497090909090905</v>
      </c>
      <c r="U103" s="444">
        <v>3.94</v>
      </c>
      <c r="V103" s="310" t="s">
        <v>186</v>
      </c>
    </row>
    <row r="104" spans="1:22" ht="26.4">
      <c r="A104" s="310" t="s">
        <v>251</v>
      </c>
      <c r="B104" s="444">
        <v>2.9897535249311193</v>
      </c>
      <c r="C104" s="444">
        <v>2.9867686210827062</v>
      </c>
      <c r="D104" s="444">
        <v>3.0565433333333334</v>
      </c>
      <c r="E104" s="444">
        <v>3.1697983333333331</v>
      </c>
      <c r="F104" s="444">
        <v>3.1253730993500937</v>
      </c>
      <c r="G104" s="444">
        <v>3.2458333333333336</v>
      </c>
      <c r="H104" s="444">
        <v>3.2816833333333322</v>
      </c>
      <c r="I104" s="444">
        <v>3.4858333333333333</v>
      </c>
      <c r="J104" s="444">
        <v>3.4325816666666671</v>
      </c>
      <c r="K104" s="444">
        <v>3.5716666666666668</v>
      </c>
      <c r="L104" s="444">
        <v>3.5941666666666663</v>
      </c>
      <c r="M104" s="444">
        <v>3.3475000000000001</v>
      </c>
      <c r="N104" s="444">
        <v>3.587499999999999</v>
      </c>
      <c r="O104" s="444">
        <v>3.6833333333333331</v>
      </c>
      <c r="P104" s="444">
        <v>3.7945666666666669</v>
      </c>
      <c r="Q104" s="444">
        <v>3.8160909090909096</v>
      </c>
      <c r="R104" s="444">
        <v>3.9272727272727268</v>
      </c>
      <c r="S104" s="444">
        <v>3.5133333333333336</v>
      </c>
      <c r="T104" s="444">
        <v>3.649606114718615</v>
      </c>
      <c r="U104" s="444">
        <v>4.07</v>
      </c>
      <c r="V104" s="310" t="s">
        <v>252</v>
      </c>
    </row>
    <row r="106" spans="1:22">
      <c r="A106" t="s">
        <v>253</v>
      </c>
      <c r="V106" t="s">
        <v>199</v>
      </c>
    </row>
    <row r="110" spans="1:22">
      <c r="V110" t="s">
        <v>1576</v>
      </c>
    </row>
    <row r="111" spans="1:22">
      <c r="A111" t="s">
        <v>1575</v>
      </c>
    </row>
    <row r="112" spans="1:22">
      <c r="A112" t="s">
        <v>260</v>
      </c>
      <c r="V112" t="s">
        <v>261</v>
      </c>
    </row>
    <row r="113" spans="1:22" ht="30">
      <c r="A113" s="446" t="s">
        <v>242</v>
      </c>
      <c r="B113" s="446">
        <v>2004</v>
      </c>
      <c r="C113" s="446">
        <v>2005</v>
      </c>
      <c r="D113" s="446">
        <v>2006</v>
      </c>
      <c r="E113" s="446">
        <v>2007</v>
      </c>
      <c r="F113" s="446">
        <v>2008</v>
      </c>
      <c r="G113" s="446">
        <v>2009</v>
      </c>
      <c r="H113" s="446">
        <v>2010</v>
      </c>
      <c r="I113" s="446">
        <v>2011</v>
      </c>
      <c r="J113" s="446">
        <v>2012</v>
      </c>
      <c r="K113" s="446">
        <v>2013</v>
      </c>
      <c r="L113" s="446">
        <v>2014</v>
      </c>
      <c r="M113" s="446">
        <v>2015</v>
      </c>
      <c r="N113" s="446">
        <v>2016</v>
      </c>
      <c r="O113" s="446">
        <v>2017</v>
      </c>
      <c r="P113" s="446">
        <v>2018</v>
      </c>
      <c r="Q113" s="446">
        <v>2019</v>
      </c>
      <c r="R113" s="446">
        <v>2020</v>
      </c>
      <c r="S113" s="446">
        <v>2021</v>
      </c>
      <c r="T113" s="446">
        <v>2022</v>
      </c>
      <c r="U113" s="446">
        <v>2023</v>
      </c>
      <c r="V113" s="446" t="s">
        <v>243</v>
      </c>
    </row>
    <row r="114" spans="1:22" ht="26.4">
      <c r="A114" s="310" t="s">
        <v>163</v>
      </c>
      <c r="B114" s="444">
        <v>21.726559273027675</v>
      </c>
      <c r="C114" s="444">
        <v>21.055999163150723</v>
      </c>
      <c r="D114" s="444">
        <v>20.012999999999998</v>
      </c>
      <c r="E114" s="444">
        <v>20.509999999999998</v>
      </c>
      <c r="F114" s="444">
        <v>20.515555555555554</v>
      </c>
      <c r="G114" s="444">
        <v>18.82</v>
      </c>
      <c r="H114" s="444">
        <v>19.86</v>
      </c>
      <c r="I114" s="444">
        <v>19.64</v>
      </c>
      <c r="J114" s="444">
        <v>19.32</v>
      </c>
      <c r="K114" s="444">
        <v>19.27</v>
      </c>
      <c r="L114" s="444">
        <v>18.309999999999999</v>
      </c>
      <c r="M114" s="444">
        <v>16.45</v>
      </c>
      <c r="N114" s="444">
        <v>16.740000000000002</v>
      </c>
      <c r="O114" s="444">
        <v>15.61</v>
      </c>
      <c r="P114" s="444">
        <v>14.61</v>
      </c>
      <c r="Q114" s="444">
        <v>12.04</v>
      </c>
      <c r="R114" s="444">
        <v>13.23</v>
      </c>
      <c r="S114" s="444">
        <v>13.4</v>
      </c>
      <c r="T114" s="444">
        <v>12.629999999999999</v>
      </c>
      <c r="U114" s="444">
        <v>11.84</v>
      </c>
      <c r="V114" s="310" t="s">
        <v>244</v>
      </c>
    </row>
    <row r="115" spans="1:22" ht="26.4">
      <c r="A115" s="310" t="s">
        <v>165</v>
      </c>
      <c r="B115" s="444">
        <v>21.674633261908689</v>
      </c>
      <c r="C115" s="444">
        <v>21.059013742926432</v>
      </c>
      <c r="D115" s="444">
        <v>19.788999999999998</v>
      </c>
      <c r="E115" s="444">
        <v>20.52</v>
      </c>
      <c r="F115" s="444">
        <v>20.602647058823528</v>
      </c>
      <c r="G115" s="444">
        <v>18.02</v>
      </c>
      <c r="H115" s="444">
        <v>19.059999999999999</v>
      </c>
      <c r="I115" s="444">
        <v>20.149999999999999</v>
      </c>
      <c r="J115" s="444">
        <v>19.619999999999997</v>
      </c>
      <c r="K115" s="444">
        <v>19.240000000000002</v>
      </c>
      <c r="L115" s="444">
        <v>18.86</v>
      </c>
      <c r="M115" s="444">
        <v>16.18</v>
      </c>
      <c r="N115" s="444">
        <v>16.25</v>
      </c>
      <c r="O115" s="444">
        <v>15.709999999999999</v>
      </c>
      <c r="P115" s="444">
        <v>14.86</v>
      </c>
      <c r="Q115" s="444">
        <v>11.97</v>
      </c>
      <c r="R115" s="444">
        <v>13.04</v>
      </c>
      <c r="S115" s="444">
        <v>13.3</v>
      </c>
      <c r="T115" s="444">
        <v>12.59</v>
      </c>
      <c r="U115" s="444">
        <v>11.43</v>
      </c>
      <c r="V115" s="310" t="s">
        <v>245</v>
      </c>
    </row>
    <row r="116" spans="1:22" ht="26.4">
      <c r="A116" s="310" t="s">
        <v>167</v>
      </c>
      <c r="B116" s="444">
        <v>21.035728623042953</v>
      </c>
      <c r="C116" s="444">
        <v>21.238651102464331</v>
      </c>
      <c r="D116" s="444">
        <v>19.841999999999999</v>
      </c>
      <c r="E116" s="444">
        <v>20.68</v>
      </c>
      <c r="F116" s="444">
        <v>20.284882352941175</v>
      </c>
      <c r="G116" s="444">
        <v>18.350000000000001</v>
      </c>
      <c r="H116" s="444">
        <v>19.02</v>
      </c>
      <c r="I116" s="444">
        <v>20.29</v>
      </c>
      <c r="J116" s="444">
        <v>19.559999999999999</v>
      </c>
      <c r="K116" s="444">
        <v>18.89</v>
      </c>
      <c r="L116" s="444">
        <v>18.98</v>
      </c>
      <c r="M116" s="444">
        <v>16.149999999999999</v>
      </c>
      <c r="N116" s="444">
        <v>17.22</v>
      </c>
      <c r="O116" s="444">
        <v>15.780000000000001</v>
      </c>
      <c r="P116" s="444">
        <v>14.81</v>
      </c>
      <c r="Q116" s="444">
        <v>12.12</v>
      </c>
      <c r="R116" s="444">
        <v>12.99</v>
      </c>
      <c r="S116" s="444">
        <v>13.1</v>
      </c>
      <c r="T116" s="444">
        <v>12.34</v>
      </c>
      <c r="U116" s="444">
        <v>11.19</v>
      </c>
      <c r="V116" s="310" t="s">
        <v>246</v>
      </c>
    </row>
    <row r="117" spans="1:22" ht="26.4">
      <c r="A117" s="310" t="s">
        <v>169</v>
      </c>
      <c r="B117" s="444">
        <v>21.000710283324132</v>
      </c>
      <c r="C117" s="444">
        <v>21.128323884053341</v>
      </c>
      <c r="D117" s="444">
        <v>20.087</v>
      </c>
      <c r="E117" s="444">
        <v>20.759999999999998</v>
      </c>
      <c r="F117" s="444">
        <v>20.764666666666663</v>
      </c>
      <c r="G117" s="444">
        <v>18.830000000000002</v>
      </c>
      <c r="H117" s="444">
        <v>19.02</v>
      </c>
      <c r="I117" s="444">
        <v>20.130000000000003</v>
      </c>
      <c r="J117" s="444">
        <v>19.009999999999998</v>
      </c>
      <c r="K117" s="444">
        <v>18.77</v>
      </c>
      <c r="L117" s="444">
        <v>18.86</v>
      </c>
      <c r="M117" s="444">
        <v>16.32</v>
      </c>
      <c r="N117" s="444">
        <v>17.61</v>
      </c>
      <c r="O117" s="444">
        <v>15.55</v>
      </c>
      <c r="P117" s="444">
        <v>14.65</v>
      </c>
      <c r="Q117" s="444">
        <v>12.17</v>
      </c>
      <c r="R117" s="444">
        <v>12.86</v>
      </c>
      <c r="S117" s="444">
        <v>13</v>
      </c>
      <c r="T117" s="444">
        <v>12.17</v>
      </c>
      <c r="U117" s="444">
        <v>11.25</v>
      </c>
      <c r="V117" s="310" t="s">
        <v>247</v>
      </c>
    </row>
    <row r="118" spans="1:22" ht="26.4">
      <c r="A118" s="310" t="s">
        <v>171</v>
      </c>
      <c r="B118" s="444">
        <v>21.024773889107351</v>
      </c>
      <c r="C118" s="444">
        <v>20.882167611846249</v>
      </c>
      <c r="D118" s="444">
        <v>20.524000000000001</v>
      </c>
      <c r="E118" s="444">
        <v>20.2</v>
      </c>
      <c r="F118" s="444">
        <v>20.771434782608697</v>
      </c>
      <c r="G118" s="444">
        <v>19.28</v>
      </c>
      <c r="H118" s="444">
        <v>18.559999999999999</v>
      </c>
      <c r="I118" s="444">
        <v>19.98</v>
      </c>
      <c r="J118" s="444">
        <v>18.7</v>
      </c>
      <c r="K118" s="444">
        <v>18.54</v>
      </c>
      <c r="L118" s="444">
        <v>18.559999999999999</v>
      </c>
      <c r="M118" s="444">
        <v>16.7</v>
      </c>
      <c r="N118" s="444">
        <v>17.52</v>
      </c>
      <c r="O118" s="444">
        <v>14.87</v>
      </c>
      <c r="P118" s="444">
        <v>14.2</v>
      </c>
      <c r="Q118" s="444">
        <v>12.24</v>
      </c>
      <c r="R118" s="444">
        <v>13.23</v>
      </c>
      <c r="S118" s="444">
        <v>13.2</v>
      </c>
      <c r="T118" s="444">
        <v>11.940000000000001</v>
      </c>
      <c r="U118" s="444">
        <v>11.17</v>
      </c>
      <c r="V118" s="310" t="s">
        <v>172</v>
      </c>
    </row>
    <row r="119" spans="1:22" ht="26.4">
      <c r="A119" s="310" t="s">
        <v>173</v>
      </c>
      <c r="B119" s="444">
        <v>21.063257065948857</v>
      </c>
      <c r="C119" s="444">
        <v>20.243995425085778</v>
      </c>
      <c r="D119" s="444">
        <v>20.356000000000002</v>
      </c>
      <c r="E119" s="444">
        <v>19.86</v>
      </c>
      <c r="F119" s="444">
        <v>19.044631578947374</v>
      </c>
      <c r="G119" s="444">
        <v>19.66</v>
      </c>
      <c r="H119" s="444">
        <v>18.46</v>
      </c>
      <c r="I119" s="444">
        <v>20.11</v>
      </c>
      <c r="J119" s="444">
        <v>18.47</v>
      </c>
      <c r="K119" s="444">
        <v>18.73</v>
      </c>
      <c r="L119" s="444">
        <v>18.21</v>
      </c>
      <c r="M119" s="444">
        <v>16.8</v>
      </c>
      <c r="N119" s="444">
        <v>16.619999999999997</v>
      </c>
      <c r="O119" s="444">
        <v>14.74</v>
      </c>
      <c r="P119" s="444">
        <v>13.8</v>
      </c>
      <c r="Q119" s="444">
        <v>12.47</v>
      </c>
      <c r="R119" s="444">
        <v>13.19</v>
      </c>
      <c r="S119" s="444">
        <v>13.2</v>
      </c>
      <c r="T119" s="444">
        <v>11.9</v>
      </c>
      <c r="U119" s="444">
        <v>11.1</v>
      </c>
      <c r="V119" s="310" t="s">
        <v>248</v>
      </c>
    </row>
    <row r="120" spans="1:22" ht="26.4">
      <c r="A120" s="310" t="s">
        <v>175</v>
      </c>
      <c r="B120" s="444">
        <v>21.298597833014657</v>
      </c>
      <c r="C120" s="444">
        <v>19.928999999999998</v>
      </c>
      <c r="D120" s="444">
        <v>20.303999999999998</v>
      </c>
      <c r="E120" s="444">
        <v>20.086000000000002</v>
      </c>
      <c r="F120" s="444">
        <v>19.729608695652171</v>
      </c>
      <c r="G120" s="444">
        <v>19.7</v>
      </c>
      <c r="H120" s="444">
        <v>19.25</v>
      </c>
      <c r="I120" s="444">
        <v>20.16</v>
      </c>
      <c r="J120" s="444">
        <v>18.419999999999998</v>
      </c>
      <c r="K120" s="444">
        <v>18.41</v>
      </c>
      <c r="L120" s="444">
        <v>17.649999999999999</v>
      </c>
      <c r="M120" s="444">
        <v>16.669999999999998</v>
      </c>
      <c r="N120" s="444">
        <v>16.05</v>
      </c>
      <c r="O120" s="444">
        <v>14.819999999999999</v>
      </c>
      <c r="P120" s="444">
        <v>13.56</v>
      </c>
      <c r="Q120" s="444">
        <v>12.73</v>
      </c>
      <c r="R120" s="444">
        <v>13.33</v>
      </c>
      <c r="S120" s="444">
        <v>13</v>
      </c>
      <c r="T120" s="444">
        <v>11.809999999999999</v>
      </c>
      <c r="U120" s="444">
        <v>11.85</v>
      </c>
      <c r="V120" s="310" t="s">
        <v>249</v>
      </c>
    </row>
    <row r="121" spans="1:22" ht="26.4">
      <c r="A121" s="310" t="s">
        <v>177</v>
      </c>
      <c r="B121" s="444">
        <v>21.164817749603806</v>
      </c>
      <c r="C121" s="444">
        <v>20.166999999999998</v>
      </c>
      <c r="D121" s="444">
        <v>20.396999999999998</v>
      </c>
      <c r="E121" s="444">
        <v>20.035</v>
      </c>
      <c r="F121" s="444">
        <v>18.964095238095236</v>
      </c>
      <c r="G121" s="444">
        <v>19.61</v>
      </c>
      <c r="H121" s="444">
        <v>19.61</v>
      </c>
      <c r="I121" s="444">
        <v>20.54</v>
      </c>
      <c r="J121" s="444">
        <v>18.72</v>
      </c>
      <c r="K121" s="444">
        <v>18.54</v>
      </c>
      <c r="L121" s="444">
        <v>17.48</v>
      </c>
      <c r="M121" s="444">
        <v>16.8</v>
      </c>
      <c r="N121" s="444">
        <v>16.16</v>
      </c>
      <c r="O121" s="444">
        <v>14.89</v>
      </c>
      <c r="P121" s="444">
        <v>13.06</v>
      </c>
      <c r="Q121" s="444">
        <v>12.77</v>
      </c>
      <c r="R121" s="444">
        <v>13.58</v>
      </c>
      <c r="S121" s="444">
        <v>12.9</v>
      </c>
      <c r="T121" s="444">
        <v>11.940000000000001</v>
      </c>
      <c r="U121" s="444">
        <v>12.2</v>
      </c>
      <c r="V121" s="310" t="s">
        <v>250</v>
      </c>
    </row>
    <row r="122" spans="1:22" ht="26.4">
      <c r="A122" s="310" t="s">
        <v>179</v>
      </c>
      <c r="B122" s="444">
        <v>21.367588932806328</v>
      </c>
      <c r="C122" s="444">
        <v>0</v>
      </c>
      <c r="D122" s="444">
        <v>20.303000000000001</v>
      </c>
      <c r="E122" s="444">
        <v>20.350000000000001</v>
      </c>
      <c r="F122" s="444">
        <v>19.608000000000004</v>
      </c>
      <c r="G122" s="444">
        <v>19.880000000000003</v>
      </c>
      <c r="H122" s="444">
        <v>19.59</v>
      </c>
      <c r="I122" s="444">
        <v>20.34</v>
      </c>
      <c r="J122" s="444">
        <v>19.18</v>
      </c>
      <c r="K122" s="444">
        <v>18.54</v>
      </c>
      <c r="L122" s="444">
        <v>17.130000000000003</v>
      </c>
      <c r="M122" s="444">
        <v>16.880000000000003</v>
      </c>
      <c r="N122" s="444">
        <v>16.2</v>
      </c>
      <c r="O122" s="444">
        <v>14.6</v>
      </c>
      <c r="P122" s="444">
        <v>12.87</v>
      </c>
      <c r="Q122" s="444">
        <v>12.82</v>
      </c>
      <c r="R122" s="444">
        <v>13.43</v>
      </c>
      <c r="S122" s="444">
        <v>12.9</v>
      </c>
      <c r="T122" s="444">
        <v>11.74</v>
      </c>
      <c r="U122" s="444">
        <v>12.06</v>
      </c>
      <c r="V122" s="310" t="s">
        <v>180</v>
      </c>
    </row>
    <row r="123" spans="1:22" ht="26.4">
      <c r="A123" s="310" t="s">
        <v>181</v>
      </c>
      <c r="B123" s="444">
        <v>21.710001595150739</v>
      </c>
      <c r="C123" s="444">
        <v>19.830000000000002</v>
      </c>
      <c r="D123" s="444">
        <v>20.125</v>
      </c>
      <c r="E123" s="444">
        <v>20.64</v>
      </c>
      <c r="F123" s="444">
        <v>18.74323529411765</v>
      </c>
      <c r="G123" s="444">
        <v>20.23</v>
      </c>
      <c r="H123" s="444">
        <v>20.380000000000003</v>
      </c>
      <c r="I123" s="444">
        <v>20.5</v>
      </c>
      <c r="J123" s="444">
        <v>19.240000000000002</v>
      </c>
      <c r="K123" s="444">
        <v>18.54</v>
      </c>
      <c r="L123" s="444">
        <v>16.919999999999998</v>
      </c>
      <c r="M123" s="444">
        <v>17</v>
      </c>
      <c r="N123" s="444">
        <v>16</v>
      </c>
      <c r="O123" s="444">
        <v>14.36</v>
      </c>
      <c r="P123" s="444">
        <v>12.64</v>
      </c>
      <c r="Q123" s="444">
        <v>13.02</v>
      </c>
      <c r="R123" s="444">
        <v>13.39</v>
      </c>
      <c r="S123" s="444">
        <v>12.8</v>
      </c>
      <c r="T123" s="444">
        <v>11.686666666666664</v>
      </c>
      <c r="U123" s="444">
        <v>12.11</v>
      </c>
      <c r="V123" s="310" t="s">
        <v>182</v>
      </c>
    </row>
    <row r="124" spans="1:22" ht="26.4">
      <c r="A124" s="310" t="s">
        <v>183</v>
      </c>
      <c r="B124" s="444">
        <v>21.171391332681655</v>
      </c>
      <c r="C124" s="444">
        <v>19.684999999999999</v>
      </c>
      <c r="D124" s="444">
        <v>20.358000000000001</v>
      </c>
      <c r="E124" s="444">
        <v>20.14</v>
      </c>
      <c r="F124" s="444">
        <v>18.106619047619049</v>
      </c>
      <c r="G124" s="444">
        <v>20.399999999999999</v>
      </c>
      <c r="H124" s="444">
        <v>19.948</v>
      </c>
      <c r="I124" s="444">
        <v>20.169999999999998</v>
      </c>
      <c r="J124" s="444">
        <v>18.8</v>
      </c>
      <c r="K124" s="444">
        <v>18.54</v>
      </c>
      <c r="L124" s="444">
        <v>16.72</v>
      </c>
      <c r="M124" s="444">
        <v>16.57</v>
      </c>
      <c r="N124" s="444">
        <v>15.809999999999999</v>
      </c>
      <c r="O124" s="444">
        <v>14.16</v>
      </c>
      <c r="P124" s="444">
        <v>12.5</v>
      </c>
      <c r="Q124" s="444">
        <v>13.03</v>
      </c>
      <c r="R124" s="444">
        <v>13.43</v>
      </c>
      <c r="S124" s="444">
        <v>12.6</v>
      </c>
      <c r="T124" s="444">
        <v>11.956190476190475</v>
      </c>
      <c r="U124" s="444">
        <v>12.61</v>
      </c>
      <c r="V124" s="310" t="s">
        <v>184</v>
      </c>
    </row>
    <row r="125" spans="1:22" ht="26.4">
      <c r="A125" s="310" t="s">
        <v>185</v>
      </c>
      <c r="B125" s="444">
        <v>21.149558179866215</v>
      </c>
      <c r="C125" s="444">
        <v>19.72</v>
      </c>
      <c r="D125" s="444">
        <v>20.734000000000002</v>
      </c>
      <c r="E125" s="444">
        <v>20.509999999999998</v>
      </c>
      <c r="F125" s="444">
        <v>18.840500000000002</v>
      </c>
      <c r="G125" s="444">
        <v>20.240000000000002</v>
      </c>
      <c r="H125" s="444">
        <v>19.558</v>
      </c>
      <c r="I125" s="444">
        <v>19.72</v>
      </c>
      <c r="J125" s="444">
        <v>19.303999999999998</v>
      </c>
      <c r="K125" s="444">
        <v>18.54</v>
      </c>
      <c r="L125" s="444">
        <v>16.809999999999999</v>
      </c>
      <c r="M125" s="444">
        <v>16.66</v>
      </c>
      <c r="N125" s="444">
        <v>15.530000000000001</v>
      </c>
      <c r="O125" s="444">
        <v>14.319999999999999</v>
      </c>
      <c r="P125" s="444">
        <v>12.24</v>
      </c>
      <c r="Q125" s="444">
        <v>13.09</v>
      </c>
      <c r="R125" s="444">
        <v>13.44</v>
      </c>
      <c r="S125" s="444">
        <v>12.6</v>
      </c>
      <c r="T125" s="444">
        <v>12.094545454545454</v>
      </c>
      <c r="U125" s="444">
        <v>12.77</v>
      </c>
      <c r="V125" s="310" t="s">
        <v>186</v>
      </c>
    </row>
    <row r="126" spans="1:22" ht="26.4">
      <c r="A126" s="310" t="s">
        <v>251</v>
      </c>
      <c r="B126" s="444">
        <v>21.282301501623586</v>
      </c>
      <c r="C126" s="444">
        <v>20.449013720866077</v>
      </c>
      <c r="D126" s="444">
        <v>20.236000000000001</v>
      </c>
      <c r="E126" s="444">
        <v>20.357583333333331</v>
      </c>
      <c r="F126" s="444">
        <v>19.664656355918929</v>
      </c>
      <c r="G126" s="444">
        <v>19.418333333333329</v>
      </c>
      <c r="H126" s="444">
        <v>19.359666666666666</v>
      </c>
      <c r="I126" s="444">
        <v>20.144166666666667</v>
      </c>
      <c r="J126" s="444">
        <v>19.02866666666667</v>
      </c>
      <c r="K126" s="444">
        <v>18.712499999999999</v>
      </c>
      <c r="L126" s="444">
        <v>17.874166666666664</v>
      </c>
      <c r="M126" s="444">
        <v>16.598333333333333</v>
      </c>
      <c r="N126" s="444">
        <v>16.47583333333333</v>
      </c>
      <c r="O126" s="444">
        <v>14.950833333333334</v>
      </c>
      <c r="P126" s="444">
        <v>13.65</v>
      </c>
      <c r="Q126" s="444">
        <v>12.584545454545452</v>
      </c>
      <c r="R126" s="444">
        <v>13.264545454545454</v>
      </c>
      <c r="S126" s="444">
        <v>13</v>
      </c>
      <c r="T126" s="444">
        <v>12.066450216450216</v>
      </c>
      <c r="U126" s="444">
        <v>11.8</v>
      </c>
      <c r="V126" s="310" t="s">
        <v>252</v>
      </c>
    </row>
    <row r="128" spans="1:22">
      <c r="A128" t="s">
        <v>253</v>
      </c>
      <c r="V128" t="s">
        <v>199</v>
      </c>
    </row>
    <row r="132" spans="1:22">
      <c r="V132" t="s">
        <v>1576</v>
      </c>
    </row>
    <row r="133" spans="1:22">
      <c r="A133" t="s">
        <v>1575</v>
      </c>
    </row>
    <row r="134" spans="1:22">
      <c r="A134" t="s">
        <v>262</v>
      </c>
      <c r="V134" t="s">
        <v>263</v>
      </c>
    </row>
    <row r="135" spans="1:22" ht="30">
      <c r="A135" s="446" t="s">
        <v>242</v>
      </c>
      <c r="B135" s="446">
        <v>2004</v>
      </c>
      <c r="C135" s="446">
        <v>2005</v>
      </c>
      <c r="D135" s="446">
        <v>2006</v>
      </c>
      <c r="E135" s="446">
        <v>2007</v>
      </c>
      <c r="F135" s="446">
        <v>2008</v>
      </c>
      <c r="G135" s="446">
        <v>2009</v>
      </c>
      <c r="H135" s="446">
        <v>2010</v>
      </c>
      <c r="I135" s="446">
        <v>2011</v>
      </c>
      <c r="J135" s="446">
        <v>2012</v>
      </c>
      <c r="K135" s="446">
        <v>2013</v>
      </c>
      <c r="L135" s="446">
        <v>2014</v>
      </c>
      <c r="M135" s="446">
        <v>2015</v>
      </c>
      <c r="N135" s="446">
        <v>2016</v>
      </c>
      <c r="O135" s="446">
        <v>2017</v>
      </c>
      <c r="P135" s="446">
        <v>2018</v>
      </c>
      <c r="Q135" s="446">
        <v>2019</v>
      </c>
      <c r="R135" s="446">
        <v>2020</v>
      </c>
      <c r="S135" s="446">
        <v>2021</v>
      </c>
      <c r="T135" s="446">
        <v>2022</v>
      </c>
      <c r="U135" s="446">
        <v>2023</v>
      </c>
      <c r="V135" s="446" t="s">
        <v>243</v>
      </c>
    </row>
    <row r="136" spans="1:22" ht="26.4">
      <c r="A136" s="310" t="s">
        <v>163</v>
      </c>
      <c r="B136" s="444">
        <v>0.36704673914560448</v>
      </c>
      <c r="C136" s="444">
        <v>0.35613927136330376</v>
      </c>
      <c r="D136" s="444">
        <v>0.36699999999999999</v>
      </c>
      <c r="E136" s="444">
        <v>0.375</v>
      </c>
      <c r="F136" s="444">
        <v>0.374</v>
      </c>
      <c r="G136" s="444">
        <v>0.36299999999999999</v>
      </c>
      <c r="H136" s="444">
        <v>0.35899999999999999</v>
      </c>
      <c r="I136" s="444">
        <v>0.38</v>
      </c>
      <c r="J136" s="444">
        <v>0.38</v>
      </c>
      <c r="K136" s="444">
        <v>0.38</v>
      </c>
      <c r="L136" s="444">
        <v>0.39</v>
      </c>
      <c r="M136" s="444">
        <v>0.35</v>
      </c>
      <c r="N136" s="444">
        <v>0.31</v>
      </c>
      <c r="O136" s="444">
        <v>0.32</v>
      </c>
      <c r="P136" s="444">
        <v>0.31</v>
      </c>
      <c r="Q136" s="444">
        <v>0.31</v>
      </c>
      <c r="R136" s="444">
        <v>0.31</v>
      </c>
      <c r="S136" s="444">
        <v>0.3</v>
      </c>
      <c r="T136" s="444">
        <v>0.26</v>
      </c>
      <c r="U136" s="444">
        <v>0.27</v>
      </c>
      <c r="V136" s="444" t="s">
        <v>244</v>
      </c>
    </row>
    <row r="137" spans="1:22" ht="26.4">
      <c r="A137" s="310" t="s">
        <v>165</v>
      </c>
      <c r="B137" s="444">
        <v>0.36663228036914158</v>
      </c>
      <c r="C137" s="444">
        <v>0.35792800219840615</v>
      </c>
      <c r="D137" s="444">
        <v>0.36699999999999999</v>
      </c>
      <c r="E137" s="444">
        <v>0.36699999999999999</v>
      </c>
      <c r="F137" s="444">
        <v>0.37552941176470594</v>
      </c>
      <c r="G137" s="444">
        <v>0.35899999999999999</v>
      </c>
      <c r="H137" s="444">
        <v>0.35599999999999998</v>
      </c>
      <c r="I137" s="444">
        <v>0.39</v>
      </c>
      <c r="J137" s="444">
        <v>0.39</v>
      </c>
      <c r="K137" s="444">
        <v>0.38</v>
      </c>
      <c r="L137" s="444">
        <v>0.39</v>
      </c>
      <c r="M137" s="444">
        <v>0.32999999999999996</v>
      </c>
      <c r="N137" s="444">
        <v>1.1199999999999999</v>
      </c>
      <c r="O137" s="444">
        <v>0.32999999999999996</v>
      </c>
      <c r="P137" s="444">
        <v>0.31</v>
      </c>
      <c r="Q137" s="444">
        <v>0.31</v>
      </c>
      <c r="R137" s="444">
        <v>0.31</v>
      </c>
      <c r="S137" s="444">
        <v>0.3</v>
      </c>
      <c r="T137" s="444">
        <v>0.26</v>
      </c>
      <c r="U137" s="444">
        <v>0.26</v>
      </c>
      <c r="V137" s="444" t="s">
        <v>245</v>
      </c>
    </row>
    <row r="138" spans="1:22" ht="26.4">
      <c r="A138" s="310" t="s">
        <v>167</v>
      </c>
      <c r="B138" s="444">
        <v>0.36665920286609943</v>
      </c>
      <c r="C138" s="444">
        <v>0.36171857742434282</v>
      </c>
      <c r="D138" s="444">
        <v>0.36199999999999999</v>
      </c>
      <c r="E138" s="444">
        <v>0.377</v>
      </c>
      <c r="F138" s="444">
        <v>0.372</v>
      </c>
      <c r="G138" s="444">
        <v>0.36199999999999999</v>
      </c>
      <c r="H138" s="444">
        <v>0.36</v>
      </c>
      <c r="I138" s="444">
        <v>0.39</v>
      </c>
      <c r="J138" s="444">
        <v>0.39</v>
      </c>
      <c r="K138" s="444">
        <v>0.38</v>
      </c>
      <c r="L138" s="444">
        <v>0.39</v>
      </c>
      <c r="M138" s="444">
        <v>0.32999999999999996</v>
      </c>
      <c r="N138" s="444">
        <v>0.32</v>
      </c>
      <c r="O138" s="444">
        <v>0.32999999999999996</v>
      </c>
      <c r="P138" s="444">
        <v>0.31</v>
      </c>
      <c r="Q138" s="444">
        <v>0.31</v>
      </c>
      <c r="R138" s="444">
        <v>0.3</v>
      </c>
      <c r="S138" s="444">
        <v>0.3</v>
      </c>
      <c r="T138" s="444">
        <v>0.25</v>
      </c>
      <c r="U138" s="444">
        <v>0.25</v>
      </c>
      <c r="V138" s="444" t="s">
        <v>246</v>
      </c>
    </row>
    <row r="139" spans="1:22" ht="26.4">
      <c r="A139" s="310" t="s">
        <v>169</v>
      </c>
      <c r="B139" s="444">
        <v>0.37213139972310405</v>
      </c>
      <c r="C139" s="444">
        <v>0.36281486966418469</v>
      </c>
      <c r="D139" s="444">
        <v>0.36599999999999999</v>
      </c>
      <c r="E139" s="444">
        <v>0.379</v>
      </c>
      <c r="F139" s="444">
        <v>0.37047058823529416</v>
      </c>
      <c r="G139" s="444">
        <v>0.36299999999999999</v>
      </c>
      <c r="H139" s="444">
        <v>0.36299999999999999</v>
      </c>
      <c r="I139" s="444">
        <v>0.38</v>
      </c>
      <c r="J139" s="444">
        <v>0.39</v>
      </c>
      <c r="K139" s="444">
        <v>0.38</v>
      </c>
      <c r="L139" s="444">
        <v>0.38</v>
      </c>
      <c r="M139" s="444">
        <v>0.32999999999999996</v>
      </c>
      <c r="N139" s="444">
        <v>0.32</v>
      </c>
      <c r="O139" s="444">
        <v>0.32999999999999996</v>
      </c>
      <c r="P139" s="444">
        <v>0.31</v>
      </c>
      <c r="Q139" s="444">
        <v>0.31</v>
      </c>
      <c r="R139" s="444">
        <v>0.28999999999999998</v>
      </c>
      <c r="S139" s="444">
        <v>0.3</v>
      </c>
      <c r="T139" s="444">
        <v>0.25</v>
      </c>
      <c r="U139" s="444">
        <v>0.25</v>
      </c>
      <c r="V139" s="444" t="s">
        <v>247</v>
      </c>
    </row>
    <row r="140" spans="1:22" ht="26.4">
      <c r="A140" s="310" t="s">
        <v>171</v>
      </c>
      <c r="B140" s="444">
        <v>0.37380969027476751</v>
      </c>
      <c r="C140" s="444">
        <v>0.36097268741660538</v>
      </c>
      <c r="D140" s="444">
        <v>0.372</v>
      </c>
      <c r="E140" s="444">
        <v>0.37</v>
      </c>
      <c r="F140" s="444">
        <v>0.37034782608695643</v>
      </c>
      <c r="G140" s="444">
        <v>0.36899999999999999</v>
      </c>
      <c r="H140" s="444">
        <v>0.36499999999999999</v>
      </c>
      <c r="I140" s="444">
        <v>0.38</v>
      </c>
      <c r="J140" s="444">
        <v>0.28999999999999998</v>
      </c>
      <c r="K140" s="444">
        <v>0.38</v>
      </c>
      <c r="L140" s="444">
        <v>0.38</v>
      </c>
      <c r="M140" s="444">
        <v>0.32999999999999996</v>
      </c>
      <c r="N140" s="444">
        <v>0.32</v>
      </c>
      <c r="O140" s="444">
        <v>0.32999999999999996</v>
      </c>
      <c r="P140" s="444">
        <v>0.31</v>
      </c>
      <c r="Q140" s="444">
        <v>0.31</v>
      </c>
      <c r="R140" s="444">
        <v>0.31</v>
      </c>
      <c r="S140" s="444">
        <v>0.3</v>
      </c>
      <c r="T140" s="444">
        <v>0.25</v>
      </c>
      <c r="U140" s="444">
        <v>0.25</v>
      </c>
      <c r="V140" s="444" t="s">
        <v>172</v>
      </c>
    </row>
    <row r="141" spans="1:22" ht="26.4">
      <c r="A141" s="310" t="s">
        <v>173</v>
      </c>
      <c r="B141" s="444">
        <v>0.37231139534558277</v>
      </c>
      <c r="C141" s="444">
        <v>0.3591429267104943</v>
      </c>
      <c r="D141" s="444">
        <v>0.36599999999999999</v>
      </c>
      <c r="E141" s="444">
        <v>0.36699999999999999</v>
      </c>
      <c r="F141" s="444">
        <v>1.4027368421052633</v>
      </c>
      <c r="G141" s="444">
        <v>0.36199999999999999</v>
      </c>
      <c r="H141" s="444">
        <v>0.36799999999999999</v>
      </c>
      <c r="I141" s="444">
        <v>0.38</v>
      </c>
      <c r="J141" s="444">
        <v>0.38</v>
      </c>
      <c r="K141" s="444">
        <v>0.39</v>
      </c>
      <c r="L141" s="444">
        <v>0.38</v>
      </c>
      <c r="M141" s="444">
        <v>0.32999999999999996</v>
      </c>
      <c r="N141" s="444">
        <v>0.32</v>
      </c>
      <c r="O141" s="444">
        <v>0.32999999999999996</v>
      </c>
      <c r="P141" s="444">
        <v>0.31</v>
      </c>
      <c r="Q141" s="444">
        <v>0.31</v>
      </c>
      <c r="R141" s="444">
        <v>0.28999999999999998</v>
      </c>
      <c r="S141" s="444">
        <v>0.3</v>
      </c>
      <c r="T141" s="444">
        <v>0.25</v>
      </c>
      <c r="U141" s="444">
        <v>0.25</v>
      </c>
      <c r="V141" s="444" t="s">
        <v>248</v>
      </c>
    </row>
    <row r="142" spans="1:22" ht="26.4">
      <c r="A142" s="310" t="s">
        <v>175</v>
      </c>
      <c r="B142" s="444">
        <v>0.37241244810965923</v>
      </c>
      <c r="C142" s="444">
        <v>0.35699999999999998</v>
      </c>
      <c r="D142" s="444">
        <v>0.36599999999999999</v>
      </c>
      <c r="E142" s="444">
        <v>0.371</v>
      </c>
      <c r="F142" s="444">
        <v>0.3732608695652172</v>
      </c>
      <c r="G142" s="444">
        <v>0.36099999999999999</v>
      </c>
      <c r="H142" s="444">
        <v>0.379</v>
      </c>
      <c r="I142" s="444">
        <v>0.38</v>
      </c>
      <c r="J142" s="444">
        <v>0.37</v>
      </c>
      <c r="K142" s="444">
        <v>0.38</v>
      </c>
      <c r="L142" s="444">
        <v>0.38</v>
      </c>
      <c r="M142" s="444">
        <v>0.32999999999999996</v>
      </c>
      <c r="N142" s="444">
        <v>0.32</v>
      </c>
      <c r="O142" s="444">
        <v>0.32999999999999996</v>
      </c>
      <c r="P142" s="444">
        <v>0.3</v>
      </c>
      <c r="Q142" s="444">
        <v>0.31</v>
      </c>
      <c r="R142" s="444">
        <v>0.28999999999999998</v>
      </c>
      <c r="S142" s="444">
        <v>0.3</v>
      </c>
      <c r="T142" s="444">
        <v>0.25</v>
      </c>
      <c r="U142" s="444">
        <v>0.27</v>
      </c>
      <c r="V142" s="444" t="s">
        <v>249</v>
      </c>
    </row>
    <row r="143" spans="1:22" ht="26.4">
      <c r="A143" s="310" t="s">
        <v>177</v>
      </c>
      <c r="B143" s="444">
        <v>0.36782527266718079</v>
      </c>
      <c r="C143" s="444">
        <v>0.36</v>
      </c>
      <c r="D143" s="444">
        <v>0.371</v>
      </c>
      <c r="E143" s="444">
        <v>0.371</v>
      </c>
      <c r="F143" s="444">
        <v>0.3738095238095237</v>
      </c>
      <c r="G143" s="444">
        <v>0.35699999999999998</v>
      </c>
      <c r="H143" s="444">
        <v>0.38100000000000001</v>
      </c>
      <c r="I143" s="444">
        <v>0.39</v>
      </c>
      <c r="J143" s="444">
        <v>0.37</v>
      </c>
      <c r="K143" s="444">
        <v>0.38</v>
      </c>
      <c r="L143" s="444">
        <v>0.38</v>
      </c>
      <c r="M143" s="444">
        <v>0.32</v>
      </c>
      <c r="N143" s="444">
        <v>0.32</v>
      </c>
      <c r="O143" s="444">
        <v>0.32999999999999996</v>
      </c>
      <c r="P143" s="444">
        <v>0.3</v>
      </c>
      <c r="Q143" s="444">
        <v>0.31</v>
      </c>
      <c r="R143" s="444">
        <v>0.28999999999999998</v>
      </c>
      <c r="S143" s="444">
        <v>0.3</v>
      </c>
      <c r="T143" s="444">
        <v>0.26</v>
      </c>
      <c r="U143" s="444">
        <v>0.28000000000000003</v>
      </c>
      <c r="V143" s="444" t="s">
        <v>250</v>
      </c>
    </row>
    <row r="144" spans="1:22" ht="26.4">
      <c r="A144" s="310" t="s">
        <v>179</v>
      </c>
      <c r="B144" s="444">
        <v>0.372329435100624</v>
      </c>
      <c r="C144" s="444" t="s">
        <v>224</v>
      </c>
      <c r="D144" s="444">
        <v>0.372</v>
      </c>
      <c r="E144" s="444">
        <v>0.376</v>
      </c>
      <c r="F144" s="444">
        <v>0.37990909090909086</v>
      </c>
      <c r="G144" s="444">
        <v>0.35899999999999999</v>
      </c>
      <c r="H144" s="444">
        <v>0.38</v>
      </c>
      <c r="I144" s="444">
        <v>0.39</v>
      </c>
      <c r="J144" s="444">
        <v>0.38</v>
      </c>
      <c r="K144" s="444">
        <v>0.37</v>
      </c>
      <c r="L144" s="444">
        <v>0.37</v>
      </c>
      <c r="M144" s="444">
        <v>0.31</v>
      </c>
      <c r="N144" s="444">
        <v>0.32999999999999996</v>
      </c>
      <c r="O144" s="444">
        <v>0.32</v>
      </c>
      <c r="P144" s="444">
        <v>0.3</v>
      </c>
      <c r="Q144" s="444">
        <v>0.31</v>
      </c>
      <c r="R144" s="444">
        <v>0.28999999999999998</v>
      </c>
      <c r="S144" s="444">
        <v>0.3</v>
      </c>
      <c r="T144" s="444">
        <v>0.27</v>
      </c>
      <c r="U144" s="444">
        <v>0.28000000000000003</v>
      </c>
      <c r="V144" s="444" t="s">
        <v>180</v>
      </c>
    </row>
    <row r="145" spans="1:22" ht="26.4">
      <c r="A145" s="310" t="s">
        <v>181</v>
      </c>
      <c r="B145" s="444">
        <v>0.372922689098656</v>
      </c>
      <c r="C145" s="444">
        <v>0.36199999999999999</v>
      </c>
      <c r="D145" s="444">
        <v>0.371</v>
      </c>
      <c r="E145" s="444">
        <v>0.38</v>
      </c>
      <c r="F145" s="444">
        <v>0.39564705882352935</v>
      </c>
      <c r="G145" s="444">
        <v>0.36099999999999999</v>
      </c>
      <c r="H145" s="444">
        <v>0.38300000000000001</v>
      </c>
      <c r="I145" s="444">
        <v>0.39</v>
      </c>
      <c r="J145" s="444">
        <v>0.38</v>
      </c>
      <c r="K145" s="444">
        <v>0.37</v>
      </c>
      <c r="L145" s="444">
        <v>0.36</v>
      </c>
      <c r="M145" s="444">
        <v>0.31</v>
      </c>
      <c r="N145" s="444">
        <v>0.32</v>
      </c>
      <c r="O145" s="444">
        <v>0.31</v>
      </c>
      <c r="P145" s="444">
        <v>0.3</v>
      </c>
      <c r="Q145" s="444">
        <v>0.31</v>
      </c>
      <c r="R145" s="444">
        <v>0.28999999999999998</v>
      </c>
      <c r="S145" s="444">
        <v>0.3</v>
      </c>
      <c r="T145" s="444">
        <v>0.26999999999999991</v>
      </c>
      <c r="U145" s="444">
        <v>0.28000000000000003</v>
      </c>
      <c r="V145" s="444" t="s">
        <v>182</v>
      </c>
    </row>
    <row r="146" spans="1:22" ht="26.4">
      <c r="A146" s="310" t="s">
        <v>183</v>
      </c>
      <c r="B146" s="444">
        <v>0.35587139883886515</v>
      </c>
      <c r="C146" s="444">
        <v>0.36299999999999999</v>
      </c>
      <c r="D146" s="444">
        <v>0.374</v>
      </c>
      <c r="E146" s="444">
        <v>0.376</v>
      </c>
      <c r="F146" s="444">
        <v>0.36995238095238092</v>
      </c>
      <c r="G146" s="444">
        <v>0.36199999999999999</v>
      </c>
      <c r="H146" s="444">
        <v>0.378</v>
      </c>
      <c r="I146" s="444">
        <v>0.39</v>
      </c>
      <c r="J146" s="444">
        <v>0.38</v>
      </c>
      <c r="K146" s="444">
        <v>0.37</v>
      </c>
      <c r="L146" s="444">
        <v>0.36</v>
      </c>
      <c r="M146" s="444">
        <v>0.31</v>
      </c>
      <c r="N146" s="444">
        <v>0.32</v>
      </c>
      <c r="O146" s="444">
        <v>0.31</v>
      </c>
      <c r="P146" s="444">
        <v>0.31</v>
      </c>
      <c r="Q146" s="444">
        <v>0.31</v>
      </c>
      <c r="R146" s="444">
        <v>0.28999999999999998</v>
      </c>
      <c r="S146" s="444">
        <v>0.3</v>
      </c>
      <c r="T146" s="444">
        <v>0.27190476190476176</v>
      </c>
      <c r="U146" s="444">
        <v>0.28999999999999998</v>
      </c>
      <c r="V146" s="444" t="s">
        <v>184</v>
      </c>
    </row>
    <row r="147" spans="1:22" ht="26.4">
      <c r="A147" s="310" t="s">
        <v>185</v>
      </c>
      <c r="B147" s="444">
        <v>0.3523616901253423</v>
      </c>
      <c r="C147" s="444">
        <v>0.36399999999999999</v>
      </c>
      <c r="D147" s="444">
        <v>0.377</v>
      </c>
      <c r="E147" s="444">
        <v>0.375</v>
      </c>
      <c r="F147" s="444">
        <v>0.36131250000000004</v>
      </c>
      <c r="G147" s="444">
        <v>0.36</v>
      </c>
      <c r="H147" s="444">
        <v>0.379</v>
      </c>
      <c r="I147" s="444">
        <v>0.39</v>
      </c>
      <c r="J147" s="444">
        <v>0.38500000000000001</v>
      </c>
      <c r="K147" s="444">
        <v>0.37</v>
      </c>
      <c r="L147" s="444">
        <v>0.36</v>
      </c>
      <c r="M147" s="444">
        <v>0.31</v>
      </c>
      <c r="N147" s="444">
        <v>0.32</v>
      </c>
      <c r="O147" s="444">
        <v>0.31</v>
      </c>
      <c r="P147" s="444">
        <v>0.31</v>
      </c>
      <c r="Q147" s="444">
        <v>0.31</v>
      </c>
      <c r="R147" s="444">
        <v>0.28000000000000003</v>
      </c>
      <c r="S147" s="444">
        <v>0.3</v>
      </c>
      <c r="T147" s="444">
        <v>0.26999999999999991</v>
      </c>
      <c r="U147" s="444">
        <v>0.28999999999999998</v>
      </c>
      <c r="V147" s="444" t="s">
        <v>186</v>
      </c>
    </row>
    <row r="148" spans="1:22" ht="26.4">
      <c r="A148" s="310" t="s">
        <v>251</v>
      </c>
      <c r="B148" s="444">
        <v>0.3676928034720523</v>
      </c>
      <c r="C148" s="444">
        <v>0.36042875770703064</v>
      </c>
      <c r="D148" s="444">
        <v>0.36925000000000008</v>
      </c>
      <c r="E148" s="444">
        <v>0.37366666666666665</v>
      </c>
      <c r="F148" s="444">
        <v>0.45991467435433009</v>
      </c>
      <c r="G148" s="444">
        <v>0.36149999999999999</v>
      </c>
      <c r="H148" s="444">
        <v>0.37091666666666673</v>
      </c>
      <c r="I148" s="444">
        <v>0.38583333333333331</v>
      </c>
      <c r="J148" s="444">
        <v>0.37375000000000003</v>
      </c>
      <c r="K148" s="444">
        <v>0.3775</v>
      </c>
      <c r="L148" s="444">
        <v>0.37666666666666665</v>
      </c>
      <c r="M148" s="444">
        <v>0.32416666666666666</v>
      </c>
      <c r="N148" s="444">
        <v>0.38666666666666666</v>
      </c>
      <c r="O148" s="444">
        <v>0.32333333333333331</v>
      </c>
      <c r="P148" s="444">
        <v>0.30666666666666664</v>
      </c>
      <c r="Q148" s="444">
        <v>0.31</v>
      </c>
      <c r="R148" s="444">
        <v>0.2936363636363637</v>
      </c>
      <c r="S148" s="444">
        <v>0.3</v>
      </c>
      <c r="T148" s="444">
        <v>0.25932539682539685</v>
      </c>
      <c r="U148" s="444">
        <v>0.27</v>
      </c>
      <c r="V148" s="444" t="s">
        <v>252</v>
      </c>
    </row>
    <row r="150" spans="1:22">
      <c r="A150" t="s">
        <v>253</v>
      </c>
      <c r="V150" t="s">
        <v>199</v>
      </c>
    </row>
    <row r="154" spans="1:22">
      <c r="V154" t="s">
        <v>1576</v>
      </c>
    </row>
    <row r="155" spans="1:22">
      <c r="A155" t="s">
        <v>1575</v>
      </c>
    </row>
    <row r="156" spans="1:22">
      <c r="A156" t="s">
        <v>264</v>
      </c>
      <c r="V156" t="s">
        <v>265</v>
      </c>
    </row>
    <row r="157" spans="1:22" ht="30">
      <c r="A157" s="446" t="s">
        <v>242</v>
      </c>
      <c r="B157" s="446">
        <v>2004</v>
      </c>
      <c r="C157" s="446">
        <v>2005</v>
      </c>
      <c r="D157" s="446">
        <v>2006</v>
      </c>
      <c r="E157" s="446">
        <v>2007</v>
      </c>
      <c r="F157" s="446">
        <v>2008</v>
      </c>
      <c r="G157" s="446">
        <v>2009</v>
      </c>
      <c r="H157" s="446">
        <v>2010</v>
      </c>
      <c r="I157" s="446">
        <v>2011</v>
      </c>
      <c r="J157" s="446">
        <v>2012</v>
      </c>
      <c r="K157" s="446">
        <v>2013</v>
      </c>
      <c r="L157" s="446">
        <v>2014</v>
      </c>
      <c r="M157" s="446">
        <v>2015</v>
      </c>
      <c r="N157" s="446">
        <v>2016</v>
      </c>
      <c r="O157" s="446">
        <v>2017</v>
      </c>
      <c r="P157" s="446">
        <v>2018</v>
      </c>
      <c r="Q157" s="446">
        <v>2019</v>
      </c>
      <c r="R157" s="446">
        <v>2020</v>
      </c>
      <c r="S157" s="446">
        <v>2021</v>
      </c>
      <c r="T157" s="446">
        <v>2022</v>
      </c>
      <c r="U157" s="446">
        <v>2023</v>
      </c>
      <c r="V157" s="446" t="s">
        <v>243</v>
      </c>
    </row>
    <row r="158" spans="1:22" ht="26.4">
      <c r="A158" s="310" t="s">
        <v>163</v>
      </c>
      <c r="B158" s="444">
        <v>248.78100000000001</v>
      </c>
      <c r="C158" s="444">
        <v>250.01699999999997</v>
      </c>
      <c r="D158" s="444">
        <v>232.61099999999999</v>
      </c>
      <c r="E158" s="444">
        <v>223</v>
      </c>
      <c r="F158" s="444">
        <v>231.66000000000003</v>
      </c>
      <c r="G158" s="444">
        <v>287</v>
      </c>
      <c r="H158" s="444">
        <v>286.43</v>
      </c>
      <c r="I158" s="444">
        <v>343.82</v>
      </c>
      <c r="J158" s="444">
        <v>376.83</v>
      </c>
      <c r="K158" s="444">
        <v>338.59</v>
      </c>
      <c r="L158" s="444">
        <v>290</v>
      </c>
      <c r="M158" s="444">
        <v>264.983</v>
      </c>
      <c r="N158" s="444">
        <v>288.59299999999996</v>
      </c>
      <c r="O158" s="444">
        <v>310</v>
      </c>
      <c r="P158" s="444">
        <v>318.41000000000003</v>
      </c>
      <c r="Q158" s="444">
        <v>333.34999999999997</v>
      </c>
      <c r="R158" s="444">
        <v>340</v>
      </c>
      <c r="S158" s="444">
        <v>349.3</v>
      </c>
      <c r="T158" s="444">
        <v>315.91499999999996</v>
      </c>
      <c r="U158" s="444">
        <v>277.3</v>
      </c>
      <c r="V158" s="310" t="s">
        <v>244</v>
      </c>
    </row>
    <row r="159" spans="1:22" ht="26.4">
      <c r="A159" s="310" t="s">
        <v>165</v>
      </c>
      <c r="B159" s="444">
        <v>261.01600000000002</v>
      </c>
      <c r="C159" s="444">
        <v>248.25300000000001</v>
      </c>
      <c r="D159" s="444">
        <v>228.017</v>
      </c>
      <c r="E159" s="444">
        <v>222.00000000000003</v>
      </c>
      <c r="F159" s="444">
        <v>236.87</v>
      </c>
      <c r="G159" s="444">
        <v>283</v>
      </c>
      <c r="H159" s="444">
        <v>289.93</v>
      </c>
      <c r="I159" s="444">
        <v>346.01000000000005</v>
      </c>
      <c r="J159" s="444">
        <v>373.88</v>
      </c>
      <c r="K159" s="444">
        <v>321</v>
      </c>
      <c r="L159" s="444">
        <v>290</v>
      </c>
      <c r="M159" s="444">
        <v>263.38300000000004</v>
      </c>
      <c r="N159" s="444">
        <v>298.435</v>
      </c>
      <c r="O159" s="444">
        <v>320</v>
      </c>
      <c r="P159" s="444">
        <v>325.54000000000002</v>
      </c>
      <c r="Q159" s="444">
        <v>330.07</v>
      </c>
      <c r="R159" s="444">
        <v>340</v>
      </c>
      <c r="S159" s="444">
        <v>342.2</v>
      </c>
      <c r="T159" s="444">
        <v>315.44</v>
      </c>
      <c r="U159" s="444">
        <v>264.5</v>
      </c>
      <c r="V159" s="310" t="s">
        <v>245</v>
      </c>
    </row>
    <row r="160" spans="1:22" ht="26.4">
      <c r="A160" s="310" t="s">
        <v>167</v>
      </c>
      <c r="B160" s="444">
        <v>244.58199999999999</v>
      </c>
      <c r="C160" s="444">
        <v>249.08100000000002</v>
      </c>
      <c r="D160" s="444">
        <v>224.56900000000002</v>
      </c>
      <c r="E160" s="444">
        <v>229</v>
      </c>
      <c r="F160" s="444">
        <v>241.66</v>
      </c>
      <c r="G160" s="444">
        <v>269</v>
      </c>
      <c r="H160" s="444">
        <v>292.03999999999996</v>
      </c>
      <c r="I160" s="444">
        <v>330.24700000000001</v>
      </c>
      <c r="J160" s="444">
        <v>355.92999999999995</v>
      </c>
      <c r="K160" s="444">
        <v>315.84000000000003</v>
      </c>
      <c r="L160" s="444">
        <v>290</v>
      </c>
      <c r="M160" s="444">
        <v>263.06799999999998</v>
      </c>
      <c r="N160" s="444">
        <v>307.99199999999996</v>
      </c>
      <c r="O160" s="444">
        <v>320</v>
      </c>
      <c r="P160" s="444">
        <v>332.14</v>
      </c>
      <c r="Q160" s="444">
        <v>327.72</v>
      </c>
      <c r="R160" s="444">
        <v>350</v>
      </c>
      <c r="S160" s="444">
        <v>331.7</v>
      </c>
      <c r="T160" s="444">
        <v>307.40499999999997</v>
      </c>
      <c r="U160" s="444">
        <v>257.60000000000002</v>
      </c>
      <c r="V160" s="310" t="s">
        <v>246</v>
      </c>
    </row>
    <row r="161" spans="1:22" ht="26.4">
      <c r="A161" s="310" t="s">
        <v>169</v>
      </c>
      <c r="B161" s="444">
        <v>248.11799999999997</v>
      </c>
      <c r="C161" s="444">
        <v>248.28</v>
      </c>
      <c r="D161" s="444">
        <v>229.47700000000003</v>
      </c>
      <c r="E161" s="444">
        <v>225</v>
      </c>
      <c r="F161" s="444">
        <v>235.84</v>
      </c>
      <c r="G161" s="444">
        <v>269</v>
      </c>
      <c r="H161" s="444">
        <v>285.83999999999997</v>
      </c>
      <c r="I161" s="444">
        <v>336.20800000000003</v>
      </c>
      <c r="J161" s="444">
        <v>344.464</v>
      </c>
      <c r="K161" s="444">
        <v>307.18999999999994</v>
      </c>
      <c r="L161" s="444">
        <v>290</v>
      </c>
      <c r="M161" s="444">
        <v>266.73200000000003</v>
      </c>
      <c r="N161" s="444">
        <v>320.56300000000005</v>
      </c>
      <c r="O161" s="444">
        <v>329.99999999999994</v>
      </c>
      <c r="P161" s="444">
        <v>329.31</v>
      </c>
      <c r="Q161" s="444">
        <v>327.08</v>
      </c>
      <c r="R161" s="444">
        <v>350</v>
      </c>
      <c r="S161" s="444">
        <v>329.7</v>
      </c>
      <c r="T161" s="444">
        <v>289.185</v>
      </c>
      <c r="U161" s="444">
        <v>256.89999999999998</v>
      </c>
      <c r="V161" s="310" t="s">
        <v>247</v>
      </c>
    </row>
    <row r="162" spans="1:22" ht="26.4">
      <c r="A162" s="310" t="s">
        <v>171</v>
      </c>
      <c r="B162" s="444">
        <v>238.77800000000002</v>
      </c>
      <c r="C162" s="444">
        <v>248.83600000000001</v>
      </c>
      <c r="D162" s="444">
        <v>240.34900000000002</v>
      </c>
      <c r="E162" s="444">
        <v>216</v>
      </c>
      <c r="F162" s="444">
        <v>229.35</v>
      </c>
      <c r="G162" s="444">
        <v>276</v>
      </c>
      <c r="H162" s="444">
        <v>294.77999999999997</v>
      </c>
      <c r="I162" s="444">
        <v>341.06800000000004</v>
      </c>
      <c r="J162" s="444">
        <v>367.56600000000003</v>
      </c>
      <c r="K162" s="444">
        <v>300.59000000000003</v>
      </c>
      <c r="L162" s="444">
        <v>290</v>
      </c>
      <c r="M162" s="444">
        <v>266.495</v>
      </c>
      <c r="N162" s="444">
        <v>324.81799999999998</v>
      </c>
      <c r="O162" s="444">
        <v>320</v>
      </c>
      <c r="P162" s="444">
        <v>324.13</v>
      </c>
      <c r="Q162" s="444">
        <v>332.45000000000005</v>
      </c>
      <c r="R162" s="444">
        <v>340</v>
      </c>
      <c r="S162" s="444">
        <v>330.8</v>
      </c>
      <c r="T162" s="444">
        <v>283.315</v>
      </c>
      <c r="U162" s="444">
        <v>250.9</v>
      </c>
      <c r="V162" s="310" t="s">
        <v>172</v>
      </c>
    </row>
    <row r="163" spans="1:22" ht="26.4">
      <c r="A163" s="310" t="s">
        <v>173</v>
      </c>
      <c r="B163" s="444">
        <v>247.57600000000002</v>
      </c>
      <c r="C163" s="444">
        <v>242.64500000000001</v>
      </c>
      <c r="D163" s="444">
        <v>225.71500000000003</v>
      </c>
      <c r="E163" s="444">
        <v>211</v>
      </c>
      <c r="F163" s="444">
        <v>220.71999999999997</v>
      </c>
      <c r="G163" s="444">
        <v>274</v>
      </c>
      <c r="H163" s="444">
        <v>305.65000000000003</v>
      </c>
      <c r="I163" s="444">
        <v>347.46700000000004</v>
      </c>
      <c r="J163" s="444">
        <v>371.89600000000002</v>
      </c>
      <c r="K163" s="444">
        <v>311.01</v>
      </c>
      <c r="L163" s="444">
        <v>290</v>
      </c>
      <c r="M163" s="444">
        <v>262.351</v>
      </c>
      <c r="N163" s="444">
        <v>335.21600000000001</v>
      </c>
      <c r="O163" s="444">
        <v>320</v>
      </c>
      <c r="P163" s="444">
        <v>323.95</v>
      </c>
      <c r="Q163" s="444">
        <v>339.13</v>
      </c>
      <c r="R163" s="444">
        <v>350</v>
      </c>
      <c r="S163" s="444">
        <v>328.9</v>
      </c>
      <c r="T163" s="444">
        <v>272.62</v>
      </c>
      <c r="U163" s="444">
        <v>244.6</v>
      </c>
      <c r="V163" s="310" t="s">
        <v>248</v>
      </c>
    </row>
    <row r="164" spans="1:22" ht="26.4">
      <c r="A164" s="310" t="s">
        <v>175</v>
      </c>
      <c r="B164" s="444">
        <v>244.85799999999998</v>
      </c>
      <c r="C164" s="444">
        <v>237.154</v>
      </c>
      <c r="D164" s="444">
        <v>231.80900000000003</v>
      </c>
      <c r="E164" s="444">
        <v>210.56900000000002</v>
      </c>
      <c r="F164" s="444">
        <v>215.11999999999998</v>
      </c>
      <c r="G164" s="444">
        <v>279</v>
      </c>
      <c r="H164" s="444">
        <v>324.91400000000004</v>
      </c>
      <c r="I164" s="444">
        <v>362.93700000000001</v>
      </c>
      <c r="J164" s="444">
        <v>376.13099999999997</v>
      </c>
      <c r="K164" s="444">
        <v>304.59999999999997</v>
      </c>
      <c r="L164" s="444">
        <v>300</v>
      </c>
      <c r="M164" s="444">
        <v>265.20500000000004</v>
      </c>
      <c r="N164" s="444">
        <v>339.39299999999997</v>
      </c>
      <c r="O164" s="444">
        <v>320</v>
      </c>
      <c r="P164" s="444">
        <v>320.40000000000003</v>
      </c>
      <c r="Q164" s="444">
        <v>339.14</v>
      </c>
      <c r="R164" s="444">
        <v>350</v>
      </c>
      <c r="S164" s="444">
        <v>328</v>
      </c>
      <c r="T164" s="444">
        <v>270.73</v>
      </c>
      <c r="U164" s="444">
        <v>257.89999999999998</v>
      </c>
      <c r="V164" s="310" t="s">
        <v>249</v>
      </c>
    </row>
    <row r="165" spans="1:22" ht="26.4">
      <c r="A165" s="310" t="s">
        <v>177</v>
      </c>
      <c r="B165" s="444">
        <v>242.06099999999998</v>
      </c>
      <c r="C165" s="444">
        <v>242.79400000000001</v>
      </c>
      <c r="D165" s="444">
        <v>232.35000000000002</v>
      </c>
      <c r="E165" s="444">
        <v>218.54599999999999</v>
      </c>
      <c r="F165" s="444">
        <v>209.24999999999997</v>
      </c>
      <c r="G165" s="444">
        <v>275</v>
      </c>
      <c r="H165" s="444">
        <v>335.36100000000005</v>
      </c>
      <c r="I165" s="444">
        <v>369.23699999999997</v>
      </c>
      <c r="J165" s="444">
        <v>383.07299999999998</v>
      </c>
      <c r="K165" s="444">
        <v>310.31</v>
      </c>
      <c r="L165" s="444">
        <v>290</v>
      </c>
      <c r="M165" s="444">
        <v>265.73700000000002</v>
      </c>
      <c r="N165" s="444">
        <v>351.101</v>
      </c>
      <c r="O165" s="444">
        <v>320</v>
      </c>
      <c r="P165" s="444">
        <v>322</v>
      </c>
      <c r="Q165" s="444">
        <v>343.8</v>
      </c>
      <c r="R165" s="444">
        <v>354</v>
      </c>
      <c r="S165" s="444">
        <v>330</v>
      </c>
      <c r="T165" s="444">
        <v>279.03999999999996</v>
      </c>
      <c r="U165" s="444">
        <v>261.39999999999998</v>
      </c>
      <c r="V165" s="310" t="s">
        <v>250</v>
      </c>
    </row>
    <row r="166" spans="1:22" ht="26.4">
      <c r="A166" s="310" t="s">
        <v>179</v>
      </c>
      <c r="B166" s="444">
        <v>240.68600000000001</v>
      </c>
      <c r="C166" s="444">
        <v>239.10399999999998</v>
      </c>
      <c r="D166" s="444">
        <v>229.41799999999998</v>
      </c>
      <c r="E166" s="444">
        <v>222.00000000000003</v>
      </c>
      <c r="F166" s="444">
        <v>217.07</v>
      </c>
      <c r="G166" s="444">
        <v>284</v>
      </c>
      <c r="H166" s="444">
        <v>339.56599999999997</v>
      </c>
      <c r="I166" s="444">
        <v>340.53499999999997</v>
      </c>
      <c r="J166" s="444">
        <v>386.06700000000001</v>
      </c>
      <c r="K166" s="444">
        <v>305.65999999999997</v>
      </c>
      <c r="L166" s="444">
        <v>279.99999999999994</v>
      </c>
      <c r="M166" s="444">
        <v>273.642</v>
      </c>
      <c r="N166" s="444">
        <v>349.66200000000003</v>
      </c>
      <c r="O166" s="444">
        <v>320</v>
      </c>
      <c r="P166" s="444">
        <v>318.82</v>
      </c>
      <c r="Q166" s="444">
        <v>341.84</v>
      </c>
      <c r="R166" s="444">
        <v>350</v>
      </c>
      <c r="S166" s="444">
        <v>329.2</v>
      </c>
      <c r="T166" s="444">
        <v>264.81</v>
      </c>
      <c r="U166" s="444">
        <v>257.2</v>
      </c>
      <c r="V166" s="310" t="s">
        <v>180</v>
      </c>
    </row>
    <row r="167" spans="1:22" ht="26.4">
      <c r="A167" s="310" t="s">
        <v>181</v>
      </c>
      <c r="B167" s="444">
        <v>243.785</v>
      </c>
      <c r="C167" s="444">
        <v>228.25799999999998</v>
      </c>
      <c r="D167" s="444">
        <v>226.44600000000003</v>
      </c>
      <c r="E167" s="444">
        <v>221</v>
      </c>
      <c r="F167" s="444">
        <v>244.13</v>
      </c>
      <c r="G167" s="444">
        <v>289</v>
      </c>
      <c r="H167" s="444">
        <v>347.57400000000001</v>
      </c>
      <c r="I167" s="444">
        <v>377.26500000000004</v>
      </c>
      <c r="J167" s="444">
        <v>382.64</v>
      </c>
      <c r="K167" s="444">
        <v>307.41999999999996</v>
      </c>
      <c r="L167" s="444">
        <v>279.99999999999994</v>
      </c>
      <c r="M167" s="444">
        <v>277.24299999999999</v>
      </c>
      <c r="N167" s="444">
        <v>343.78399999999999</v>
      </c>
      <c r="O167" s="444">
        <v>310</v>
      </c>
      <c r="P167" s="444">
        <v>317.17</v>
      </c>
      <c r="Q167" s="444">
        <v>342.54</v>
      </c>
      <c r="R167" s="444">
        <v>350</v>
      </c>
      <c r="S167" s="444">
        <v>320.3</v>
      </c>
      <c r="T167" s="444">
        <v>257.45952380952377</v>
      </c>
      <c r="U167" s="444">
        <v>257.3</v>
      </c>
      <c r="V167" s="310" t="s">
        <v>182</v>
      </c>
    </row>
    <row r="168" spans="1:22" ht="26.4">
      <c r="A168" s="310" t="s">
        <v>183</v>
      </c>
      <c r="B168" s="444">
        <v>252.34699999999998</v>
      </c>
      <c r="C168" s="444">
        <v>226.80600000000001</v>
      </c>
      <c r="D168" s="444">
        <v>228.905</v>
      </c>
      <c r="E168" s="444">
        <v>225</v>
      </c>
      <c r="F168" s="444">
        <v>258.49</v>
      </c>
      <c r="G168" s="444">
        <v>290</v>
      </c>
      <c r="H168" s="444">
        <v>341.83200000000005</v>
      </c>
      <c r="I168" s="444">
        <v>370.59100000000001</v>
      </c>
      <c r="J168" s="444">
        <v>369.41</v>
      </c>
      <c r="K168" s="444">
        <v>297.19</v>
      </c>
      <c r="L168" s="444">
        <v>260</v>
      </c>
      <c r="M168" s="444">
        <v>273.49400000000003</v>
      </c>
      <c r="N168" s="444">
        <v>331.39599999999996</v>
      </c>
      <c r="O168" s="444">
        <v>310</v>
      </c>
      <c r="P168" s="444">
        <v>320.28000000000003</v>
      </c>
      <c r="Q168" s="444">
        <v>341.16999999999996</v>
      </c>
      <c r="R168" s="444">
        <v>350</v>
      </c>
      <c r="S168" s="444">
        <v>317.39999999999998</v>
      </c>
      <c r="T168" s="444">
        <v>265.24428571428564</v>
      </c>
      <c r="U168" s="444">
        <v>263.60000000000002</v>
      </c>
      <c r="V168" s="310" t="s">
        <v>184</v>
      </c>
    </row>
    <row r="169" spans="1:22" ht="26.4">
      <c r="A169" s="310" t="s">
        <v>185</v>
      </c>
      <c r="B169" s="444">
        <v>253.91900000000001</v>
      </c>
      <c r="C169" s="444">
        <v>231.91899999999998</v>
      </c>
      <c r="D169" s="444">
        <v>229.32999999999998</v>
      </c>
      <c r="E169" s="444">
        <v>223</v>
      </c>
      <c r="F169" s="444">
        <v>280.69</v>
      </c>
      <c r="G169" s="444">
        <v>292</v>
      </c>
      <c r="H169" s="444">
        <v>337.78100000000001</v>
      </c>
      <c r="I169" s="444">
        <v>370.16499999999996</v>
      </c>
      <c r="J169" s="444">
        <v>361.33000000000004</v>
      </c>
      <c r="K169" s="444">
        <v>287.71000000000004</v>
      </c>
      <c r="L169" s="444">
        <v>260</v>
      </c>
      <c r="M169" s="444">
        <v>276.53499999999997</v>
      </c>
      <c r="N169" s="444">
        <v>308.02600000000001</v>
      </c>
      <c r="O169" s="444">
        <v>310</v>
      </c>
      <c r="P169" s="444">
        <v>323.34000000000003</v>
      </c>
      <c r="Q169" s="444">
        <v>341.48</v>
      </c>
      <c r="R169" s="444">
        <v>350</v>
      </c>
      <c r="S169" s="444">
        <v>318.7</v>
      </c>
      <c r="T169" s="444">
        <v>276.49863636363636</v>
      </c>
      <c r="U169" s="444">
        <v>274.7</v>
      </c>
      <c r="V169" s="310" t="s">
        <v>186</v>
      </c>
    </row>
    <row r="170" spans="1:22" ht="26.4">
      <c r="A170" s="310" t="s">
        <v>251</v>
      </c>
      <c r="B170" s="444">
        <v>247.20891666666671</v>
      </c>
      <c r="C170" s="444">
        <v>241.09558333333331</v>
      </c>
      <c r="D170" s="444">
        <v>229.91633333333331</v>
      </c>
      <c r="E170" s="444">
        <v>220.50958333333335</v>
      </c>
      <c r="F170" s="444">
        <v>235.07083333333338</v>
      </c>
      <c r="G170" s="444">
        <v>280.58333333333326</v>
      </c>
      <c r="H170" s="444">
        <v>315.14150000000001</v>
      </c>
      <c r="I170" s="444">
        <v>352.96250000000003</v>
      </c>
      <c r="J170" s="444">
        <v>370.76808333333332</v>
      </c>
      <c r="K170" s="444">
        <v>308.9258333333334</v>
      </c>
      <c r="L170" s="444">
        <v>284.16666666666663</v>
      </c>
      <c r="M170" s="444">
        <v>268.23900000000003</v>
      </c>
      <c r="N170" s="444">
        <v>324.91491666666661</v>
      </c>
      <c r="O170" s="444">
        <v>317.49999999999994</v>
      </c>
      <c r="P170" s="444">
        <v>322.95749999999998</v>
      </c>
      <c r="Q170" s="444">
        <v>336.94727272727272</v>
      </c>
      <c r="R170" s="444">
        <v>348.54545454545462</v>
      </c>
      <c r="S170" s="444">
        <v>329.68333333333334</v>
      </c>
      <c r="T170" s="444">
        <v>283.13853715728715</v>
      </c>
      <c r="U170" s="444">
        <v>260.3</v>
      </c>
      <c r="V170" s="310" t="s">
        <v>252</v>
      </c>
    </row>
    <row r="172" spans="1:22">
      <c r="A172" t="s">
        <v>253</v>
      </c>
      <c r="V172" t="s">
        <v>199</v>
      </c>
    </row>
    <row r="176" spans="1:22">
      <c r="N176" t="s">
        <v>1576</v>
      </c>
    </row>
    <row r="177" spans="1:14">
      <c r="A177" t="s">
        <v>1575</v>
      </c>
    </row>
    <row r="179" spans="1:14">
      <c r="A179" t="s">
        <v>266</v>
      </c>
      <c r="N179" t="s">
        <v>267</v>
      </c>
    </row>
    <row r="180" spans="1:14" ht="30">
      <c r="A180" s="446" t="s">
        <v>242</v>
      </c>
      <c r="B180" s="446">
        <v>2010</v>
      </c>
      <c r="C180" s="446">
        <v>2011</v>
      </c>
      <c r="D180" s="446">
        <v>2012</v>
      </c>
      <c r="E180" s="446">
        <v>2013</v>
      </c>
      <c r="F180" s="446">
        <v>2014</v>
      </c>
      <c r="G180" s="446">
        <v>2015</v>
      </c>
      <c r="H180" s="446">
        <v>2016</v>
      </c>
      <c r="I180" s="446">
        <v>2017</v>
      </c>
      <c r="J180" s="446">
        <v>2018</v>
      </c>
      <c r="K180" s="446">
        <v>2019</v>
      </c>
      <c r="L180" s="446">
        <v>2020</v>
      </c>
      <c r="M180" s="446">
        <v>2021</v>
      </c>
      <c r="N180" s="446" t="s">
        <v>243</v>
      </c>
    </row>
    <row r="181" spans="1:14" ht="26.4">
      <c r="A181" s="310" t="s">
        <v>163</v>
      </c>
      <c r="B181" s="444">
        <v>40.880000000000003</v>
      </c>
      <c r="C181" s="444">
        <v>43.2</v>
      </c>
      <c r="D181" s="444">
        <v>43.5</v>
      </c>
      <c r="E181" s="444">
        <v>29.98</v>
      </c>
      <c r="F181" s="444">
        <v>46.14</v>
      </c>
      <c r="G181" s="444">
        <v>44.510000000000005</v>
      </c>
      <c r="H181" s="444">
        <v>46.94</v>
      </c>
      <c r="I181" s="444">
        <v>44.9</v>
      </c>
      <c r="J181" s="444">
        <v>50.72</v>
      </c>
      <c r="K181" s="444">
        <v>50.57</v>
      </c>
      <c r="L181" s="444">
        <v>51.47</v>
      </c>
      <c r="M181" s="444">
        <v>52.1</v>
      </c>
      <c r="N181" s="310" t="s">
        <v>244</v>
      </c>
    </row>
    <row r="182" spans="1:14" ht="26.4">
      <c r="A182" s="310" t="s">
        <v>165</v>
      </c>
      <c r="B182" s="444">
        <v>40.14</v>
      </c>
      <c r="C182" s="444">
        <v>44.1</v>
      </c>
      <c r="D182" s="444">
        <v>44.5</v>
      </c>
      <c r="E182" s="444">
        <v>29.860000000000003</v>
      </c>
      <c r="F182" s="444">
        <v>46.230000000000004</v>
      </c>
      <c r="G182" s="444">
        <v>44.03</v>
      </c>
      <c r="H182" s="444">
        <v>47.660000000000004</v>
      </c>
      <c r="I182" s="444">
        <v>45.04</v>
      </c>
      <c r="J182" s="444">
        <v>51.08</v>
      </c>
      <c r="K182" s="444">
        <v>50.69</v>
      </c>
      <c r="L182" s="444">
        <v>51.05</v>
      </c>
      <c r="M182" s="444">
        <v>51.8</v>
      </c>
      <c r="N182" s="310" t="s">
        <v>245</v>
      </c>
    </row>
    <row r="183" spans="1:14" ht="26.4">
      <c r="A183" s="310" t="s">
        <v>167</v>
      </c>
      <c r="B183" s="444">
        <v>40.29</v>
      </c>
      <c r="C183" s="444">
        <v>44.489999999999995</v>
      </c>
      <c r="D183" s="444">
        <v>44.5</v>
      </c>
      <c r="E183" s="444">
        <v>29.889999999999997</v>
      </c>
      <c r="F183" s="444">
        <v>46.269999999999996</v>
      </c>
      <c r="G183" s="444">
        <v>43.769999999999996</v>
      </c>
      <c r="H183" s="444">
        <v>48.32</v>
      </c>
      <c r="I183" s="444">
        <v>45.11</v>
      </c>
      <c r="J183" s="444">
        <v>51.21</v>
      </c>
      <c r="K183" s="444">
        <v>50.71</v>
      </c>
      <c r="L183" s="444">
        <v>51.12</v>
      </c>
      <c r="M183" s="444">
        <v>51.3</v>
      </c>
      <c r="N183" s="310" t="s">
        <v>246</v>
      </c>
    </row>
    <row r="184" spans="1:14" ht="26.4">
      <c r="A184" s="310" t="s">
        <v>169</v>
      </c>
      <c r="B184" s="444">
        <v>40.43</v>
      </c>
      <c r="C184" s="444">
        <v>44.9</v>
      </c>
      <c r="D184" s="444">
        <v>44.1</v>
      </c>
      <c r="E184" s="444">
        <v>44.95</v>
      </c>
      <c r="F184" s="444">
        <v>46.239999999999995</v>
      </c>
      <c r="G184" s="444">
        <v>43.97</v>
      </c>
      <c r="H184" s="444">
        <v>49.39</v>
      </c>
      <c r="I184" s="444">
        <v>45.260000000000005</v>
      </c>
      <c r="J184" s="444">
        <v>51.38</v>
      </c>
      <c r="K184" s="444">
        <v>50.65</v>
      </c>
      <c r="L184" s="444">
        <v>50.92</v>
      </c>
      <c r="M184" s="444">
        <v>51.2</v>
      </c>
      <c r="N184" s="310" t="s">
        <v>247</v>
      </c>
    </row>
    <row r="185" spans="1:14" ht="26.4">
      <c r="A185" s="310" t="s">
        <v>171</v>
      </c>
      <c r="B185" s="444">
        <v>40.28</v>
      </c>
      <c r="C185" s="444">
        <v>44.57</v>
      </c>
      <c r="D185" s="444">
        <v>43.9</v>
      </c>
      <c r="E185" s="444">
        <v>45.29</v>
      </c>
      <c r="F185" s="444">
        <v>46.31</v>
      </c>
      <c r="G185" s="444">
        <v>45.010000000000005</v>
      </c>
      <c r="H185" s="444">
        <v>49.79</v>
      </c>
      <c r="I185" s="444">
        <v>45.510000000000005</v>
      </c>
      <c r="J185" s="444">
        <v>50.69</v>
      </c>
      <c r="K185" s="444">
        <v>50.58</v>
      </c>
      <c r="L185" s="444">
        <v>51.47</v>
      </c>
      <c r="M185" s="444">
        <v>51.8</v>
      </c>
      <c r="N185" s="310" t="s">
        <v>172</v>
      </c>
    </row>
    <row r="186" spans="1:14" ht="26.4">
      <c r="A186" s="310" t="s">
        <v>173</v>
      </c>
      <c r="B186" s="444">
        <v>39.769999999999996</v>
      </c>
      <c r="C186" s="444">
        <v>44.589999999999996</v>
      </c>
      <c r="D186" s="444">
        <v>43.2</v>
      </c>
      <c r="E186" s="444">
        <v>45.8</v>
      </c>
      <c r="F186" s="444">
        <v>46.22</v>
      </c>
      <c r="G186" s="444">
        <v>45.42</v>
      </c>
      <c r="H186" s="444">
        <v>49.79</v>
      </c>
      <c r="I186" s="444">
        <v>49.63</v>
      </c>
      <c r="J186" s="444">
        <v>50.39</v>
      </c>
      <c r="K186" s="444">
        <v>50.77</v>
      </c>
      <c r="L186" s="444">
        <v>51.8</v>
      </c>
      <c r="M186" s="444">
        <v>51.9</v>
      </c>
      <c r="N186" s="310" t="s">
        <v>248</v>
      </c>
    </row>
    <row r="187" spans="1:14" ht="26.4">
      <c r="A187" s="310" t="s">
        <v>175</v>
      </c>
      <c r="B187" s="444">
        <v>42.58</v>
      </c>
      <c r="C187" s="444">
        <v>44.55</v>
      </c>
      <c r="D187" s="444">
        <v>44.81</v>
      </c>
      <c r="E187" s="444">
        <v>45.519999999999996</v>
      </c>
      <c r="F187" s="444">
        <v>46.33</v>
      </c>
      <c r="G187" s="444">
        <v>45.57</v>
      </c>
      <c r="H187" s="444">
        <v>49.2</v>
      </c>
      <c r="I187" s="444">
        <v>49.97</v>
      </c>
      <c r="J187" s="444">
        <v>50.17</v>
      </c>
      <c r="K187" s="444">
        <v>50.71</v>
      </c>
      <c r="L187" s="444">
        <v>52.14</v>
      </c>
      <c r="M187" s="444">
        <v>51.4</v>
      </c>
      <c r="N187" s="310" t="s">
        <v>249</v>
      </c>
    </row>
    <row r="188" spans="1:14" ht="26.4">
      <c r="A188" s="310" t="s">
        <v>177</v>
      </c>
      <c r="B188" s="444">
        <v>43.519999999999996</v>
      </c>
      <c r="C188" s="444">
        <v>45.75</v>
      </c>
      <c r="D188" s="444">
        <v>45.54</v>
      </c>
      <c r="E188" s="444">
        <v>46</v>
      </c>
      <c r="F188" s="444">
        <v>46.010000000000005</v>
      </c>
      <c r="G188" s="444">
        <v>45.82</v>
      </c>
      <c r="H188" s="444">
        <v>49.62</v>
      </c>
      <c r="I188" s="444">
        <v>50.35</v>
      </c>
      <c r="J188" s="444">
        <v>49.95</v>
      </c>
      <c r="K188" s="444">
        <v>50.28</v>
      </c>
      <c r="L188" s="444">
        <v>52.49</v>
      </c>
      <c r="M188" s="444">
        <v>51.4</v>
      </c>
      <c r="N188" s="310" t="s">
        <v>250</v>
      </c>
    </row>
    <row r="189" spans="1:14" ht="26.4">
      <c r="A189" s="310" t="s">
        <v>179</v>
      </c>
      <c r="B189" s="444">
        <v>43.57</v>
      </c>
      <c r="C189" s="444">
        <v>44.56</v>
      </c>
      <c r="D189" s="444">
        <v>46.339999999999996</v>
      </c>
      <c r="E189" s="444">
        <v>46.06</v>
      </c>
      <c r="F189" s="444">
        <v>45.35</v>
      </c>
      <c r="G189" s="444">
        <v>46.18</v>
      </c>
      <c r="H189" s="444">
        <v>49.7</v>
      </c>
      <c r="I189" s="444">
        <v>50.44</v>
      </c>
      <c r="J189" s="444">
        <v>49.98</v>
      </c>
      <c r="K189" s="444">
        <v>50.23</v>
      </c>
      <c r="L189" s="444">
        <v>52.21</v>
      </c>
      <c r="M189" s="444">
        <v>51.4</v>
      </c>
      <c r="N189" s="310" t="s">
        <v>180</v>
      </c>
    </row>
    <row r="190" spans="1:14" ht="26.4">
      <c r="A190" s="310" t="s">
        <v>181</v>
      </c>
      <c r="B190" s="444">
        <v>44.6</v>
      </c>
      <c r="C190" s="444">
        <v>45.39</v>
      </c>
      <c r="D190" s="444">
        <v>46.36</v>
      </c>
      <c r="E190" s="444">
        <v>46.06</v>
      </c>
      <c r="F190" s="444">
        <v>45.08</v>
      </c>
      <c r="G190" s="444">
        <v>46.7</v>
      </c>
      <c r="H190" s="444">
        <v>49.17</v>
      </c>
      <c r="I190" s="444">
        <v>49.93</v>
      </c>
      <c r="J190" s="444">
        <v>49.82</v>
      </c>
      <c r="K190" s="444">
        <v>50.75</v>
      </c>
      <c r="L190" s="444">
        <v>52.21</v>
      </c>
      <c r="M190" s="444">
        <v>51</v>
      </c>
      <c r="N190" s="310" t="s">
        <v>182</v>
      </c>
    </row>
    <row r="191" spans="1:14" ht="26.4">
      <c r="A191" s="310" t="s">
        <v>183</v>
      </c>
      <c r="B191" s="444">
        <v>43.5</v>
      </c>
      <c r="C191" s="444">
        <v>45.42</v>
      </c>
      <c r="D191" s="444">
        <v>45.55</v>
      </c>
      <c r="E191" s="444">
        <v>46.06</v>
      </c>
      <c r="F191" s="444">
        <v>44.769999999999996</v>
      </c>
      <c r="G191" s="444">
        <v>46.239999999999995</v>
      </c>
      <c r="H191" s="444">
        <v>48.72</v>
      </c>
      <c r="I191" s="444">
        <v>49.7</v>
      </c>
      <c r="J191" s="444">
        <v>50.26</v>
      </c>
      <c r="K191" s="444">
        <v>51.06</v>
      </c>
      <c r="L191" s="444">
        <v>52.47</v>
      </c>
      <c r="M191" s="444">
        <v>50.7</v>
      </c>
      <c r="N191" s="310" t="s">
        <v>184</v>
      </c>
    </row>
    <row r="192" spans="1:14" ht="26.4">
      <c r="A192" s="310" t="s">
        <v>185</v>
      </c>
      <c r="B192" s="444">
        <v>42.9</v>
      </c>
      <c r="C192" s="444">
        <v>45</v>
      </c>
      <c r="D192" s="444">
        <v>45.55</v>
      </c>
      <c r="E192" s="444">
        <v>46.06</v>
      </c>
      <c r="F192" s="444">
        <v>45.230000000000004</v>
      </c>
      <c r="G192" s="444">
        <v>46.58</v>
      </c>
      <c r="H192" s="444">
        <v>48.03</v>
      </c>
      <c r="I192" s="444">
        <v>49.989999999999995</v>
      </c>
      <c r="J192" s="444">
        <v>50.31</v>
      </c>
      <c r="K192" s="444">
        <v>51.35</v>
      </c>
      <c r="L192" s="444">
        <v>52.21</v>
      </c>
      <c r="M192" s="444">
        <v>0</v>
      </c>
      <c r="N192" s="310" t="s">
        <v>186</v>
      </c>
    </row>
    <row r="193" spans="1:15" ht="26.4">
      <c r="A193" s="310" t="s">
        <v>251</v>
      </c>
      <c r="B193" s="444">
        <v>41.871666666666663</v>
      </c>
      <c r="C193" s="444">
        <v>44.71</v>
      </c>
      <c r="D193" s="444">
        <v>44.820833333333333</v>
      </c>
      <c r="E193" s="444">
        <v>41.794166666666662</v>
      </c>
      <c r="F193" s="444">
        <v>45.848333333333329</v>
      </c>
      <c r="G193" s="444">
        <v>45.31666666666667</v>
      </c>
      <c r="H193" s="444">
        <v>48.860833333333325</v>
      </c>
      <c r="I193" s="444">
        <v>47.985833333333339</v>
      </c>
      <c r="J193" s="444">
        <v>50.49666666666667</v>
      </c>
      <c r="K193" s="444">
        <v>50.707272727272724</v>
      </c>
      <c r="L193" s="444">
        <v>51.826363636363631</v>
      </c>
      <c r="M193" s="444">
        <v>47.166666666666664</v>
      </c>
      <c r="N193" s="310" t="s">
        <v>252</v>
      </c>
    </row>
    <row r="195" spans="1:15">
      <c r="A195" t="s">
        <v>268</v>
      </c>
      <c r="O195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K45"/>
  <sheetViews>
    <sheetView topLeftCell="A5" zoomScale="60" zoomScaleNormal="100" workbookViewId="0">
      <selection activeCell="V44" sqref="V44"/>
    </sheetView>
  </sheetViews>
  <sheetFormatPr baseColWidth="10" defaultColWidth="9.109375" defaultRowHeight="14.4"/>
  <cols>
    <col min="1" max="1" width="35.5546875" customWidth="1"/>
    <col min="2" max="2" width="18.6640625" customWidth="1"/>
    <col min="3" max="3" width="15.33203125" customWidth="1"/>
    <col min="4" max="4" width="15.88671875" customWidth="1"/>
    <col min="5" max="5" width="15.109375" customWidth="1"/>
    <col min="6" max="6" width="19" customWidth="1"/>
    <col min="7" max="7" width="15.5546875" customWidth="1"/>
    <col min="8" max="8" width="15.88671875" customWidth="1"/>
    <col min="9" max="9" width="14.6640625" customWidth="1"/>
    <col min="10" max="10" width="19.33203125" customWidth="1"/>
    <col min="11" max="11" width="14.88671875" customWidth="1"/>
    <col min="12" max="12" width="16.109375" customWidth="1"/>
    <col min="13" max="13" width="15.77734375" customWidth="1"/>
    <col min="14" max="14" width="14.44140625" customWidth="1"/>
    <col min="15" max="15" width="16" customWidth="1"/>
    <col min="16" max="16" width="15.21875" customWidth="1"/>
    <col min="17" max="17" width="17.109375" customWidth="1"/>
    <col min="18" max="18" width="14.6640625" customWidth="1"/>
    <col min="19" max="19" width="18.33203125" customWidth="1"/>
    <col min="20" max="20" width="14.88671875" customWidth="1"/>
    <col min="21" max="21" width="15" customWidth="1"/>
    <col min="22" max="22" width="19.21875" customWidth="1"/>
    <col min="23" max="23" width="14.44140625" customWidth="1"/>
    <col min="24" max="24" width="16.109375" customWidth="1"/>
    <col min="25" max="25" width="14.88671875" customWidth="1"/>
    <col min="26" max="26" width="15.77734375" customWidth="1"/>
    <col min="27" max="27" width="16.44140625" customWidth="1"/>
    <col min="28" max="29" width="14" customWidth="1"/>
    <col min="30" max="30" width="31.44140625" customWidth="1"/>
  </cols>
  <sheetData>
    <row r="2" spans="1:34" ht="15" customHeight="1">
      <c r="A2" s="306" t="s">
        <v>988</v>
      </c>
      <c r="B2" s="306"/>
      <c r="C2" s="306"/>
      <c r="D2" s="306"/>
      <c r="E2" s="306"/>
      <c r="F2" s="306"/>
      <c r="G2" s="306"/>
      <c r="Z2" s="830" t="s">
        <v>0</v>
      </c>
      <c r="AA2" s="830"/>
      <c r="AB2" s="830"/>
      <c r="AC2" s="830"/>
      <c r="AD2" s="830"/>
      <c r="AE2" s="830"/>
      <c r="AF2" s="830"/>
      <c r="AG2" s="830"/>
    </row>
    <row r="3" spans="1:34" ht="15" customHeight="1" thickBot="1">
      <c r="A3" s="306"/>
      <c r="B3" s="306"/>
      <c r="C3" s="306"/>
      <c r="D3" s="306"/>
      <c r="E3" s="306"/>
      <c r="F3" s="306"/>
      <c r="G3" s="306"/>
      <c r="Z3" s="830"/>
      <c r="AA3" s="830"/>
      <c r="AB3" s="830"/>
      <c r="AC3" s="830"/>
      <c r="AD3" s="830"/>
      <c r="AE3" s="830"/>
      <c r="AF3" s="830"/>
      <c r="AG3" s="830"/>
    </row>
    <row r="4" spans="1:34" ht="30.6" thickBot="1">
      <c r="A4" s="302" t="s">
        <v>1</v>
      </c>
      <c r="B4" s="302" t="s">
        <v>959</v>
      </c>
      <c r="C4" s="302" t="s">
        <v>960</v>
      </c>
      <c r="D4" s="302" t="s">
        <v>961</v>
      </c>
      <c r="E4" s="302" t="s">
        <v>970</v>
      </c>
      <c r="F4" s="302" t="s">
        <v>971</v>
      </c>
      <c r="G4" s="302" t="s">
        <v>972</v>
      </c>
      <c r="H4" s="302" t="s">
        <v>973</v>
      </c>
      <c r="I4" s="302" t="s">
        <v>974</v>
      </c>
      <c r="J4" s="302" t="s">
        <v>975</v>
      </c>
      <c r="K4" s="302" t="s">
        <v>976</v>
      </c>
      <c r="L4" s="302" t="s">
        <v>977</v>
      </c>
      <c r="M4" s="302" t="s">
        <v>978</v>
      </c>
      <c r="N4" s="302" t="s">
        <v>979</v>
      </c>
      <c r="O4" s="302" t="s">
        <v>980</v>
      </c>
      <c r="P4" s="302" t="s">
        <v>981</v>
      </c>
      <c r="Q4" s="302" t="s">
        <v>982</v>
      </c>
      <c r="R4" s="302" t="s">
        <v>983</v>
      </c>
      <c r="S4" s="302" t="s">
        <v>984</v>
      </c>
      <c r="T4" s="302" t="s">
        <v>962</v>
      </c>
      <c r="U4" s="302" t="s">
        <v>963</v>
      </c>
      <c r="V4" s="302" t="s">
        <v>964</v>
      </c>
      <c r="W4" s="302" t="s">
        <v>985</v>
      </c>
      <c r="X4" s="302" t="s">
        <v>965</v>
      </c>
      <c r="Y4" s="302" t="s">
        <v>966</v>
      </c>
      <c r="Z4" s="302" t="s">
        <v>967</v>
      </c>
      <c r="AA4" s="302" t="s">
        <v>968</v>
      </c>
      <c r="AB4" s="302" t="s">
        <v>969</v>
      </c>
      <c r="AC4" s="302" t="s">
        <v>991</v>
      </c>
      <c r="AD4" s="302" t="s">
        <v>2</v>
      </c>
    </row>
    <row r="5" spans="1:34" ht="21" customHeight="1">
      <c r="A5" s="311" t="s">
        <v>3</v>
      </c>
      <c r="B5" s="309">
        <v>271.10000000000002</v>
      </c>
      <c r="C5" s="309">
        <v>192.21</v>
      </c>
      <c r="D5" s="309">
        <v>182.18600000000001</v>
      </c>
      <c r="E5" s="309">
        <v>175.56200000000001</v>
      </c>
      <c r="F5" s="309">
        <v>223.154</v>
      </c>
      <c r="G5" s="309">
        <v>207.20599999999999</v>
      </c>
      <c r="H5" s="309">
        <v>194.52199999999999</v>
      </c>
      <c r="I5" s="309">
        <v>109.2</v>
      </c>
      <c r="J5" s="309">
        <v>212.58800000000002</v>
      </c>
      <c r="K5" s="309">
        <v>154.51300000000001</v>
      </c>
      <c r="L5" s="309">
        <v>217.89999999999998</v>
      </c>
      <c r="M5" s="319"/>
      <c r="N5" s="319"/>
      <c r="O5" s="319"/>
      <c r="P5" s="309">
        <v>247.68000000000004</v>
      </c>
      <c r="Q5" s="309">
        <v>291</v>
      </c>
      <c r="R5" s="309">
        <v>144.322</v>
      </c>
      <c r="S5" s="309">
        <v>331.90600000000001</v>
      </c>
      <c r="T5" s="309">
        <v>259.89999999999998</v>
      </c>
      <c r="U5" s="309">
        <v>221.02034238564525</v>
      </c>
      <c r="V5" s="309">
        <v>280.93299999999999</v>
      </c>
      <c r="W5" s="309">
        <v>244.01485443563857</v>
      </c>
      <c r="X5" s="309">
        <v>201.60300000000001</v>
      </c>
      <c r="Y5" s="309">
        <v>298.49299999999999</v>
      </c>
      <c r="Z5" s="309">
        <v>255.35598453728767</v>
      </c>
      <c r="AA5" s="309">
        <v>278.26539868105573</v>
      </c>
      <c r="AB5" s="320">
        <v>241.750857370533</v>
      </c>
      <c r="AC5" s="321">
        <v>300.48997488968678</v>
      </c>
      <c r="AD5" s="312" t="s">
        <v>4</v>
      </c>
    </row>
    <row r="6" spans="1:34" ht="26.4">
      <c r="A6" s="311" t="s">
        <v>5</v>
      </c>
      <c r="B6" s="309">
        <v>257.7</v>
      </c>
      <c r="C6" s="309">
        <v>161.298</v>
      </c>
      <c r="D6" s="309">
        <v>146.95599999999999</v>
      </c>
      <c r="E6" s="309">
        <v>144.511</v>
      </c>
      <c r="F6" s="309">
        <v>194.60599999999999</v>
      </c>
      <c r="G6" s="309">
        <v>174.14599999999999</v>
      </c>
      <c r="H6" s="309">
        <v>174.33</v>
      </c>
      <c r="I6" s="309">
        <v>82.908999999999992</v>
      </c>
      <c r="J6" s="309">
        <v>166.42600000000002</v>
      </c>
      <c r="K6" s="309">
        <v>136.059</v>
      </c>
      <c r="L6" s="309">
        <v>170.7</v>
      </c>
      <c r="M6" s="319"/>
      <c r="N6" s="319"/>
      <c r="O6" s="319"/>
      <c r="P6" s="309">
        <v>211.13500000000002</v>
      </c>
      <c r="Q6" s="309">
        <v>240.96499999999997</v>
      </c>
      <c r="R6" s="309">
        <v>93.95</v>
      </c>
      <c r="S6" s="309">
        <v>258.95600000000002</v>
      </c>
      <c r="T6" s="309">
        <v>202.7</v>
      </c>
      <c r="U6" s="309">
        <v>142.81811171127691</v>
      </c>
      <c r="V6" s="309">
        <v>212.846</v>
      </c>
      <c r="W6" s="309">
        <v>186.1880364057773</v>
      </c>
      <c r="X6" s="309">
        <v>132.595</v>
      </c>
      <c r="Y6" s="309">
        <v>215.351</v>
      </c>
      <c r="Z6" s="309">
        <v>158.50053382399767</v>
      </c>
      <c r="AA6" s="309">
        <v>181.86341844256737</v>
      </c>
      <c r="AB6" s="320">
        <v>143.68996138625499</v>
      </c>
      <c r="AC6" s="321">
        <v>203.64571581668599</v>
      </c>
      <c r="AD6" s="312" t="s">
        <v>6</v>
      </c>
    </row>
    <row r="7" spans="1:34" ht="26.4">
      <c r="A7" s="311" t="s">
        <v>7</v>
      </c>
      <c r="B7" s="309">
        <v>13.4</v>
      </c>
      <c r="C7" s="309">
        <v>17.425000000000001</v>
      </c>
      <c r="D7" s="309">
        <v>21.765000000000001</v>
      </c>
      <c r="E7" s="309">
        <v>25.073</v>
      </c>
      <c r="F7" s="309">
        <v>21.79</v>
      </c>
      <c r="G7" s="309">
        <v>17.983000000000001</v>
      </c>
      <c r="H7" s="309">
        <v>12.992000000000001</v>
      </c>
      <c r="I7" s="309">
        <v>19.361999999999998</v>
      </c>
      <c r="J7" s="309">
        <v>21.077999999999999</v>
      </c>
      <c r="K7" s="309">
        <v>18.154</v>
      </c>
      <c r="L7" s="309">
        <v>18.5</v>
      </c>
      <c r="M7" s="319"/>
      <c r="N7" s="319"/>
      <c r="O7" s="319"/>
      <c r="P7" s="309">
        <v>13.448</v>
      </c>
      <c r="Q7" s="309">
        <v>25.702000000000002</v>
      </c>
      <c r="R7" s="309">
        <v>31.01</v>
      </c>
      <c r="S7" s="309">
        <v>37.000999999999998</v>
      </c>
      <c r="T7" s="309">
        <v>40.9</v>
      </c>
      <c r="U7" s="309">
        <v>56.304000000000002</v>
      </c>
      <c r="V7" s="309">
        <v>44.753</v>
      </c>
      <c r="W7" s="309">
        <v>36.584099999999999</v>
      </c>
      <c r="X7" s="309">
        <v>54.116</v>
      </c>
      <c r="Y7" s="309">
        <v>60.591999999999999</v>
      </c>
      <c r="Z7" s="309">
        <v>72.343999999999994</v>
      </c>
      <c r="AA7" s="309">
        <v>72.165388926000006</v>
      </c>
      <c r="AB7" s="320">
        <v>79.396289999999993</v>
      </c>
      <c r="AC7" s="321">
        <v>72.546660000000003</v>
      </c>
      <c r="AD7" s="312" t="s">
        <v>8</v>
      </c>
    </row>
    <row r="8" spans="1:34" ht="26.4">
      <c r="A8" s="311" t="s">
        <v>9</v>
      </c>
      <c r="B8" s="309" t="s">
        <v>10</v>
      </c>
      <c r="C8" s="309">
        <v>13.487</v>
      </c>
      <c r="D8" s="309">
        <v>13.465</v>
      </c>
      <c r="E8" s="309">
        <v>5.9779999999999998</v>
      </c>
      <c r="F8" s="309">
        <v>6.758</v>
      </c>
      <c r="G8" s="309">
        <v>15.077</v>
      </c>
      <c r="H8" s="309">
        <v>7.2</v>
      </c>
      <c r="I8" s="309">
        <v>6.9470000000000001</v>
      </c>
      <c r="J8" s="309">
        <v>25.084</v>
      </c>
      <c r="K8" s="309">
        <v>0.3</v>
      </c>
      <c r="L8" s="309">
        <v>28.7</v>
      </c>
      <c r="M8" s="319"/>
      <c r="N8" s="319"/>
      <c r="O8" s="319"/>
      <c r="P8" s="309">
        <v>23.096999999999998</v>
      </c>
      <c r="Q8" s="309">
        <v>24.332999999999998</v>
      </c>
      <c r="R8" s="309">
        <v>19.362000000000002</v>
      </c>
      <c r="S8" s="309">
        <v>35.948999999999998</v>
      </c>
      <c r="T8" s="309">
        <v>16.3</v>
      </c>
      <c r="U8" s="309">
        <v>21.898230674368325</v>
      </c>
      <c r="V8" s="309">
        <v>23.334</v>
      </c>
      <c r="W8" s="309">
        <v>21.242718029861273</v>
      </c>
      <c r="X8" s="309">
        <v>14.891999999999999</v>
      </c>
      <c r="Y8" s="309">
        <v>22.55</v>
      </c>
      <c r="Z8" s="309">
        <v>24.511450713290003</v>
      </c>
      <c r="AA8" s="309">
        <v>24.236591312488351</v>
      </c>
      <c r="AB8" s="320">
        <v>18.664605984277799</v>
      </c>
      <c r="AC8" s="321">
        <v>24.2975990730008</v>
      </c>
      <c r="AD8" s="312" t="s">
        <v>11</v>
      </c>
    </row>
    <row r="9" spans="1:34" ht="26.4">
      <c r="A9" s="311" t="s">
        <v>12</v>
      </c>
      <c r="B9" s="309">
        <v>13.65</v>
      </c>
      <c r="C9" s="309">
        <v>37.700000000000003</v>
      </c>
      <c r="D9" s="309">
        <v>39.4</v>
      </c>
      <c r="E9" s="309">
        <v>36.700000000000003</v>
      </c>
      <c r="F9" s="309">
        <v>46.6</v>
      </c>
      <c r="G9" s="309">
        <v>37.700000000000003</v>
      </c>
      <c r="H9" s="309">
        <v>39.5</v>
      </c>
      <c r="I9" s="309">
        <v>25.5</v>
      </c>
      <c r="J9" s="309">
        <v>28.5</v>
      </c>
      <c r="K9" s="309">
        <v>30</v>
      </c>
      <c r="L9" s="309">
        <v>26</v>
      </c>
      <c r="M9" s="319"/>
      <c r="N9" s="319"/>
      <c r="O9" s="319"/>
      <c r="P9" s="309" t="s">
        <v>13</v>
      </c>
      <c r="Q9" s="309" t="s">
        <v>13</v>
      </c>
      <c r="R9" s="309" t="s">
        <v>13</v>
      </c>
      <c r="S9" s="309" t="s">
        <v>13</v>
      </c>
      <c r="T9" s="309" t="s">
        <v>13</v>
      </c>
      <c r="U9" s="309"/>
      <c r="V9" s="309"/>
      <c r="W9" s="309"/>
      <c r="X9" s="309"/>
      <c r="Y9" s="309"/>
      <c r="Z9" s="309"/>
      <c r="AA9" s="309"/>
      <c r="AB9" s="320"/>
      <c r="AC9" s="321"/>
      <c r="AD9" s="312" t="s">
        <v>14</v>
      </c>
    </row>
    <row r="10" spans="1:34" ht="27" thickBot="1">
      <c r="A10" s="313" t="s">
        <v>15</v>
      </c>
      <c r="B10" s="314" t="s">
        <v>10</v>
      </c>
      <c r="C10" s="314">
        <v>5</v>
      </c>
      <c r="D10" s="314">
        <v>4.5</v>
      </c>
      <c r="E10" s="314">
        <v>4.5</v>
      </c>
      <c r="F10" s="314">
        <v>5</v>
      </c>
      <c r="G10" s="314">
        <v>4.5</v>
      </c>
      <c r="H10" s="314">
        <v>8</v>
      </c>
      <c r="I10" s="314">
        <v>8</v>
      </c>
      <c r="J10" s="314" t="s">
        <v>10</v>
      </c>
      <c r="K10" s="314" t="s">
        <v>10</v>
      </c>
      <c r="L10" s="314" t="s">
        <v>10</v>
      </c>
      <c r="M10" s="314"/>
      <c r="N10" s="314"/>
      <c r="O10" s="314"/>
      <c r="P10" s="314" t="s">
        <v>13</v>
      </c>
      <c r="Q10" s="314" t="s">
        <v>13</v>
      </c>
      <c r="R10" s="314" t="s">
        <v>13</v>
      </c>
      <c r="S10" s="314" t="s">
        <v>13</v>
      </c>
      <c r="T10" s="314" t="s">
        <v>13</v>
      </c>
      <c r="U10" s="314"/>
      <c r="V10" s="314"/>
      <c r="W10" s="314"/>
      <c r="X10" s="314"/>
      <c r="Y10" s="314"/>
      <c r="Z10" s="314"/>
      <c r="AA10" s="314"/>
      <c r="AB10" s="314"/>
      <c r="AC10" s="322"/>
      <c r="AD10" s="316" t="s">
        <v>16</v>
      </c>
    </row>
    <row r="12" spans="1:34" ht="14.4" customHeight="1">
      <c r="A12" s="306" t="s">
        <v>17</v>
      </c>
      <c r="B12" s="306"/>
      <c r="C12" s="306"/>
      <c r="D12" s="306"/>
      <c r="E12" s="306"/>
      <c r="F12" s="306"/>
      <c r="G12" s="306"/>
      <c r="AA12" s="830" t="s">
        <v>18</v>
      </c>
      <c r="AB12" s="830"/>
      <c r="AC12" s="830"/>
      <c r="AD12" s="830"/>
      <c r="AE12" s="830"/>
      <c r="AF12" s="830"/>
      <c r="AG12" s="830"/>
      <c r="AH12" s="830"/>
    </row>
    <row r="13" spans="1:34" ht="14.4" customHeight="1">
      <c r="A13" s="306"/>
      <c r="B13" s="306"/>
      <c r="C13" s="306"/>
      <c r="D13" s="306"/>
      <c r="E13" s="306"/>
      <c r="F13" s="306"/>
      <c r="G13" s="306"/>
      <c r="AA13" s="830"/>
      <c r="AB13" s="830"/>
      <c r="AC13" s="830"/>
      <c r="AD13" s="830"/>
      <c r="AE13" s="830"/>
      <c r="AF13" s="830"/>
      <c r="AG13" s="830"/>
      <c r="AH13" s="830"/>
    </row>
    <row r="14" spans="1:34" ht="14.4" customHeight="1">
      <c r="A14" s="306"/>
      <c r="B14" s="306"/>
      <c r="C14" s="306"/>
      <c r="D14" s="306"/>
      <c r="E14" s="306"/>
      <c r="F14" s="306"/>
      <c r="G14" s="306"/>
      <c r="AA14" s="830"/>
      <c r="AB14" s="830"/>
      <c r="AC14" s="830"/>
      <c r="AD14" s="830"/>
      <c r="AE14" s="830"/>
      <c r="AF14" s="830"/>
      <c r="AG14" s="830"/>
      <c r="AH14" s="830"/>
    </row>
    <row r="15" spans="1:34" ht="14.4" customHeight="1">
      <c r="A15" s="306" t="s">
        <v>989</v>
      </c>
      <c r="B15" s="306"/>
      <c r="C15" s="306"/>
      <c r="D15" s="306"/>
      <c r="E15" s="306"/>
      <c r="F15" s="306"/>
      <c r="G15" s="306"/>
      <c r="W15" s="830" t="s">
        <v>19</v>
      </c>
      <c r="X15" s="830"/>
      <c r="Y15" s="830"/>
      <c r="Z15" s="830"/>
      <c r="AA15" s="830"/>
      <c r="AB15" s="830"/>
      <c r="AC15" s="830"/>
      <c r="AD15" s="830"/>
    </row>
    <row r="16" spans="1:34" ht="14.4" customHeight="1">
      <c r="A16" s="306"/>
      <c r="B16" s="306"/>
      <c r="C16" s="306"/>
      <c r="D16" s="306"/>
      <c r="E16" s="306"/>
      <c r="F16" s="306"/>
      <c r="G16" s="306"/>
      <c r="W16" s="830"/>
      <c r="X16" s="830"/>
      <c r="Y16" s="830"/>
      <c r="Z16" s="830"/>
      <c r="AA16" s="830"/>
      <c r="AB16" s="830"/>
      <c r="AC16" s="830"/>
      <c r="AD16" s="830"/>
    </row>
    <row r="17" spans="1:34" ht="15" thickBot="1"/>
    <row r="18" spans="1:34" ht="30.6" thickBot="1">
      <c r="A18" s="302" t="s">
        <v>20</v>
      </c>
      <c r="B18" s="302" t="s">
        <v>959</v>
      </c>
      <c r="C18" s="302" t="s">
        <v>960</v>
      </c>
      <c r="D18" s="302" t="s">
        <v>961</v>
      </c>
      <c r="E18" s="302" t="s">
        <v>970</v>
      </c>
      <c r="F18" s="302" t="s">
        <v>971</v>
      </c>
      <c r="G18" s="302" t="s">
        <v>972</v>
      </c>
      <c r="H18" s="302" t="s">
        <v>973</v>
      </c>
      <c r="I18" s="302" t="s">
        <v>974</v>
      </c>
      <c r="J18" s="302" t="s">
        <v>975</v>
      </c>
      <c r="K18" s="302" t="s">
        <v>976</v>
      </c>
      <c r="L18" s="302" t="s">
        <v>977</v>
      </c>
      <c r="M18" s="302" t="s">
        <v>978</v>
      </c>
      <c r="N18" s="302" t="s">
        <v>979</v>
      </c>
      <c r="O18" s="302" t="s">
        <v>980</v>
      </c>
      <c r="P18" s="302" t="s">
        <v>981</v>
      </c>
      <c r="Q18" s="302" t="s">
        <v>982</v>
      </c>
      <c r="R18" s="302" t="s">
        <v>983</v>
      </c>
      <c r="S18" s="302" t="s">
        <v>984</v>
      </c>
      <c r="T18" s="302" t="s">
        <v>962</v>
      </c>
      <c r="U18" s="302" t="s">
        <v>963</v>
      </c>
      <c r="V18" s="302" t="s">
        <v>964</v>
      </c>
      <c r="W18" s="302" t="s">
        <v>985</v>
      </c>
      <c r="X18" s="302" t="s">
        <v>965</v>
      </c>
      <c r="Y18" s="302" t="s">
        <v>966</v>
      </c>
      <c r="Z18" s="302" t="s">
        <v>967</v>
      </c>
      <c r="AA18" s="302" t="s">
        <v>968</v>
      </c>
      <c r="AB18" s="302" t="s">
        <v>969</v>
      </c>
      <c r="AC18" s="302" t="s">
        <v>991</v>
      </c>
      <c r="AD18" s="302" t="s">
        <v>21</v>
      </c>
    </row>
    <row r="19" spans="1:34" ht="26.4">
      <c r="A19" s="311" t="s">
        <v>22</v>
      </c>
      <c r="B19" s="309">
        <v>166.98</v>
      </c>
      <c r="C19" s="309">
        <v>48.844000000000001</v>
      </c>
      <c r="D19" s="309">
        <v>58.624000000000002</v>
      </c>
      <c r="E19" s="309">
        <v>85.176999999999992</v>
      </c>
      <c r="F19" s="309">
        <v>101.16499999999999</v>
      </c>
      <c r="G19" s="309">
        <v>88.659000000000006</v>
      </c>
      <c r="H19" s="309">
        <v>57.7</v>
      </c>
      <c r="I19" s="309">
        <v>79</v>
      </c>
      <c r="J19" s="309">
        <v>83.8</v>
      </c>
      <c r="K19" s="309">
        <v>20.152000000000001</v>
      </c>
      <c r="L19" s="309">
        <v>97.8</v>
      </c>
      <c r="M19" s="319"/>
      <c r="N19" s="319"/>
      <c r="O19" s="319"/>
      <c r="P19" s="309">
        <v>101689</v>
      </c>
      <c r="Q19" s="309">
        <v>117593</v>
      </c>
      <c r="R19" s="309">
        <v>25231</v>
      </c>
      <c r="S19" s="309">
        <v>129588</v>
      </c>
      <c r="T19" s="309">
        <v>94921</v>
      </c>
      <c r="U19" s="309">
        <v>59022.559740551515</v>
      </c>
      <c r="V19" s="309">
        <v>96049</v>
      </c>
      <c r="W19" s="309">
        <v>81996.593616049271</v>
      </c>
      <c r="X19" s="309">
        <v>50494</v>
      </c>
      <c r="Y19" s="309">
        <v>90187</v>
      </c>
      <c r="Z19" s="309">
        <v>69513.202295355441</v>
      </c>
      <c r="AA19" s="309">
        <v>79302.203675576253</v>
      </c>
      <c r="AB19" s="320">
        <v>51081.654554165463</v>
      </c>
      <c r="AC19" s="321">
        <v>90611.001719175401</v>
      </c>
      <c r="AD19" s="312" t="s">
        <v>6</v>
      </c>
    </row>
    <row r="20" spans="1:34" ht="26.4">
      <c r="A20" s="311" t="s">
        <v>7</v>
      </c>
      <c r="B20" s="309">
        <v>52.8</v>
      </c>
      <c r="C20" s="309">
        <v>66.748000000000005</v>
      </c>
      <c r="D20" s="309">
        <v>80.941999999999993</v>
      </c>
      <c r="E20" s="309">
        <v>101.91800000000001</v>
      </c>
      <c r="F20" s="309">
        <v>86.462999999999994</v>
      </c>
      <c r="G20" s="309">
        <v>76.2</v>
      </c>
      <c r="H20" s="309">
        <v>58.808999999999997</v>
      </c>
      <c r="I20" s="309">
        <v>85.3</v>
      </c>
      <c r="J20" s="309">
        <v>78.998999999999995</v>
      </c>
      <c r="K20" s="309">
        <v>85.533000000000001</v>
      </c>
      <c r="L20" s="309">
        <v>72</v>
      </c>
      <c r="M20" s="319"/>
      <c r="N20" s="319"/>
      <c r="O20" s="319"/>
      <c r="P20" s="309">
        <v>53110</v>
      </c>
      <c r="Q20" s="309">
        <v>134447</v>
      </c>
      <c r="R20" s="309">
        <v>158921.12</v>
      </c>
      <c r="S20" s="309">
        <v>184217</v>
      </c>
      <c r="T20" s="309">
        <v>202547</v>
      </c>
      <c r="U20" s="309">
        <v>293218.25938907685</v>
      </c>
      <c r="V20" s="309">
        <v>223285</v>
      </c>
      <c r="W20" s="309">
        <v>207338.57767883412</v>
      </c>
      <c r="X20" s="309">
        <v>300694</v>
      </c>
      <c r="Y20" s="309">
        <v>322484</v>
      </c>
      <c r="Z20" s="309">
        <v>255434</v>
      </c>
      <c r="AA20" s="309">
        <v>309002.71109004697</v>
      </c>
      <c r="AB20" s="320">
        <v>428400.43599999999</v>
      </c>
      <c r="AC20" s="321">
        <v>355696.06886791001</v>
      </c>
      <c r="AD20" s="312" t="s">
        <v>8</v>
      </c>
    </row>
    <row r="21" spans="1:34" ht="26.4">
      <c r="A21" s="311" t="s">
        <v>23</v>
      </c>
      <c r="B21" s="309" t="s">
        <v>13</v>
      </c>
      <c r="C21" s="309">
        <v>5.8460000000000001</v>
      </c>
      <c r="D21" s="309">
        <v>11.616</v>
      </c>
      <c r="E21" s="309">
        <v>7.0949999999999998</v>
      </c>
      <c r="F21" s="309">
        <v>5.1479999999999997</v>
      </c>
      <c r="G21" s="309">
        <v>13.651</v>
      </c>
      <c r="H21" s="309">
        <v>8.3000000000000007</v>
      </c>
      <c r="I21" s="309">
        <v>3.6</v>
      </c>
      <c r="J21" s="309">
        <v>18.53</v>
      </c>
      <c r="K21" s="309">
        <v>9.109</v>
      </c>
      <c r="L21" s="309">
        <v>23</v>
      </c>
      <c r="M21" s="319"/>
      <c r="N21" s="319"/>
      <c r="O21" s="319"/>
      <c r="P21" s="309">
        <v>15301</v>
      </c>
      <c r="Q21" s="309">
        <v>22323</v>
      </c>
      <c r="R21" s="309">
        <v>14497</v>
      </c>
      <c r="S21" s="309">
        <v>28962</v>
      </c>
      <c r="T21" s="309">
        <v>12927</v>
      </c>
      <c r="U21" s="309">
        <v>19617.362371321819</v>
      </c>
      <c r="V21" s="309">
        <v>22419</v>
      </c>
      <c r="W21" s="309">
        <v>17112.965257643831</v>
      </c>
      <c r="X21" s="309">
        <v>10964</v>
      </c>
      <c r="Y21" s="309">
        <v>16111</v>
      </c>
      <c r="Z21" s="309">
        <v>17231.783367032964</v>
      </c>
      <c r="AA21" s="309">
        <v>16764.831101677566</v>
      </c>
      <c r="AB21" s="320">
        <v>11912.895192673241</v>
      </c>
      <c r="AC21" s="321"/>
      <c r="AD21" s="312" t="s">
        <v>11</v>
      </c>
    </row>
    <row r="22" spans="1:34" ht="26.4">
      <c r="A22" s="311" t="s">
        <v>12</v>
      </c>
      <c r="B22" s="309">
        <v>41.93</v>
      </c>
      <c r="C22" s="309">
        <v>56.5</v>
      </c>
      <c r="D22" s="309">
        <v>62.6</v>
      </c>
      <c r="E22" s="309">
        <v>61.8</v>
      </c>
      <c r="F22" s="309">
        <v>70</v>
      </c>
      <c r="G22" s="309">
        <v>68.099999999999994</v>
      </c>
      <c r="H22" s="309">
        <v>53</v>
      </c>
      <c r="I22" s="309">
        <v>52.5</v>
      </c>
      <c r="J22" s="309">
        <v>55</v>
      </c>
      <c r="K22" s="309">
        <v>47.5</v>
      </c>
      <c r="L22" s="309">
        <v>52.6</v>
      </c>
      <c r="M22" s="319"/>
      <c r="N22" s="319"/>
      <c r="O22" s="319"/>
      <c r="P22" s="309" t="s">
        <v>13</v>
      </c>
      <c r="Q22" s="309" t="s">
        <v>13</v>
      </c>
      <c r="R22" s="309" t="s">
        <v>13</v>
      </c>
      <c r="S22" s="309" t="s">
        <v>13</v>
      </c>
      <c r="T22" s="309" t="s">
        <v>13</v>
      </c>
      <c r="U22" s="309" t="s">
        <v>13</v>
      </c>
      <c r="V22" s="309" t="s">
        <v>13</v>
      </c>
      <c r="W22" s="309"/>
      <c r="X22" s="309"/>
      <c r="Y22" s="309"/>
      <c r="Z22" s="309"/>
      <c r="AA22" s="309"/>
      <c r="AB22" s="320"/>
      <c r="AC22" s="321"/>
      <c r="AD22" s="312" t="s">
        <v>14</v>
      </c>
    </row>
    <row r="23" spans="1:34" ht="26.4">
      <c r="A23" s="311" t="s">
        <v>15</v>
      </c>
      <c r="B23" s="309">
        <v>20.100000000000001</v>
      </c>
      <c r="C23" s="309">
        <v>20</v>
      </c>
      <c r="D23" s="309">
        <v>18</v>
      </c>
      <c r="E23" s="309">
        <v>18</v>
      </c>
      <c r="F23" s="309">
        <v>20</v>
      </c>
      <c r="G23" s="309">
        <v>18</v>
      </c>
      <c r="H23" s="309">
        <v>22</v>
      </c>
      <c r="I23" s="309">
        <v>22</v>
      </c>
      <c r="J23" s="309">
        <v>22</v>
      </c>
      <c r="K23" s="309">
        <v>20</v>
      </c>
      <c r="L23" s="309">
        <v>8</v>
      </c>
      <c r="M23" s="319"/>
      <c r="N23" s="319"/>
      <c r="O23" s="319"/>
      <c r="P23" s="309" t="s">
        <v>13</v>
      </c>
      <c r="Q23" s="309" t="s">
        <v>13</v>
      </c>
      <c r="R23" s="309" t="s">
        <v>13</v>
      </c>
      <c r="S23" s="309" t="s">
        <v>13</v>
      </c>
      <c r="T23" s="309" t="s">
        <v>13</v>
      </c>
      <c r="U23" s="309" t="s">
        <v>13</v>
      </c>
      <c r="V23" s="309" t="s">
        <v>13</v>
      </c>
      <c r="W23" s="309"/>
      <c r="X23" s="309"/>
      <c r="Y23" s="309"/>
      <c r="Z23" s="309"/>
      <c r="AA23" s="309"/>
      <c r="AB23" s="320"/>
      <c r="AC23" s="321"/>
      <c r="AD23" s="312" t="s">
        <v>16</v>
      </c>
    </row>
    <row r="24" spans="1:34" ht="27" thickBot="1">
      <c r="A24" s="313" t="s">
        <v>24</v>
      </c>
      <c r="B24" s="314">
        <v>281.81</v>
      </c>
      <c r="C24" s="314">
        <v>197.93800000000002</v>
      </c>
      <c r="D24" s="314">
        <v>231.78200000000001</v>
      </c>
      <c r="E24" s="314">
        <v>273.99</v>
      </c>
      <c r="F24" s="314">
        <v>282.77599999999995</v>
      </c>
      <c r="G24" s="314">
        <v>264.61</v>
      </c>
      <c r="H24" s="314">
        <v>199.809</v>
      </c>
      <c r="I24" s="314">
        <v>242.4</v>
      </c>
      <c r="J24" s="314">
        <v>258.32899999999995</v>
      </c>
      <c r="K24" s="314">
        <v>182.29399999999998</v>
      </c>
      <c r="L24" s="314">
        <v>253.4</v>
      </c>
      <c r="M24" s="314"/>
      <c r="N24" s="314"/>
      <c r="O24" s="314"/>
      <c r="P24" s="314">
        <v>170100</v>
      </c>
      <c r="Q24" s="314">
        <v>274363</v>
      </c>
      <c r="R24" s="314">
        <v>198649.12</v>
      </c>
      <c r="S24" s="314">
        <v>342767</v>
      </c>
      <c r="T24" s="314">
        <v>310395</v>
      </c>
      <c r="U24" s="314">
        <v>371858.18150095019</v>
      </c>
      <c r="V24" s="314">
        <v>341753</v>
      </c>
      <c r="W24" s="314">
        <v>306448.1365525272</v>
      </c>
      <c r="X24" s="314">
        <v>362152</v>
      </c>
      <c r="Y24" s="314">
        <v>428782</v>
      </c>
      <c r="Z24" s="314">
        <v>342178.98566238838</v>
      </c>
      <c r="AA24" s="314">
        <v>405069.74586730078</v>
      </c>
      <c r="AB24" s="314">
        <v>491394.98574683868</v>
      </c>
      <c r="AC24" s="322"/>
      <c r="AD24" s="316" t="s">
        <v>4</v>
      </c>
    </row>
    <row r="26" spans="1:34" ht="26.4">
      <c r="A26" s="773" t="s">
        <v>1595</v>
      </c>
      <c r="AD26" s="306" t="s">
        <v>25</v>
      </c>
    </row>
    <row r="27" spans="1:34" ht="14.4" customHeight="1">
      <c r="A27" s="265"/>
      <c r="B27" s="306"/>
      <c r="C27" s="306"/>
      <c r="D27" s="306"/>
      <c r="E27" s="306"/>
      <c r="F27" s="306"/>
      <c r="G27" s="306"/>
      <c r="AB27" s="306"/>
      <c r="AC27" s="306"/>
      <c r="AD27" s="306"/>
      <c r="AE27" s="306"/>
      <c r="AF27" s="306"/>
      <c r="AG27" s="306"/>
      <c r="AH27" s="306"/>
    </row>
    <row r="28" spans="1:34" ht="14.4" customHeight="1">
      <c r="A28" s="306"/>
      <c r="B28" s="306"/>
      <c r="C28" s="306"/>
      <c r="D28" s="306"/>
      <c r="E28" s="306"/>
      <c r="F28" s="306"/>
      <c r="G28" s="306"/>
      <c r="AA28" s="306"/>
      <c r="AB28" s="306"/>
      <c r="AC28" s="306"/>
      <c r="AD28" s="306"/>
      <c r="AE28" s="306"/>
      <c r="AF28" s="306"/>
      <c r="AG28" s="306"/>
      <c r="AH28" s="306"/>
    </row>
    <row r="31" spans="1:34" ht="14.4" customHeight="1">
      <c r="A31" s="303" t="s">
        <v>990</v>
      </c>
      <c r="B31" s="265"/>
      <c r="C31" s="265"/>
      <c r="D31" s="265"/>
      <c r="E31" s="265"/>
      <c r="F31" s="265"/>
      <c r="G31" s="265"/>
      <c r="AA31" s="265" t="s">
        <v>26</v>
      </c>
      <c r="AB31" s="265"/>
      <c r="AC31" s="265"/>
      <c r="AD31" s="265"/>
      <c r="AE31" s="265"/>
      <c r="AF31" s="265"/>
      <c r="AG31" s="265"/>
      <c r="AH31" s="265"/>
    </row>
    <row r="32" spans="1:34" ht="14.4" customHeight="1" thickBot="1">
      <c r="A32" s="265"/>
      <c r="B32" s="265"/>
      <c r="C32" s="265"/>
      <c r="D32" s="265"/>
      <c r="E32" s="265"/>
      <c r="F32" s="265"/>
      <c r="G32" s="265"/>
      <c r="AA32" s="265"/>
      <c r="AB32" s="265"/>
      <c r="AC32" s="265"/>
      <c r="AD32" s="265"/>
      <c r="AE32" s="265"/>
      <c r="AF32" s="265"/>
      <c r="AG32" s="265"/>
      <c r="AH32" s="265"/>
    </row>
    <row r="33" spans="1:63" ht="42.6" customHeight="1" thickBot="1">
      <c r="A33" s="302" t="s">
        <v>20</v>
      </c>
      <c r="B33" s="302" t="s">
        <v>959</v>
      </c>
      <c r="C33" s="302" t="s">
        <v>960</v>
      </c>
      <c r="D33" s="302" t="s">
        <v>961</v>
      </c>
      <c r="E33" s="302" t="s">
        <v>970</v>
      </c>
      <c r="F33" s="302" t="s">
        <v>971</v>
      </c>
      <c r="G33" s="302" t="s">
        <v>972</v>
      </c>
      <c r="H33" s="302" t="s">
        <v>973</v>
      </c>
      <c r="I33" s="302" t="s">
        <v>974</v>
      </c>
      <c r="J33" s="302" t="s">
        <v>975</v>
      </c>
      <c r="K33" s="302" t="s">
        <v>976</v>
      </c>
      <c r="L33" s="302" t="s">
        <v>977</v>
      </c>
      <c r="M33" s="302" t="s">
        <v>978</v>
      </c>
      <c r="N33" s="302" t="s">
        <v>979</v>
      </c>
      <c r="O33" s="302" t="s">
        <v>980</v>
      </c>
      <c r="P33" s="302" t="s">
        <v>981</v>
      </c>
      <c r="Q33" s="302" t="s">
        <v>982</v>
      </c>
      <c r="R33" s="302" t="s">
        <v>983</v>
      </c>
      <c r="S33" s="302" t="s">
        <v>984</v>
      </c>
      <c r="T33" s="302" t="s">
        <v>962</v>
      </c>
      <c r="U33" s="302" t="s">
        <v>963</v>
      </c>
      <c r="V33" s="302" t="s">
        <v>964</v>
      </c>
      <c r="W33" s="302" t="s">
        <v>985</v>
      </c>
      <c r="X33" s="302" t="s">
        <v>965</v>
      </c>
      <c r="Y33" s="302" t="s">
        <v>966</v>
      </c>
      <c r="Z33" s="302" t="s">
        <v>967</v>
      </c>
      <c r="AA33" s="302" t="s">
        <v>968</v>
      </c>
      <c r="AB33" s="302" t="s">
        <v>969</v>
      </c>
      <c r="AC33" s="302" t="s">
        <v>991</v>
      </c>
      <c r="AD33" s="302" t="s">
        <v>21</v>
      </c>
      <c r="AE33" s="265"/>
      <c r="AF33" s="265"/>
      <c r="AG33" s="265"/>
      <c r="AH33" s="265"/>
      <c r="AI33" s="265"/>
      <c r="AJ33" s="265"/>
      <c r="AK33" s="265"/>
      <c r="BE33" s="265"/>
      <c r="BF33" s="265"/>
      <c r="BG33" s="265"/>
      <c r="BH33" s="265"/>
      <c r="BI33" s="265"/>
      <c r="BJ33" s="265"/>
      <c r="BK33" s="265"/>
    </row>
    <row r="34" spans="1:63" ht="26.4">
      <c r="A34" s="311" t="s">
        <v>27</v>
      </c>
      <c r="B34" s="309">
        <v>600</v>
      </c>
      <c r="C34" s="309">
        <v>600</v>
      </c>
      <c r="D34" s="309">
        <v>700</v>
      </c>
      <c r="E34" s="309">
        <v>817</v>
      </c>
      <c r="F34" s="309">
        <v>600</v>
      </c>
      <c r="G34" s="309">
        <v>900</v>
      </c>
      <c r="H34" s="309">
        <v>2237</v>
      </c>
      <c r="I34" s="309">
        <v>731</v>
      </c>
      <c r="J34" s="309">
        <v>717</v>
      </c>
      <c r="K34" s="309">
        <v>300</v>
      </c>
      <c r="L34" s="309">
        <v>800</v>
      </c>
      <c r="M34" s="309"/>
      <c r="N34" s="309"/>
      <c r="O34" s="309"/>
      <c r="P34" s="309">
        <v>86435</v>
      </c>
      <c r="Q34" s="309">
        <v>99954</v>
      </c>
      <c r="R34" s="309">
        <v>21446</v>
      </c>
      <c r="S34" s="309">
        <v>110149</v>
      </c>
      <c r="T34" s="309">
        <v>80682.849999999991</v>
      </c>
      <c r="U34" s="309">
        <v>50169.175779468787</v>
      </c>
      <c r="V34" s="309">
        <v>82320</v>
      </c>
      <c r="W34" s="309">
        <v>69697.104573641875</v>
      </c>
      <c r="X34" s="309">
        <v>42919.9</v>
      </c>
      <c r="Y34" s="309">
        <v>76658.95</v>
      </c>
      <c r="Z34" s="309">
        <v>59086.221951052124</v>
      </c>
      <c r="AA34" s="309">
        <v>67406.873124239806</v>
      </c>
      <c r="AB34" s="309">
        <v>96861.715414268707</v>
      </c>
      <c r="AC34" s="323"/>
      <c r="AD34" s="312" t="s">
        <v>6</v>
      </c>
    </row>
    <row r="35" spans="1:63" ht="26.4">
      <c r="A35" s="311" t="s">
        <v>9</v>
      </c>
      <c r="B35" s="309">
        <v>3598</v>
      </c>
      <c r="C35" s="309">
        <v>4969</v>
      </c>
      <c r="D35" s="309">
        <v>9874</v>
      </c>
      <c r="E35" s="309">
        <v>7095</v>
      </c>
      <c r="F35" s="309">
        <v>4376</v>
      </c>
      <c r="G35" s="309">
        <v>11603</v>
      </c>
      <c r="H35" s="309">
        <v>2102</v>
      </c>
      <c r="I35" s="309">
        <v>2869</v>
      </c>
      <c r="J35" s="309">
        <v>15810</v>
      </c>
      <c r="K35" s="309">
        <v>7318</v>
      </c>
      <c r="L35" s="309">
        <v>12234</v>
      </c>
      <c r="M35" s="309"/>
      <c r="N35" s="309"/>
      <c r="O35" s="309"/>
      <c r="P35" s="309">
        <v>13005</v>
      </c>
      <c r="Q35" s="309">
        <v>18916</v>
      </c>
      <c r="R35" s="309">
        <v>12755</v>
      </c>
      <c r="S35" s="309">
        <v>25227</v>
      </c>
      <c r="T35" s="309">
        <v>10987.949999999999</v>
      </c>
      <c r="U35" s="309">
        <v>17380.041834773248</v>
      </c>
      <c r="V35" s="309">
        <v>17146</v>
      </c>
      <c r="W35" s="309">
        <v>176237.79102700899</v>
      </c>
      <c r="X35" s="309">
        <v>255589.9</v>
      </c>
      <c r="Y35" s="309">
        <v>274111.39999999997</v>
      </c>
      <c r="Z35" s="309">
        <v>217118.9</v>
      </c>
      <c r="AA35" s="309">
        <v>262652.30442653992</v>
      </c>
      <c r="AB35" s="309">
        <v>13775.983958416447</v>
      </c>
      <c r="AC35" s="323"/>
      <c r="AD35" s="312" t="s">
        <v>11</v>
      </c>
    </row>
    <row r="36" spans="1:63" ht="26.4">
      <c r="A36" s="311" t="s">
        <v>28</v>
      </c>
      <c r="B36" s="309">
        <v>31691</v>
      </c>
      <c r="C36" s="309">
        <v>40049</v>
      </c>
      <c r="D36" s="309">
        <v>48565</v>
      </c>
      <c r="E36" s="309">
        <v>61151</v>
      </c>
      <c r="F36" s="309">
        <v>51878</v>
      </c>
      <c r="G36" s="309">
        <v>45720</v>
      </c>
      <c r="H36" s="309">
        <v>35285</v>
      </c>
      <c r="I36" s="309">
        <v>51163</v>
      </c>
      <c r="J36" s="309">
        <v>45600</v>
      </c>
      <c r="K36" s="309">
        <v>51320</v>
      </c>
      <c r="L36" s="309">
        <v>57328</v>
      </c>
      <c r="M36" s="309"/>
      <c r="N36" s="309"/>
      <c r="O36" s="309"/>
      <c r="P36" s="309">
        <v>31866</v>
      </c>
      <c r="Q36" s="309">
        <v>80668.2</v>
      </c>
      <c r="R36" s="309">
        <v>95352</v>
      </c>
      <c r="S36" s="309">
        <v>103935</v>
      </c>
      <c r="T36" s="309">
        <v>121528.2</v>
      </c>
      <c r="U36" s="309">
        <v>160097.16962643596</v>
      </c>
      <c r="V36" s="309">
        <v>116216</v>
      </c>
      <c r="W36" s="309">
        <v>10267.779154586298</v>
      </c>
      <c r="X36" s="309">
        <v>6578.4</v>
      </c>
      <c r="Y36" s="309">
        <v>9666.6</v>
      </c>
      <c r="Z36" s="309">
        <v>10339.070020219779</v>
      </c>
      <c r="AA36" s="309">
        <v>10058.898661006539</v>
      </c>
      <c r="AB36" s="309">
        <v>379034.84582599998</v>
      </c>
      <c r="AC36" s="323"/>
      <c r="AD36" s="312" t="s">
        <v>8</v>
      </c>
    </row>
    <row r="37" spans="1:63" ht="26.4">
      <c r="A37" s="311" t="s">
        <v>29</v>
      </c>
      <c r="B37" s="309">
        <v>21495</v>
      </c>
      <c r="C37" s="309">
        <v>21495</v>
      </c>
      <c r="D37" s="309">
        <v>21495</v>
      </c>
      <c r="E37" s="309">
        <v>7041</v>
      </c>
      <c r="F37" s="309">
        <v>7041</v>
      </c>
      <c r="G37" s="309">
        <v>9905</v>
      </c>
      <c r="H37" s="309">
        <v>6438</v>
      </c>
      <c r="I37" s="309">
        <v>7646</v>
      </c>
      <c r="J37" s="309">
        <v>7646</v>
      </c>
      <c r="K37" s="309">
        <v>5000</v>
      </c>
      <c r="L37" s="309">
        <v>8000</v>
      </c>
      <c r="M37" s="309"/>
      <c r="N37" s="309"/>
      <c r="O37" s="309"/>
      <c r="P37" s="309" t="s">
        <v>13</v>
      </c>
      <c r="Q37" s="309" t="s">
        <v>13</v>
      </c>
      <c r="R37" s="309" t="s">
        <v>13</v>
      </c>
      <c r="S37" s="309"/>
      <c r="T37" s="309"/>
      <c r="U37" s="309"/>
      <c r="V37" s="309"/>
      <c r="W37" s="309" t="s">
        <v>13</v>
      </c>
      <c r="X37" s="309" t="s">
        <v>13</v>
      </c>
      <c r="Y37" s="309" t="s">
        <v>13</v>
      </c>
      <c r="Z37" s="309"/>
      <c r="AA37" s="309"/>
      <c r="AB37" s="324"/>
      <c r="AC37" s="324"/>
      <c r="AD37" s="312" t="s">
        <v>30</v>
      </c>
    </row>
    <row r="38" spans="1:63" ht="26.4">
      <c r="A38" s="311"/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  <c r="AA38" s="309"/>
      <c r="AB38" s="309"/>
      <c r="AC38" s="323"/>
      <c r="AD38" s="312"/>
    </row>
    <row r="39" spans="1:63" ht="27" thickBot="1">
      <c r="A39" s="313" t="s">
        <v>24</v>
      </c>
      <c r="B39" s="314">
        <f>SUM(B34:B38)</f>
        <v>57384</v>
      </c>
      <c r="C39" s="314">
        <f t="shared" ref="C39:AB39" si="0">SUM(C34:C38)</f>
        <v>67113</v>
      </c>
      <c r="D39" s="314">
        <f t="shared" si="0"/>
        <v>80634</v>
      </c>
      <c r="E39" s="314">
        <f t="shared" si="0"/>
        <v>76104</v>
      </c>
      <c r="F39" s="314">
        <f t="shared" si="0"/>
        <v>63895</v>
      </c>
      <c r="G39" s="314">
        <f t="shared" si="0"/>
        <v>68128</v>
      </c>
      <c r="H39" s="314">
        <f t="shared" si="0"/>
        <v>46062</v>
      </c>
      <c r="I39" s="314">
        <f t="shared" si="0"/>
        <v>62409</v>
      </c>
      <c r="J39" s="314">
        <f t="shared" si="0"/>
        <v>69773</v>
      </c>
      <c r="K39" s="314">
        <f t="shared" si="0"/>
        <v>63938</v>
      </c>
      <c r="L39" s="314">
        <f t="shared" si="0"/>
        <v>78362</v>
      </c>
      <c r="M39" s="314"/>
      <c r="N39" s="314"/>
      <c r="O39" s="314"/>
      <c r="P39" s="314">
        <f t="shared" si="0"/>
        <v>131306</v>
      </c>
      <c r="Q39" s="314">
        <f t="shared" si="0"/>
        <v>199538.2</v>
      </c>
      <c r="R39" s="314">
        <f t="shared" si="0"/>
        <v>129553</v>
      </c>
      <c r="S39" s="314">
        <f t="shared" si="0"/>
        <v>239311</v>
      </c>
      <c r="T39" s="314">
        <f t="shared" si="0"/>
        <v>213199</v>
      </c>
      <c r="U39" s="314">
        <f t="shared" si="0"/>
        <v>227646.38724067801</v>
      </c>
      <c r="V39" s="314">
        <f t="shared" si="0"/>
        <v>215682</v>
      </c>
      <c r="W39" s="314">
        <f t="shared" si="0"/>
        <v>256202.67475523715</v>
      </c>
      <c r="X39" s="314">
        <f t="shared" si="0"/>
        <v>305088.2</v>
      </c>
      <c r="Y39" s="314">
        <f t="shared" si="0"/>
        <v>360436.94999999995</v>
      </c>
      <c r="Z39" s="314">
        <f t="shared" si="0"/>
        <v>286544.19197127188</v>
      </c>
      <c r="AA39" s="314">
        <f t="shared" si="0"/>
        <v>340118.07621178625</v>
      </c>
      <c r="AB39" s="314">
        <f t="shared" si="0"/>
        <v>489672.54519868514</v>
      </c>
      <c r="AC39" s="322"/>
      <c r="AD39" s="316" t="s">
        <v>4</v>
      </c>
    </row>
    <row r="41" spans="1:63" ht="14.4" customHeight="1">
      <c r="A41" s="306" t="s">
        <v>1594</v>
      </c>
      <c r="B41" s="306"/>
      <c r="C41" s="306"/>
      <c r="D41" s="306"/>
      <c r="E41" s="306"/>
      <c r="F41" s="306"/>
      <c r="G41" s="306"/>
      <c r="AD41" s="830" t="s">
        <v>25</v>
      </c>
      <c r="AE41" s="830"/>
      <c r="AF41" s="830"/>
      <c r="AG41" s="830"/>
      <c r="AH41" s="830"/>
      <c r="AI41" s="830"/>
      <c r="AJ41" s="830"/>
    </row>
    <row r="42" spans="1:63" ht="14.4" customHeight="1">
      <c r="A42" s="306"/>
      <c r="B42" s="306"/>
      <c r="C42" s="306"/>
      <c r="D42" s="306"/>
      <c r="E42" s="306"/>
      <c r="F42" s="306"/>
      <c r="G42" s="306"/>
      <c r="AD42" s="830"/>
      <c r="AE42" s="830"/>
      <c r="AF42" s="830"/>
      <c r="AG42" s="830"/>
      <c r="AH42" s="830"/>
      <c r="AI42" s="830"/>
      <c r="AJ42" s="830"/>
    </row>
    <row r="45" spans="1:63">
      <c r="AB45">
        <v>489672.54519868514</v>
      </c>
    </row>
  </sheetData>
  <mergeCells count="4">
    <mergeCell ref="AD41:AJ42"/>
    <mergeCell ref="Z2:AG3"/>
    <mergeCell ref="AA12:AH14"/>
    <mergeCell ref="W15:AD16"/>
  </mergeCells>
  <phoneticPr fontId="67" type="noConversion"/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2:AE13"/>
  <sheetViews>
    <sheetView zoomScale="81" workbookViewId="0">
      <selection activeCell="AH8" sqref="AH8"/>
    </sheetView>
  </sheetViews>
  <sheetFormatPr baseColWidth="10" defaultRowHeight="14.4"/>
  <cols>
    <col min="1" max="1" width="41.44140625" customWidth="1"/>
    <col min="2" max="9" width="11.6640625" bestFit="1" customWidth="1"/>
    <col min="10" max="17" width="12.77734375" bestFit="1" customWidth="1"/>
    <col min="18" max="18" width="14.5546875" customWidth="1"/>
    <col min="19" max="19" width="14.88671875" customWidth="1"/>
    <col min="20" max="20" width="14.44140625" customWidth="1"/>
    <col min="21" max="21" width="14.33203125" customWidth="1"/>
    <col min="22" max="22" width="15.6640625" customWidth="1"/>
    <col min="23" max="23" width="13.88671875" customWidth="1"/>
    <col min="24" max="24" width="12.77734375" bestFit="1" customWidth="1"/>
    <col min="25" max="28" width="14.21875" bestFit="1" customWidth="1"/>
    <col min="31" max="31" width="24.33203125" customWidth="1"/>
  </cols>
  <sheetData>
    <row r="2" spans="1:31" ht="2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</row>
    <row r="3" spans="1:31" ht="27">
      <c r="A3" s="34" t="s">
        <v>607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5" t="s">
        <v>608</v>
      </c>
    </row>
    <row r="4" spans="1:31" ht="27">
      <c r="A4" s="36" t="s">
        <v>609</v>
      </c>
      <c r="B4" s="36">
        <v>1995</v>
      </c>
      <c r="C4" s="36">
        <v>1996</v>
      </c>
      <c r="D4" s="36">
        <v>1997</v>
      </c>
      <c r="E4" s="36">
        <v>1998</v>
      </c>
      <c r="F4" s="36">
        <v>1999</v>
      </c>
      <c r="G4" s="36">
        <v>2000</v>
      </c>
      <c r="H4" s="36">
        <v>2001</v>
      </c>
      <c r="I4" s="36">
        <v>2002</v>
      </c>
      <c r="J4" s="36">
        <v>2003</v>
      </c>
      <c r="K4" s="36">
        <v>2004</v>
      </c>
      <c r="L4" s="36">
        <v>2005</v>
      </c>
      <c r="M4" s="36">
        <v>2006</v>
      </c>
      <c r="N4" s="36">
        <v>2007</v>
      </c>
      <c r="O4" s="36">
        <v>2008</v>
      </c>
      <c r="P4" s="36">
        <v>2009</v>
      </c>
      <c r="Q4" s="36">
        <v>2010</v>
      </c>
      <c r="R4" s="37">
        <v>2011</v>
      </c>
      <c r="S4" s="37">
        <v>2012</v>
      </c>
      <c r="T4" s="37">
        <v>2013</v>
      </c>
      <c r="U4" s="37">
        <v>2014</v>
      </c>
      <c r="V4" s="38">
        <v>2015</v>
      </c>
      <c r="W4" s="39">
        <v>2016</v>
      </c>
      <c r="X4" s="39">
        <v>2017</v>
      </c>
      <c r="Y4" s="39">
        <v>2018</v>
      </c>
      <c r="Z4" s="39">
        <v>2019</v>
      </c>
      <c r="AA4" s="40">
        <v>2020</v>
      </c>
      <c r="AB4" s="39">
        <v>2021</v>
      </c>
      <c r="AC4" s="41">
        <v>2022</v>
      </c>
      <c r="AD4" s="39">
        <v>2023</v>
      </c>
      <c r="AE4" s="42" t="s">
        <v>610</v>
      </c>
    </row>
    <row r="5" spans="1:31" ht="27">
      <c r="A5" s="43" t="s">
        <v>611</v>
      </c>
      <c r="B5" s="291">
        <v>34542.497034</v>
      </c>
      <c r="C5" s="291">
        <v>51076.510716999997</v>
      </c>
      <c r="D5" s="291">
        <v>53937.511476000007</v>
      </c>
      <c r="E5" s="291">
        <v>70249.039946000004</v>
      </c>
      <c r="F5" s="291">
        <v>68994.676798</v>
      </c>
      <c r="G5" s="291">
        <v>84528.509680999981</v>
      </c>
      <c r="H5" s="291">
        <v>95624.851888999998</v>
      </c>
      <c r="I5" s="291">
        <v>96871.864727999986</v>
      </c>
      <c r="J5" s="291">
        <v>101840.28734299997</v>
      </c>
      <c r="K5" s="291">
        <v>346265.81481600006</v>
      </c>
      <c r="L5" s="291">
        <v>356729.85031900002</v>
      </c>
      <c r="M5" s="291">
        <v>292385.25881199999</v>
      </c>
      <c r="N5" s="291">
        <v>369791.98843000003</v>
      </c>
      <c r="O5" s="291">
        <v>395102.60832300002</v>
      </c>
      <c r="P5" s="291">
        <v>350661.64320200001</v>
      </c>
      <c r="Q5" s="291">
        <v>474099.33780900005</v>
      </c>
      <c r="R5" s="292">
        <f>SUM(R6:R12)</f>
        <v>57083.214222399867</v>
      </c>
      <c r="S5" s="292">
        <f t="shared" ref="S5:AB5" si="0">SUM(S6:S12)</f>
        <v>75031.685249599963</v>
      </c>
      <c r="T5" s="292">
        <f t="shared" si="0"/>
        <v>78692.756836500004</v>
      </c>
      <c r="U5" s="292">
        <f t="shared" si="0"/>
        <v>78811.793316700103</v>
      </c>
      <c r="V5" s="292">
        <f t="shared" si="0"/>
        <v>63982.049837500112</v>
      </c>
      <c r="W5" s="292">
        <f t="shared" si="0"/>
        <v>62746.083256701269</v>
      </c>
      <c r="X5" s="292">
        <f t="shared" si="0"/>
        <v>81290.197328686001</v>
      </c>
      <c r="Y5" s="292">
        <f t="shared" si="0"/>
        <v>107108.96271551981</v>
      </c>
      <c r="Z5" s="292">
        <f t="shared" si="0"/>
        <v>105873.03941299993</v>
      </c>
      <c r="AA5" s="292">
        <f t="shared" si="0"/>
        <v>103562.3252687702</v>
      </c>
      <c r="AB5" s="292">
        <f t="shared" si="0"/>
        <v>131675.55154792083</v>
      </c>
      <c r="AC5" s="292">
        <v>181259.7</v>
      </c>
      <c r="AD5" s="292">
        <v>172133.2</v>
      </c>
      <c r="AE5" s="44" t="s">
        <v>612</v>
      </c>
    </row>
    <row r="6" spans="1:31" ht="27">
      <c r="A6" s="45" t="s">
        <v>613</v>
      </c>
      <c r="B6" s="293">
        <v>5375.7862269999996</v>
      </c>
      <c r="C6" s="293">
        <v>8885.9515179999999</v>
      </c>
      <c r="D6" s="293">
        <v>8400.8508980000006</v>
      </c>
      <c r="E6" s="293">
        <v>9788.8722510000007</v>
      </c>
      <c r="F6" s="293">
        <v>11260.871921</v>
      </c>
      <c r="G6" s="293">
        <v>19669.428188000002</v>
      </c>
      <c r="H6" s="293">
        <v>22894.983488999998</v>
      </c>
      <c r="I6" s="293">
        <v>21415.240384000001</v>
      </c>
      <c r="J6" s="293">
        <v>16725.374588999999</v>
      </c>
      <c r="K6" s="293">
        <v>21926.065827999999</v>
      </c>
      <c r="L6" s="293">
        <v>35938.496265000002</v>
      </c>
      <c r="M6" s="293">
        <v>77825.280952000001</v>
      </c>
      <c r="N6" s="293">
        <v>113299.50609900001</v>
      </c>
      <c r="O6" s="293">
        <v>138549.162511</v>
      </c>
      <c r="P6" s="293">
        <v>70855.472183999998</v>
      </c>
      <c r="Q6" s="293">
        <v>125955.58497700001</v>
      </c>
      <c r="R6" s="292">
        <v>16907.698976299991</v>
      </c>
      <c r="S6" s="292">
        <v>19657.842794000007</v>
      </c>
      <c r="T6" s="292">
        <v>20181.040090799979</v>
      </c>
      <c r="U6" s="292">
        <v>19817.62895490001</v>
      </c>
      <c r="V6" s="294">
        <v>13744.999900500037</v>
      </c>
      <c r="W6" s="294">
        <v>14638.284785999986</v>
      </c>
      <c r="X6" s="292">
        <v>24030.103648399985</v>
      </c>
      <c r="Y6" s="292">
        <v>37079.078698730002</v>
      </c>
      <c r="Z6" s="292">
        <v>35050.798853039996</v>
      </c>
      <c r="AA6" s="292">
        <v>29602.380500860003</v>
      </c>
      <c r="AB6" s="292">
        <v>36235.955099179984</v>
      </c>
      <c r="AC6" s="292">
        <v>71686</v>
      </c>
      <c r="AD6" s="292">
        <v>62195.9</v>
      </c>
      <c r="AE6" s="46" t="s">
        <v>614</v>
      </c>
    </row>
    <row r="7" spans="1:31" ht="27">
      <c r="A7" s="43" t="s">
        <v>231</v>
      </c>
      <c r="B7" s="291">
        <v>7011.2008820000001</v>
      </c>
      <c r="C7" s="291">
        <v>15239.094317999999</v>
      </c>
      <c r="D7" s="291">
        <v>19236.489291000002</v>
      </c>
      <c r="E7" s="291">
        <v>24305.932653</v>
      </c>
      <c r="F7" s="291">
        <v>23706.78585</v>
      </c>
      <c r="G7" s="291">
        <v>18770.951233</v>
      </c>
      <c r="H7" s="291">
        <v>16409.291569000001</v>
      </c>
      <c r="I7" s="291">
        <v>19795.259236000002</v>
      </c>
      <c r="J7" s="291">
        <v>22568.741375000001</v>
      </c>
      <c r="K7" s="291">
        <v>33766.483162999997</v>
      </c>
      <c r="L7" s="291">
        <v>32329.30386</v>
      </c>
      <c r="M7" s="291">
        <v>64963.037708000003</v>
      </c>
      <c r="N7" s="291">
        <v>84015.014402999994</v>
      </c>
      <c r="O7" s="291">
        <v>105271.357756</v>
      </c>
      <c r="P7" s="291">
        <v>96048.552527000007</v>
      </c>
      <c r="Q7" s="291">
        <v>86541.684991000002</v>
      </c>
      <c r="R7" s="292">
        <v>9334.9816341999431</v>
      </c>
      <c r="S7" s="292">
        <v>12103.41568279993</v>
      </c>
      <c r="T7" s="292">
        <v>12574.375988600044</v>
      </c>
      <c r="U7" s="292">
        <v>12687.761898800059</v>
      </c>
      <c r="V7" s="294">
        <v>14345.355762600073</v>
      </c>
      <c r="W7" s="294">
        <v>13501.831193300182</v>
      </c>
      <c r="X7" s="292">
        <v>16909.993120500039</v>
      </c>
      <c r="Y7" s="292">
        <v>19824.244951365261</v>
      </c>
      <c r="Z7" s="292">
        <v>19972.982802659975</v>
      </c>
      <c r="AA7" s="292">
        <v>29294.975974080418</v>
      </c>
      <c r="AB7" s="292">
        <v>32411.829525190617</v>
      </c>
      <c r="AC7" s="292">
        <v>40071.9</v>
      </c>
      <c r="AD7" s="292">
        <v>42326.400000000001</v>
      </c>
      <c r="AE7" s="46" t="s">
        <v>516</v>
      </c>
    </row>
    <row r="8" spans="1:31" ht="27">
      <c r="A8" s="43" t="s">
        <v>615</v>
      </c>
      <c r="B8" s="291">
        <v>9932.5529320000005</v>
      </c>
      <c r="C8" s="291">
        <v>12527.273268999999</v>
      </c>
      <c r="D8" s="291">
        <v>10320.691849000001</v>
      </c>
      <c r="E8" s="291">
        <v>15966.061768</v>
      </c>
      <c r="F8" s="291">
        <v>11891.256717</v>
      </c>
      <c r="G8" s="291">
        <v>22166.080134</v>
      </c>
      <c r="H8" s="291">
        <v>27543.794569999998</v>
      </c>
      <c r="I8" s="291">
        <v>23092.246609000002</v>
      </c>
      <c r="J8" s="291">
        <v>27420.148432999998</v>
      </c>
      <c r="K8" s="291">
        <v>232580.10073999999</v>
      </c>
      <c r="L8" s="291">
        <v>231727.10850500001</v>
      </c>
      <c r="M8" s="291">
        <v>52526.317757999997</v>
      </c>
      <c r="N8" s="291">
        <v>68125.756777000002</v>
      </c>
      <c r="O8" s="291">
        <v>55807.158188000001</v>
      </c>
      <c r="P8" s="291">
        <v>78685.575104000003</v>
      </c>
      <c r="Q8" s="291">
        <v>134825.443726</v>
      </c>
      <c r="R8" s="292">
        <v>11796.576105999988</v>
      </c>
      <c r="S8" s="292">
        <v>15108.514742100031</v>
      </c>
      <c r="T8" s="292">
        <v>20592.056583599944</v>
      </c>
      <c r="U8" s="292">
        <v>17243.562624099977</v>
      </c>
      <c r="V8" s="294">
        <v>12582.897419400013</v>
      </c>
      <c r="W8" s="294">
        <v>11120.165306801018</v>
      </c>
      <c r="X8" s="292">
        <v>12870.576180700004</v>
      </c>
      <c r="Y8" s="292">
        <v>13128.892676980031</v>
      </c>
      <c r="Z8" s="292">
        <v>13651.675179570035</v>
      </c>
      <c r="AA8" s="292">
        <v>13241.946559329883</v>
      </c>
      <c r="AB8" s="292">
        <v>15876.282884849847</v>
      </c>
      <c r="AC8" s="292">
        <v>23100.6</v>
      </c>
      <c r="AD8" s="292">
        <v>13403.4</v>
      </c>
      <c r="AE8" s="46" t="s">
        <v>616</v>
      </c>
    </row>
    <row r="9" spans="1:31" ht="27">
      <c r="A9" s="43" t="s">
        <v>617</v>
      </c>
      <c r="B9" s="291">
        <v>2810.1039529999998</v>
      </c>
      <c r="C9" s="291">
        <v>4842.4032010000001</v>
      </c>
      <c r="D9" s="291">
        <v>4758.9654280000004</v>
      </c>
      <c r="E9" s="291">
        <v>6739.3206959999998</v>
      </c>
      <c r="F9" s="291">
        <v>6625.7116660000002</v>
      </c>
      <c r="G9" s="291">
        <v>6928.8842029999996</v>
      </c>
      <c r="H9" s="291">
        <v>9243.5963470000006</v>
      </c>
      <c r="I9" s="291">
        <v>9611.5833149999999</v>
      </c>
      <c r="J9" s="291">
        <v>9382.1233749999992</v>
      </c>
      <c r="K9" s="291">
        <v>20607.349481000001</v>
      </c>
      <c r="L9" s="291">
        <v>17600.577047999999</v>
      </c>
      <c r="M9" s="291">
        <v>24325.881561999999</v>
      </c>
      <c r="N9" s="291">
        <v>31292.976153</v>
      </c>
      <c r="O9" s="291">
        <v>24067.669096000001</v>
      </c>
      <c r="P9" s="291">
        <v>26536.486131000001</v>
      </c>
      <c r="Q9" s="291">
        <v>38754.556852000002</v>
      </c>
      <c r="R9" s="292">
        <v>5777.1962357999882</v>
      </c>
      <c r="S9" s="292">
        <v>6954.3143205000015</v>
      </c>
      <c r="T9" s="292">
        <v>7566.981161100045</v>
      </c>
      <c r="U9" s="292">
        <v>8202.2574524000211</v>
      </c>
      <c r="V9" s="294">
        <v>8077.4071326000048</v>
      </c>
      <c r="W9" s="294">
        <v>7174.5880766000473</v>
      </c>
      <c r="X9" s="292">
        <v>7774.0599048860668</v>
      </c>
      <c r="Y9" s="292">
        <v>10323.054374914987</v>
      </c>
      <c r="Z9" s="292">
        <v>11402.173668320009</v>
      </c>
      <c r="AA9" s="292">
        <v>9235.9048967699455</v>
      </c>
      <c r="AB9" s="292">
        <v>9507.6547152900148</v>
      </c>
      <c r="AC9" s="292">
        <v>16118.9</v>
      </c>
      <c r="AD9" s="292">
        <v>20715.099999999999</v>
      </c>
      <c r="AE9" s="46" t="s">
        <v>618</v>
      </c>
    </row>
    <row r="10" spans="1:31" ht="27">
      <c r="A10" s="43" t="s">
        <v>619</v>
      </c>
      <c r="B10" s="291">
        <v>5323.6094419999999</v>
      </c>
      <c r="C10" s="291">
        <v>2360.0833670000002</v>
      </c>
      <c r="D10" s="291">
        <v>4527.0209160000004</v>
      </c>
      <c r="E10" s="291">
        <v>5133.578818</v>
      </c>
      <c r="F10" s="291">
        <v>6147.8860670000004</v>
      </c>
      <c r="G10" s="291">
        <v>7269.6862030000002</v>
      </c>
      <c r="H10" s="291">
        <v>7786.3804529999998</v>
      </c>
      <c r="I10" s="291">
        <v>8514.2229530000004</v>
      </c>
      <c r="J10" s="291">
        <v>9574.7355750000006</v>
      </c>
      <c r="K10" s="291">
        <v>14487.112878</v>
      </c>
      <c r="L10" s="291">
        <v>11592.663079</v>
      </c>
      <c r="M10" s="291">
        <v>20141.188353000001</v>
      </c>
      <c r="N10" s="291">
        <v>26033.295665000001</v>
      </c>
      <c r="O10" s="291">
        <v>27138.965972000002</v>
      </c>
      <c r="P10" s="291">
        <v>26024.492661</v>
      </c>
      <c r="Q10" s="291">
        <v>37801.205156999997</v>
      </c>
      <c r="R10" s="292">
        <v>6411.3692669999618</v>
      </c>
      <c r="S10" s="292">
        <v>8207.7760990000043</v>
      </c>
      <c r="T10" s="292">
        <v>7612.1504105000022</v>
      </c>
      <c r="U10" s="292">
        <v>10084.050558500032</v>
      </c>
      <c r="V10" s="294">
        <v>5828.2947633000031</v>
      </c>
      <c r="W10" s="294">
        <v>5565.478736500072</v>
      </c>
      <c r="X10" s="292">
        <v>7229.8792332999492</v>
      </c>
      <c r="Y10" s="292">
        <v>11867.227197609518</v>
      </c>
      <c r="Z10" s="292">
        <v>8697.2467310298816</v>
      </c>
      <c r="AA10" s="292">
        <v>8697.2815713099462</v>
      </c>
      <c r="AB10" s="292">
        <v>14536.792422450359</v>
      </c>
      <c r="AC10" s="292">
        <v>11078.6</v>
      </c>
      <c r="AD10" s="292">
        <v>12648.5</v>
      </c>
      <c r="AE10" s="46" t="s">
        <v>620</v>
      </c>
    </row>
    <row r="11" spans="1:31" ht="27">
      <c r="A11" s="43" t="s">
        <v>621</v>
      </c>
      <c r="B11" s="291">
        <v>912.24016700000004</v>
      </c>
      <c r="C11" s="291">
        <v>1033.958558</v>
      </c>
      <c r="D11" s="291">
        <v>1044.025926</v>
      </c>
      <c r="E11" s="291">
        <v>1654.590457</v>
      </c>
      <c r="F11" s="291">
        <v>1452.6043380000001</v>
      </c>
      <c r="G11" s="291">
        <v>1880.114865</v>
      </c>
      <c r="H11" s="291">
        <v>1318.5225009999999</v>
      </c>
      <c r="I11" s="291">
        <v>2106.197334</v>
      </c>
      <c r="J11" s="291">
        <v>2761.1220859999999</v>
      </c>
      <c r="K11" s="291">
        <v>3342.8692540000002</v>
      </c>
      <c r="L11" s="291">
        <v>4147.3870390000002</v>
      </c>
      <c r="M11" s="291">
        <v>6113.2718530000002</v>
      </c>
      <c r="N11" s="291">
        <v>6244.7031239999997</v>
      </c>
      <c r="O11" s="291">
        <v>7543.3435170000002</v>
      </c>
      <c r="P11" s="291">
        <v>9399.3836310000006</v>
      </c>
      <c r="Q11" s="291">
        <v>10168.171063</v>
      </c>
      <c r="R11" s="292">
        <v>2038.757808499998</v>
      </c>
      <c r="S11" s="292">
        <v>3788.9421468999944</v>
      </c>
      <c r="T11" s="292">
        <v>4271.2814078999991</v>
      </c>
      <c r="U11" s="292">
        <v>4042.4286611999942</v>
      </c>
      <c r="V11" s="294">
        <v>3388.7115278999991</v>
      </c>
      <c r="W11" s="294">
        <v>3498.8665467999913</v>
      </c>
      <c r="X11" s="292">
        <v>4006.7113077000008</v>
      </c>
      <c r="Y11" s="292">
        <v>5054.4024232100055</v>
      </c>
      <c r="Z11" s="292">
        <v>4834.039691220014</v>
      </c>
      <c r="AA11" s="292">
        <v>5562.403012669989</v>
      </c>
      <c r="AB11" s="292">
        <v>8876.1108431699704</v>
      </c>
      <c r="AC11" s="292">
        <v>7672</v>
      </c>
      <c r="AD11" s="292">
        <v>9914.9</v>
      </c>
      <c r="AE11" s="46" t="s">
        <v>622</v>
      </c>
    </row>
    <row r="12" spans="1:31" ht="27">
      <c r="A12" s="43" t="s">
        <v>623</v>
      </c>
      <c r="B12" s="291">
        <v>3177.0034310000001</v>
      </c>
      <c r="C12" s="291">
        <v>6187.746486</v>
      </c>
      <c r="D12" s="291">
        <v>5649.4671680000001</v>
      </c>
      <c r="E12" s="291">
        <v>6660.6833029999998</v>
      </c>
      <c r="F12" s="291">
        <v>7909.5602390000004</v>
      </c>
      <c r="G12" s="291">
        <v>7843.3648549999998</v>
      </c>
      <c r="H12" s="291">
        <v>10428.28296</v>
      </c>
      <c r="I12" s="291">
        <v>12337.114896999999</v>
      </c>
      <c r="J12" s="291">
        <v>13408.04191</v>
      </c>
      <c r="K12" s="291">
        <v>19555.833472000002</v>
      </c>
      <c r="L12" s="291">
        <v>23394.314523000001</v>
      </c>
      <c r="M12" s="291">
        <v>46490.280626</v>
      </c>
      <c r="N12" s="291">
        <v>40780.736208999995</v>
      </c>
      <c r="O12" s="291">
        <v>36724.951283000002</v>
      </c>
      <c r="P12" s="291">
        <v>43111.680963999999</v>
      </c>
      <c r="Q12" s="291">
        <v>40052.691042999999</v>
      </c>
      <c r="R12" s="292">
        <v>4816.634194600003</v>
      </c>
      <c r="S12" s="292">
        <v>9210.8794642999947</v>
      </c>
      <c r="T12" s="292">
        <v>5894.8711939999885</v>
      </c>
      <c r="U12" s="292">
        <v>6734.1031668000069</v>
      </c>
      <c r="V12" s="294">
        <v>6014.3833311999861</v>
      </c>
      <c r="W12" s="294">
        <v>7246.8686106999767</v>
      </c>
      <c r="X12" s="292">
        <v>8468.8739331999641</v>
      </c>
      <c r="Y12" s="292">
        <v>9832.0623927100005</v>
      </c>
      <c r="Z12" s="292">
        <v>12264.122487160006</v>
      </c>
      <c r="AA12" s="292">
        <v>7927.4327537500185</v>
      </c>
      <c r="AB12" s="292">
        <v>14230.92605779002</v>
      </c>
      <c r="AC12" s="292">
        <v>11531.7</v>
      </c>
      <c r="AD12" s="292">
        <v>10928.9</v>
      </c>
      <c r="AE12" s="46" t="s">
        <v>624</v>
      </c>
    </row>
    <row r="13" spans="1:31" ht="26.4">
      <c r="A13" s="47" t="s">
        <v>625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32"/>
      <c r="S13" s="32"/>
      <c r="T13" s="32"/>
      <c r="U13" s="32"/>
      <c r="V13" s="32"/>
      <c r="W13" s="48"/>
      <c r="X13" s="49"/>
      <c r="Y13" s="49"/>
      <c r="Z13" s="49"/>
      <c r="AA13" s="49"/>
      <c r="AB13" s="49"/>
      <c r="AC13" s="49"/>
      <c r="AD13" s="49"/>
      <c r="AE13" s="50" t="s">
        <v>626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/>
  </sheetPr>
  <dimension ref="A1:O28"/>
  <sheetViews>
    <sheetView zoomScale="65" workbookViewId="0">
      <selection activeCell="A2" sqref="A2"/>
    </sheetView>
  </sheetViews>
  <sheetFormatPr baseColWidth="10" defaultRowHeight="14.4"/>
  <cols>
    <col min="1" max="1" width="36.44140625" customWidth="1"/>
    <col min="15" max="15" width="28.88671875" customWidth="1"/>
    <col min="19" max="19" width="28.109375" customWidth="1"/>
    <col min="20" max="20" width="17.6640625" customWidth="1"/>
    <col min="21" max="21" width="15.109375" customWidth="1"/>
    <col min="22" max="22" width="16.6640625" customWidth="1"/>
    <col min="23" max="23" width="15.77734375" customWidth="1"/>
    <col min="24" max="24" width="22" customWidth="1"/>
  </cols>
  <sheetData>
    <row r="1" spans="1:15" ht="27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2" t="s">
        <v>1049</v>
      </c>
    </row>
    <row r="2" spans="1:15" ht="26.4">
      <c r="A2" s="447" t="s">
        <v>1050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27">
      <c r="A3" s="448" t="s">
        <v>1051</v>
      </c>
      <c r="B3" s="448" t="s">
        <v>501</v>
      </c>
      <c r="C3" s="448" t="s">
        <v>502</v>
      </c>
      <c r="D3" s="448" t="s">
        <v>503</v>
      </c>
      <c r="E3" s="448" t="s">
        <v>504</v>
      </c>
      <c r="F3" s="448" t="s">
        <v>505</v>
      </c>
      <c r="G3" s="448" t="s">
        <v>506</v>
      </c>
      <c r="H3" s="448" t="s">
        <v>225</v>
      </c>
      <c r="I3" s="448" t="s">
        <v>226</v>
      </c>
      <c r="J3" s="448" t="s">
        <v>227</v>
      </c>
      <c r="K3" s="448" t="s">
        <v>228</v>
      </c>
      <c r="L3" s="448">
        <v>2021</v>
      </c>
      <c r="M3" s="448">
        <v>2022</v>
      </c>
      <c r="N3" s="448">
        <v>2023</v>
      </c>
      <c r="O3" s="449" t="s">
        <v>610</v>
      </c>
    </row>
    <row r="4" spans="1:15" ht="27">
      <c r="A4" s="67" t="s">
        <v>231</v>
      </c>
      <c r="B4" s="450">
        <v>9355.322130999999</v>
      </c>
      <c r="C4" s="450">
        <v>12141.490592699996</v>
      </c>
      <c r="D4" s="450">
        <v>12605.395978199997</v>
      </c>
      <c r="E4" s="450">
        <v>12712.0022226</v>
      </c>
      <c r="F4" s="450">
        <v>14383.100572400002</v>
      </c>
      <c r="G4" s="450">
        <v>13512.731431800001</v>
      </c>
      <c r="H4" s="450">
        <v>16888.024153699997</v>
      </c>
      <c r="I4" s="450">
        <v>19976.70061268501</v>
      </c>
      <c r="J4" s="450">
        <v>19980.667718350014</v>
      </c>
      <c r="K4" s="450">
        <v>28587.649677520003</v>
      </c>
      <c r="L4" s="450">
        <v>33217.730898809925</v>
      </c>
      <c r="M4" s="450">
        <v>40071.9</v>
      </c>
      <c r="N4" s="450">
        <v>42326.400000000001</v>
      </c>
      <c r="O4" s="451" t="s">
        <v>516</v>
      </c>
    </row>
    <row r="5" spans="1:15" ht="27">
      <c r="A5" s="56" t="s">
        <v>230</v>
      </c>
      <c r="B5" s="452">
        <v>102.82229190000005</v>
      </c>
      <c r="C5" s="452">
        <v>147.31177</v>
      </c>
      <c r="D5" s="452">
        <v>154.83429789999991</v>
      </c>
      <c r="E5" s="452">
        <v>184.33918289999991</v>
      </c>
      <c r="F5" s="452">
        <v>162.53262569999998</v>
      </c>
      <c r="G5" s="452">
        <v>216.76847010000012</v>
      </c>
      <c r="H5" s="452">
        <v>257.50565750000004</v>
      </c>
      <c r="I5" s="452">
        <v>232.10485952499997</v>
      </c>
      <c r="J5" s="452">
        <v>188.70751547</v>
      </c>
      <c r="K5" s="452">
        <v>180.4074713599999</v>
      </c>
      <c r="L5" s="452">
        <v>274.2846524000002</v>
      </c>
      <c r="M5" s="452">
        <v>312.10000000000002</v>
      </c>
      <c r="N5" s="452">
        <v>296.8</v>
      </c>
      <c r="O5" s="453" t="s">
        <v>515</v>
      </c>
    </row>
    <row r="6" spans="1:15" ht="38.4" customHeight="1">
      <c r="A6" s="67" t="s">
        <v>1052</v>
      </c>
      <c r="B6" s="452">
        <v>352.40324120000002</v>
      </c>
      <c r="C6" s="452">
        <v>425.3591077000001</v>
      </c>
      <c r="D6" s="452">
        <v>505.0561583999999</v>
      </c>
      <c r="E6" s="452">
        <v>577.70197480000024</v>
      </c>
      <c r="F6" s="452">
        <v>444.50675010000009</v>
      </c>
      <c r="G6" s="452">
        <v>721.91659700000048</v>
      </c>
      <c r="H6" s="452">
        <v>735.95463749999965</v>
      </c>
      <c r="I6" s="452">
        <v>761.55254504000004</v>
      </c>
      <c r="J6" s="452">
        <v>773.01193472</v>
      </c>
      <c r="K6" s="452">
        <v>780.99068390000002</v>
      </c>
      <c r="L6" s="452">
        <v>927.21525925000003</v>
      </c>
      <c r="M6" s="452">
        <v>1241.4000000000001</v>
      </c>
      <c r="N6" s="452">
        <v>1237.4000000000001</v>
      </c>
      <c r="O6" s="454" t="s">
        <v>1053</v>
      </c>
    </row>
    <row r="7" spans="1:15" ht="27">
      <c r="A7" s="56" t="s">
        <v>1054</v>
      </c>
      <c r="B7" s="452">
        <v>3684.7614985999994</v>
      </c>
      <c r="C7" s="452">
        <v>5735.8044111000008</v>
      </c>
      <c r="D7" s="452">
        <v>5047.8704985000004</v>
      </c>
      <c r="E7" s="452">
        <v>5169.2374355000002</v>
      </c>
      <c r="F7" s="452">
        <v>5570.3323915000001</v>
      </c>
      <c r="G7" s="452">
        <v>4046.5856864000002</v>
      </c>
      <c r="H7" s="452">
        <v>4848.9783321999994</v>
      </c>
      <c r="I7" s="452">
        <v>7451.9775564100009</v>
      </c>
      <c r="J7" s="452">
        <v>7078.1975362499988</v>
      </c>
      <c r="K7" s="452">
        <v>7543.8653020999991</v>
      </c>
      <c r="L7" s="452">
        <v>8942.6159726000024</v>
      </c>
      <c r="M7" s="452">
        <v>12497.9</v>
      </c>
      <c r="N7" s="452">
        <v>8871</v>
      </c>
      <c r="O7" s="453" t="s">
        <v>518</v>
      </c>
    </row>
    <row r="8" spans="1:15" ht="27">
      <c r="A8" s="56" t="s">
        <v>1055</v>
      </c>
      <c r="B8" s="452">
        <v>2768.4482460999993</v>
      </c>
      <c r="C8" s="452">
        <v>4125.2154257000002</v>
      </c>
      <c r="D8" s="452">
        <v>3227.3782717000004</v>
      </c>
      <c r="E8" s="452">
        <v>3334.0412762999999</v>
      </c>
      <c r="F8" s="452">
        <v>3996.1814188999997</v>
      </c>
      <c r="G8" s="452">
        <v>3012.3317651999996</v>
      </c>
      <c r="H8" s="452">
        <v>3903.4687983999997</v>
      </c>
      <c r="I8" s="452">
        <v>5972.1093175700007</v>
      </c>
      <c r="J8" s="452">
        <v>5060.1213551999999</v>
      </c>
      <c r="K8" s="452">
        <v>6529.6225807800001</v>
      </c>
      <c r="L8" s="452">
        <v>7845.4412100000018</v>
      </c>
      <c r="M8" s="452">
        <v>11226.3</v>
      </c>
      <c r="N8" s="452">
        <v>8021.9</v>
      </c>
      <c r="O8" s="455" t="s">
        <v>1056</v>
      </c>
    </row>
    <row r="9" spans="1:15" ht="27">
      <c r="A9" s="56" t="s">
        <v>1057</v>
      </c>
      <c r="B9" s="452">
        <v>0.59469519999999998</v>
      </c>
      <c r="C9" s="452">
        <v>3.1826442999999998</v>
      </c>
      <c r="D9" s="452">
        <v>0.12765000000000001</v>
      </c>
      <c r="E9" s="452">
        <v>0.4044275</v>
      </c>
      <c r="F9" s="452">
        <v>0.65091739999999998</v>
      </c>
      <c r="G9" s="452">
        <v>1.3138784999999999</v>
      </c>
      <c r="H9" s="452">
        <v>2.9324496</v>
      </c>
      <c r="I9" s="452">
        <v>99.248375580000001</v>
      </c>
      <c r="J9" s="452">
        <v>100.10132846</v>
      </c>
      <c r="K9" s="452">
        <v>52.816364110000009</v>
      </c>
      <c r="L9" s="452">
        <v>196.67306750999995</v>
      </c>
      <c r="M9" s="452">
        <v>393.2</v>
      </c>
      <c r="N9" s="452">
        <v>174.4</v>
      </c>
      <c r="O9" s="455" t="s">
        <v>1058</v>
      </c>
    </row>
    <row r="10" spans="1:15" ht="27">
      <c r="A10" s="56" t="s">
        <v>627</v>
      </c>
      <c r="B10" s="452">
        <v>913.17902300000014</v>
      </c>
      <c r="C10" s="452">
        <v>1604.0285616000001</v>
      </c>
      <c r="D10" s="452">
        <v>1804.4243150999996</v>
      </c>
      <c r="E10" s="452">
        <v>1834.5212223000001</v>
      </c>
      <c r="F10" s="452">
        <v>1567.9663072000003</v>
      </c>
      <c r="G10" s="452">
        <v>1032.0356792999999</v>
      </c>
      <c r="H10" s="452">
        <v>936.65531240000041</v>
      </c>
      <c r="I10" s="452">
        <v>1378.6727344600004</v>
      </c>
      <c r="J10" s="452">
        <v>1913.6526630599997</v>
      </c>
      <c r="K10" s="452">
        <v>950.88938494999991</v>
      </c>
      <c r="L10" s="452">
        <v>896.51555926000003</v>
      </c>
      <c r="M10" s="452">
        <v>861</v>
      </c>
      <c r="N10" s="452">
        <v>637.6</v>
      </c>
      <c r="O10" s="456" t="s">
        <v>1059</v>
      </c>
    </row>
    <row r="11" spans="1:15" ht="27">
      <c r="A11" s="56" t="s">
        <v>1060</v>
      </c>
      <c r="B11" s="452">
        <v>254.63081560000006</v>
      </c>
      <c r="C11" s="452">
        <v>248.60184669999998</v>
      </c>
      <c r="D11" s="452">
        <v>223.48671240000004</v>
      </c>
      <c r="E11" s="452">
        <v>107.4600895</v>
      </c>
      <c r="F11" s="452">
        <v>245.84613220000003</v>
      </c>
      <c r="G11" s="452">
        <v>116.37675510000001</v>
      </c>
      <c r="H11" s="452">
        <v>82.437278300000017</v>
      </c>
      <c r="I11" s="452">
        <v>87.676286989999994</v>
      </c>
      <c r="J11" s="452">
        <v>141.73180316000003</v>
      </c>
      <c r="K11" s="452">
        <v>61.691081919999988</v>
      </c>
      <c r="L11" s="452">
        <v>39.363343</v>
      </c>
      <c r="M11" s="534">
        <v>33.200000000000003</v>
      </c>
      <c r="N11" s="534">
        <v>101</v>
      </c>
      <c r="O11" s="453" t="s">
        <v>1061</v>
      </c>
    </row>
    <row r="12" spans="1:15" ht="60" customHeight="1">
      <c r="A12" s="56" t="s">
        <v>1091</v>
      </c>
      <c r="B12" s="452">
        <v>1.0047849</v>
      </c>
      <c r="C12" s="452">
        <v>45.716558999999997</v>
      </c>
      <c r="D12" s="452">
        <v>42.473171100000002</v>
      </c>
      <c r="E12" s="452">
        <v>6.0339301999999995</v>
      </c>
      <c r="F12" s="452">
        <v>12.240923399999998</v>
      </c>
      <c r="G12" s="452">
        <v>10.630293299999998</v>
      </c>
      <c r="H12" s="452">
        <v>41.478338600000008</v>
      </c>
      <c r="I12" s="452">
        <v>21.222983189999997</v>
      </c>
      <c r="J12" s="452">
        <v>17.688437920000009</v>
      </c>
      <c r="K12" s="452">
        <v>21.245387680000004</v>
      </c>
      <c r="L12" s="452">
        <v>11.026723779999989</v>
      </c>
      <c r="M12" s="452">
        <v>9.1999999999999993</v>
      </c>
      <c r="N12" s="452">
        <v>16.399999999999999</v>
      </c>
      <c r="O12" s="455" t="s">
        <v>1062</v>
      </c>
    </row>
    <row r="13" spans="1:15" ht="55.2" customHeight="1">
      <c r="A13" s="56" t="s">
        <v>632</v>
      </c>
      <c r="B13" s="452">
        <v>248.13381010000006</v>
      </c>
      <c r="C13" s="452">
        <v>201.7010042</v>
      </c>
      <c r="D13" s="452">
        <v>142.61349690000003</v>
      </c>
      <c r="E13" s="452">
        <v>80.430296899999988</v>
      </c>
      <c r="F13" s="452">
        <v>226.93174860000002</v>
      </c>
      <c r="G13" s="452">
        <v>105.62931980000002</v>
      </c>
      <c r="H13" s="452">
        <v>39.930441000000002</v>
      </c>
      <c r="I13" s="452">
        <v>66.111327799999998</v>
      </c>
      <c r="J13" s="452">
        <v>123.87542404000001</v>
      </c>
      <c r="K13" s="452">
        <v>39.918663059999986</v>
      </c>
      <c r="L13" s="452">
        <v>27.599451980000012</v>
      </c>
      <c r="M13" s="452">
        <v>22.5</v>
      </c>
      <c r="N13" s="452">
        <v>18.399999999999999</v>
      </c>
      <c r="O13" s="455" t="s">
        <v>1063</v>
      </c>
    </row>
    <row r="14" spans="1:15" ht="27">
      <c r="A14" s="56" t="s">
        <v>1064</v>
      </c>
      <c r="B14" s="452">
        <v>91.790440500000017</v>
      </c>
      <c r="C14" s="452">
        <v>124.73282699999999</v>
      </c>
      <c r="D14" s="452">
        <v>134.1196123</v>
      </c>
      <c r="E14" s="452">
        <v>200.90061759999998</v>
      </c>
      <c r="F14" s="452">
        <v>272.29717260000018</v>
      </c>
      <c r="G14" s="452">
        <v>229.16755050000017</v>
      </c>
      <c r="H14" s="452">
        <v>332.10830420000002</v>
      </c>
      <c r="I14" s="452">
        <v>333.26964086999993</v>
      </c>
      <c r="J14" s="452">
        <v>356.78266231999987</v>
      </c>
      <c r="K14" s="452">
        <v>416.69948412999992</v>
      </c>
      <c r="L14" s="452">
        <v>451.19219070999929</v>
      </c>
      <c r="M14" s="452">
        <v>586.5</v>
      </c>
      <c r="N14" s="452">
        <v>595.29999999999995</v>
      </c>
      <c r="O14" s="453" t="s">
        <v>1065</v>
      </c>
    </row>
    <row r="15" spans="1:15" ht="27">
      <c r="A15" s="56" t="s">
        <v>1066</v>
      </c>
      <c r="B15" s="452">
        <v>1207.8894249000002</v>
      </c>
      <c r="C15" s="452">
        <v>1348.3906405999999</v>
      </c>
      <c r="D15" s="452">
        <v>1563.048188100001</v>
      </c>
      <c r="E15" s="452">
        <v>1431.7785702999993</v>
      </c>
      <c r="F15" s="452">
        <v>1429.4547894000016</v>
      </c>
      <c r="G15" s="452">
        <v>1572.8251914999996</v>
      </c>
      <c r="H15" s="452">
        <v>2050.7728627999991</v>
      </c>
      <c r="I15" s="452">
        <v>2015.5036080399998</v>
      </c>
      <c r="J15" s="452">
        <v>1913.1994710099993</v>
      </c>
      <c r="K15" s="452">
        <v>5966.9022071300005</v>
      </c>
      <c r="L15" s="452">
        <v>6672.8614366800075</v>
      </c>
      <c r="M15" s="452">
        <v>6559.5</v>
      </c>
      <c r="N15" s="452">
        <v>12126.2</v>
      </c>
      <c r="O15" s="453" t="s">
        <v>1067</v>
      </c>
    </row>
    <row r="16" spans="1:15" ht="27">
      <c r="A16" s="56" t="s">
        <v>1068</v>
      </c>
      <c r="B16" s="452">
        <v>1732.4063120999995</v>
      </c>
      <c r="C16" s="452">
        <v>1961.3346227000006</v>
      </c>
      <c r="D16" s="452">
        <v>2282.6722905999991</v>
      </c>
      <c r="E16" s="452">
        <v>2218.3801965999987</v>
      </c>
      <c r="F16" s="452">
        <v>2370.9356348999991</v>
      </c>
      <c r="G16" s="452">
        <v>2303.7895593999992</v>
      </c>
      <c r="H16" s="452">
        <v>2890.703239699998</v>
      </c>
      <c r="I16" s="452">
        <v>3458.8198976400004</v>
      </c>
      <c r="J16" s="452">
        <v>4089.3733168200024</v>
      </c>
      <c r="K16" s="452">
        <v>2844.16131202</v>
      </c>
      <c r="L16" s="452">
        <v>3036.6007213399994</v>
      </c>
      <c r="M16" s="452">
        <v>2998.8</v>
      </c>
      <c r="N16" s="452">
        <v>2854.8</v>
      </c>
      <c r="O16" s="453" t="s">
        <v>1069</v>
      </c>
    </row>
    <row r="17" spans="1:15" ht="27">
      <c r="A17" s="56" t="s">
        <v>1070</v>
      </c>
      <c r="B17" s="452">
        <v>452.10123030000017</v>
      </c>
      <c r="C17" s="452">
        <v>596.28309469999908</v>
      </c>
      <c r="D17" s="452">
        <v>651.11577579999823</v>
      </c>
      <c r="E17" s="452">
        <v>720.65429460000007</v>
      </c>
      <c r="F17" s="452">
        <v>793.37624269999992</v>
      </c>
      <c r="G17" s="452">
        <v>831.60932140000102</v>
      </c>
      <c r="H17" s="452">
        <v>1628.4599292999974</v>
      </c>
      <c r="I17" s="452">
        <v>1844.1742608700047</v>
      </c>
      <c r="J17" s="452">
        <v>1552.6547355800101</v>
      </c>
      <c r="K17" s="452">
        <v>2495.2043234899966</v>
      </c>
      <c r="L17" s="452">
        <v>4033.1395192299119</v>
      </c>
      <c r="M17" s="452">
        <v>3672.2</v>
      </c>
      <c r="N17" s="452">
        <v>2728.4</v>
      </c>
      <c r="O17" s="453" t="s">
        <v>1071</v>
      </c>
    </row>
    <row r="18" spans="1:15" ht="27">
      <c r="A18" s="56" t="s">
        <v>1072</v>
      </c>
      <c r="B18" s="452">
        <v>22.294015999999992</v>
      </c>
      <c r="C18" s="452">
        <v>25.253791299999996</v>
      </c>
      <c r="D18" s="452">
        <v>45.612126100000012</v>
      </c>
      <c r="E18" s="452">
        <v>69.602833700000005</v>
      </c>
      <c r="F18" s="452">
        <v>66.319801200000029</v>
      </c>
      <c r="G18" s="452">
        <v>56.490024700000006</v>
      </c>
      <c r="H18" s="452">
        <v>49.691734999999994</v>
      </c>
      <c r="I18" s="452">
        <v>51.921555330000004</v>
      </c>
      <c r="J18" s="452">
        <v>46.217464189999987</v>
      </c>
      <c r="K18" s="452">
        <v>57.397458829999998</v>
      </c>
      <c r="L18" s="452">
        <v>67.057430079999847</v>
      </c>
      <c r="M18" s="452">
        <v>49.5</v>
      </c>
      <c r="N18" s="452">
        <v>44.6</v>
      </c>
      <c r="O18" s="453" t="s">
        <v>1073</v>
      </c>
    </row>
    <row r="19" spans="1:15" ht="27">
      <c r="A19" s="56" t="s">
        <v>1074</v>
      </c>
      <c r="B19" s="452">
        <v>220.91595609999987</v>
      </c>
      <c r="C19" s="452">
        <v>241.96440099999995</v>
      </c>
      <c r="D19" s="452">
        <v>383.40930069999973</v>
      </c>
      <c r="E19" s="452">
        <v>507.89871389999985</v>
      </c>
      <c r="F19" s="452">
        <v>587.7772455999999</v>
      </c>
      <c r="G19" s="452">
        <v>611.98928689999968</v>
      </c>
      <c r="H19" s="452">
        <v>403.68168209999982</v>
      </c>
      <c r="I19" s="452">
        <v>721.12147167000001</v>
      </c>
      <c r="J19" s="452">
        <v>503.57387920000002</v>
      </c>
      <c r="K19" s="452">
        <v>801.67157000999987</v>
      </c>
      <c r="L19" s="452">
        <v>995.04662401999963</v>
      </c>
      <c r="M19" s="452">
        <v>465.6</v>
      </c>
      <c r="N19" s="452">
        <v>533.79999999999995</v>
      </c>
      <c r="O19" s="453" t="s">
        <v>1075</v>
      </c>
    </row>
    <row r="20" spans="1:15" ht="27">
      <c r="A20" s="56" t="s">
        <v>1076</v>
      </c>
      <c r="B20" s="452">
        <v>140.41336819999995</v>
      </c>
      <c r="C20" s="452">
        <v>270.32808199999994</v>
      </c>
      <c r="D20" s="452">
        <v>398.65402320000004</v>
      </c>
      <c r="E20" s="452">
        <v>470.54167910000029</v>
      </c>
      <c r="F20" s="452">
        <v>473.93743130000018</v>
      </c>
      <c r="G20" s="452">
        <v>496.8973008000001</v>
      </c>
      <c r="H20" s="452">
        <v>531.4500869000002</v>
      </c>
      <c r="I20" s="452">
        <v>316.37424396000017</v>
      </c>
      <c r="J20" s="452">
        <v>217.27421505999988</v>
      </c>
      <c r="K20" s="452">
        <v>277.69597863000001</v>
      </c>
      <c r="L20" s="452">
        <v>356.43601681000013</v>
      </c>
      <c r="M20" s="452">
        <v>271.5</v>
      </c>
      <c r="N20" s="452">
        <v>311.5</v>
      </c>
      <c r="O20" s="453" t="s">
        <v>1077</v>
      </c>
    </row>
    <row r="21" spans="1:15" ht="27">
      <c r="A21" s="56" t="s">
        <v>738</v>
      </c>
      <c r="B21" s="452">
        <v>20.5394334</v>
      </c>
      <c r="C21" s="452">
        <v>33.74406530000001</v>
      </c>
      <c r="D21" s="452">
        <v>32.165064500000007</v>
      </c>
      <c r="E21" s="452">
        <v>42.041099100000004</v>
      </c>
      <c r="F21" s="452">
        <v>39.1046938</v>
      </c>
      <c r="G21" s="452">
        <v>149.39939290000001</v>
      </c>
      <c r="H21" s="452">
        <v>60.743987600000011</v>
      </c>
      <c r="I21" s="452">
        <v>82.145218360000001</v>
      </c>
      <c r="J21" s="452">
        <v>66.76083263999999</v>
      </c>
      <c r="K21" s="452">
        <v>87.463699330000011</v>
      </c>
      <c r="L21" s="452">
        <v>185.44776518999993</v>
      </c>
      <c r="M21" s="452">
        <v>170.6</v>
      </c>
      <c r="N21" s="452">
        <v>183.7</v>
      </c>
      <c r="O21" s="453" t="s">
        <v>1078</v>
      </c>
    </row>
    <row r="22" spans="1:15" ht="27">
      <c r="A22" s="56" t="s">
        <v>1079</v>
      </c>
      <c r="B22" s="452">
        <v>4.3324197999999994</v>
      </c>
      <c r="C22" s="452">
        <v>2.7322706000000001</v>
      </c>
      <c r="D22" s="452">
        <v>4.5785301999999994</v>
      </c>
      <c r="E22" s="452">
        <v>1.7380576000000001</v>
      </c>
      <c r="F22" s="452">
        <v>7.1383388999999999</v>
      </c>
      <c r="G22" s="452">
        <v>1.1568164000000001</v>
      </c>
      <c r="H22" s="452">
        <v>10.257240300000005</v>
      </c>
      <c r="I22" s="452">
        <v>9.6354250399999994</v>
      </c>
      <c r="J22" s="452">
        <v>2.5292917699999999</v>
      </c>
      <c r="K22" s="452">
        <v>12.118753620000001</v>
      </c>
      <c r="L22" s="452">
        <v>3.3086048299999997</v>
      </c>
      <c r="M22" s="452">
        <v>7.2</v>
      </c>
      <c r="N22" s="452">
        <v>5.6</v>
      </c>
      <c r="O22" s="453" t="s">
        <v>1080</v>
      </c>
    </row>
    <row r="23" spans="1:15" ht="54">
      <c r="A23" s="56" t="s">
        <v>1081</v>
      </c>
      <c r="B23" s="452">
        <v>755.75865490000012</v>
      </c>
      <c r="C23" s="452">
        <v>616.78404049999995</v>
      </c>
      <c r="D23" s="452">
        <v>628.74300929999993</v>
      </c>
      <c r="E23" s="452">
        <v>456.07767059999998</v>
      </c>
      <c r="F23" s="452">
        <v>1130.1178104000001</v>
      </c>
      <c r="G23" s="452">
        <v>1352.7080332999997</v>
      </c>
      <c r="H23" s="452">
        <v>2131.1484181000005</v>
      </c>
      <c r="I23" s="452">
        <v>1647.6739870900001</v>
      </c>
      <c r="J23" s="452">
        <v>1962.8681738099999</v>
      </c>
      <c r="K23" s="452">
        <v>6155.2393524199997</v>
      </c>
      <c r="L23" s="452">
        <v>6020.3669529500012</v>
      </c>
      <c r="M23" s="452">
        <v>9747.2999999999993</v>
      </c>
      <c r="N23" s="452">
        <v>10885.3</v>
      </c>
      <c r="O23" s="453" t="s">
        <v>1082</v>
      </c>
    </row>
    <row r="24" spans="1:15" ht="27">
      <c r="A24" s="51" t="s">
        <v>1083</v>
      </c>
      <c r="B24" s="452">
        <v>28.478608400000006</v>
      </c>
      <c r="C24" s="452">
        <v>26.156959900000007</v>
      </c>
      <c r="D24" s="452">
        <v>53.506008399999992</v>
      </c>
      <c r="E24" s="452">
        <v>71.43001689999997</v>
      </c>
      <c r="F24" s="452">
        <v>71.507854800000004</v>
      </c>
      <c r="G24" s="452">
        <v>75.632271099999997</v>
      </c>
      <c r="H24" s="452">
        <v>71.738942599999987</v>
      </c>
      <c r="I24" s="452">
        <v>56.830958310000007</v>
      </c>
      <c r="J24" s="452">
        <v>38.378877699999997</v>
      </c>
      <c r="K24" s="452">
        <v>44.697983380000004</v>
      </c>
      <c r="L24" s="452">
        <v>85.278277029999884</v>
      </c>
      <c r="M24" s="452">
        <v>56.2</v>
      </c>
      <c r="N24" s="452">
        <v>52.6</v>
      </c>
      <c r="O24" s="453" t="s">
        <v>1084</v>
      </c>
    </row>
    <row r="25" spans="1:15" ht="27">
      <c r="A25" s="51" t="s">
        <v>1085</v>
      </c>
      <c r="B25" s="452">
        <v>0.35474479999999997</v>
      </c>
      <c r="C25" s="452">
        <v>0.84244479999999988</v>
      </c>
      <c r="D25" s="452">
        <v>0.17163239999999999</v>
      </c>
      <c r="E25" s="452">
        <v>0.29239999999999999</v>
      </c>
      <c r="F25" s="452">
        <v>0.151922</v>
      </c>
      <c r="G25" s="452">
        <v>0.38196920000000001</v>
      </c>
      <c r="H25" s="452">
        <v>0.67409180000000002</v>
      </c>
      <c r="I25" s="452">
        <v>0.68343823999999997</v>
      </c>
      <c r="J25" s="452">
        <v>2.6146206599999999</v>
      </c>
      <c r="K25" s="452">
        <v>2.1006911600000002</v>
      </c>
      <c r="L25" s="452">
        <v>1.76995992</v>
      </c>
      <c r="M25" s="452">
        <v>1.7</v>
      </c>
      <c r="N25" s="452">
        <v>2.6</v>
      </c>
      <c r="O25" s="453" t="s">
        <v>1086</v>
      </c>
    </row>
    <row r="26" spans="1:15" ht="27">
      <c r="A26" s="51" t="s">
        <v>1087</v>
      </c>
      <c r="B26" s="452">
        <v>726.92530170000009</v>
      </c>
      <c r="C26" s="452">
        <v>589.78463579999993</v>
      </c>
      <c r="D26" s="452">
        <v>575.06536849999998</v>
      </c>
      <c r="E26" s="452">
        <v>384.35525369999999</v>
      </c>
      <c r="F26" s="452">
        <v>1058.4580336000001</v>
      </c>
      <c r="G26" s="452">
        <v>1276.6937929999997</v>
      </c>
      <c r="H26" s="452">
        <v>2058.7353837000005</v>
      </c>
      <c r="I26" s="452">
        <v>1590.1595905400002</v>
      </c>
      <c r="J26" s="452">
        <v>1921.87467545</v>
      </c>
      <c r="K26" s="452">
        <v>6108.4406778800003</v>
      </c>
      <c r="L26" s="452">
        <v>5933.3187160000007</v>
      </c>
      <c r="M26" s="452">
        <v>9689.4</v>
      </c>
      <c r="N26" s="452">
        <v>10830.1</v>
      </c>
      <c r="O26" s="453" t="s">
        <v>1088</v>
      </c>
    </row>
    <row r="27" spans="1:15" ht="27">
      <c r="A27" s="56" t="s">
        <v>1089</v>
      </c>
      <c r="B27" s="452">
        <v>309.27038040000002</v>
      </c>
      <c r="C27" s="452">
        <v>354.49358649999994</v>
      </c>
      <c r="D27" s="452">
        <v>543.56654280000009</v>
      </c>
      <c r="E27" s="452">
        <v>549.83578710000006</v>
      </c>
      <c r="F27" s="452">
        <v>785.0093807999998</v>
      </c>
      <c r="G27" s="452">
        <v>800.56439029999967</v>
      </c>
      <c r="H27" s="452">
        <v>867.33095400000025</v>
      </c>
      <c r="I27" s="452">
        <v>951.73810189000005</v>
      </c>
      <c r="J27" s="452">
        <v>1071.46219498</v>
      </c>
      <c r="K27" s="452">
        <v>891.03178084000035</v>
      </c>
      <c r="L27" s="452">
        <v>1199.2079174500004</v>
      </c>
      <c r="M27" s="450">
        <v>1443.3</v>
      </c>
      <c r="N27" s="450">
        <v>1496.2</v>
      </c>
      <c r="O27" s="453" t="s">
        <v>1090</v>
      </c>
    </row>
    <row r="28" spans="1:15" ht="26.4">
      <c r="A28" s="47" t="s">
        <v>625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8"/>
      <c r="M28" s="458"/>
      <c r="N28" s="458"/>
      <c r="O28" s="62" t="s">
        <v>626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/>
  </sheetPr>
  <dimension ref="A2:O55"/>
  <sheetViews>
    <sheetView zoomScale="49" workbookViewId="0">
      <selection activeCell="T14" sqref="T14"/>
    </sheetView>
  </sheetViews>
  <sheetFormatPr baseColWidth="10" defaultRowHeight="14.4"/>
  <cols>
    <col min="1" max="1" width="29.5546875" customWidth="1"/>
    <col min="2" max="8" width="12.6640625" bestFit="1" customWidth="1"/>
    <col min="9" max="11" width="14.109375" bestFit="1" customWidth="1"/>
    <col min="12" max="12" width="16.5546875" customWidth="1"/>
    <col min="13" max="14" width="13.6640625" bestFit="1" customWidth="1"/>
    <col min="15" max="15" width="42" customWidth="1"/>
    <col min="22" max="22" width="37.88671875" customWidth="1"/>
    <col min="23" max="23" width="18.109375" customWidth="1"/>
    <col min="24" max="24" width="15.21875" customWidth="1"/>
    <col min="25" max="25" width="16.77734375" customWidth="1"/>
    <col min="26" max="26" width="15.88671875" customWidth="1"/>
    <col min="27" max="27" width="26.33203125" customWidth="1"/>
  </cols>
  <sheetData>
    <row r="2" spans="1:15" ht="27">
      <c r="A2" s="52" t="s">
        <v>1573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53" t="s">
        <v>1574</v>
      </c>
    </row>
    <row r="3" spans="1:15" ht="26.4">
      <c r="A3" s="448" t="s">
        <v>609</v>
      </c>
      <c r="B3" s="448" t="s">
        <v>501</v>
      </c>
      <c r="C3" s="448" t="s">
        <v>502</v>
      </c>
      <c r="D3" s="448" t="s">
        <v>503</v>
      </c>
      <c r="E3" s="448" t="s">
        <v>504</v>
      </c>
      <c r="F3" s="448" t="s">
        <v>505</v>
      </c>
      <c r="G3" s="448" t="s">
        <v>506</v>
      </c>
      <c r="H3" s="448" t="s">
        <v>225</v>
      </c>
      <c r="I3" s="448" t="s">
        <v>226</v>
      </c>
      <c r="J3" s="448" t="s">
        <v>227</v>
      </c>
      <c r="K3" s="448" t="s">
        <v>228</v>
      </c>
      <c r="L3" s="448">
        <v>2021</v>
      </c>
      <c r="M3" s="448">
        <v>2022</v>
      </c>
      <c r="N3" s="448">
        <v>2023</v>
      </c>
      <c r="O3" s="448" t="s">
        <v>610</v>
      </c>
    </row>
    <row r="4" spans="1:15" ht="27">
      <c r="A4" s="295" t="s">
        <v>653</v>
      </c>
      <c r="B4" s="70">
        <v>57065.893046899866</v>
      </c>
      <c r="C4" s="70">
        <v>74927.867640100041</v>
      </c>
      <c r="D4" s="70">
        <v>78592.20253750011</v>
      </c>
      <c r="E4" s="70">
        <v>78702.439504399998</v>
      </c>
      <c r="F4" s="70">
        <v>63673.140422699878</v>
      </c>
      <c r="G4" s="70">
        <v>62521.950663500975</v>
      </c>
      <c r="H4" s="70">
        <v>80931.744034286035</v>
      </c>
      <c r="I4" s="70">
        <v>105473.44593958004</v>
      </c>
      <c r="J4" s="70">
        <v>105306.87013470002</v>
      </c>
      <c r="K4" s="70">
        <v>102055.64327787978</v>
      </c>
      <c r="L4" s="70">
        <v>127194.5</v>
      </c>
      <c r="M4" s="70">
        <v>181259.7</v>
      </c>
      <c r="N4" s="70">
        <v>172133.2</v>
      </c>
      <c r="O4" s="59" t="s">
        <v>612</v>
      </c>
    </row>
    <row r="5" spans="1:15" ht="27">
      <c r="A5" s="295" t="s">
        <v>654</v>
      </c>
      <c r="B5" s="70">
        <v>4199.929596399993</v>
      </c>
      <c r="C5" s="70">
        <v>5178.7139489000028</v>
      </c>
      <c r="D5" s="70">
        <v>5134.5323369000052</v>
      </c>
      <c r="E5" s="70">
        <v>6562.0847608000131</v>
      </c>
      <c r="F5" s="70">
        <v>8827.6856676000043</v>
      </c>
      <c r="G5" s="70">
        <v>5897.8744601000135</v>
      </c>
      <c r="H5" s="70">
        <v>7135.6235393640045</v>
      </c>
      <c r="I5" s="70">
        <v>7298.2619499399934</v>
      </c>
      <c r="J5" s="70">
        <v>9208.1394163800178</v>
      </c>
      <c r="K5" s="70">
        <v>7858.9321299099938</v>
      </c>
      <c r="L5" s="70">
        <v>15768.3</v>
      </c>
      <c r="M5" s="70">
        <v>17351.400000000001</v>
      </c>
      <c r="N5" s="70">
        <v>16101.5</v>
      </c>
      <c r="O5" s="59" t="s">
        <v>655</v>
      </c>
    </row>
    <row r="6" spans="1:15" ht="27">
      <c r="A6" s="51" t="s">
        <v>656</v>
      </c>
      <c r="B6" s="70">
        <v>1656.3588590999996</v>
      </c>
      <c r="C6" s="70">
        <v>2327.8059815999995</v>
      </c>
      <c r="D6" s="70">
        <v>2687.9408610999976</v>
      </c>
      <c r="E6" s="70">
        <v>3677.8578333000041</v>
      </c>
      <c r="F6" s="70">
        <v>5034.5824009000034</v>
      </c>
      <c r="G6" s="70">
        <v>4170.4311412999978</v>
      </c>
      <c r="H6" s="70">
        <v>4991.2863789999965</v>
      </c>
      <c r="I6" s="70">
        <v>4781.1559496400077</v>
      </c>
      <c r="J6" s="70">
        <v>3878.439516700013</v>
      </c>
      <c r="K6" s="70">
        <v>4946.6385894400073</v>
      </c>
      <c r="L6" s="70">
        <v>10870.7</v>
      </c>
      <c r="M6" s="70">
        <v>10687.1</v>
      </c>
      <c r="N6" s="70">
        <v>12024.8</v>
      </c>
      <c r="O6" s="55" t="s">
        <v>657</v>
      </c>
    </row>
    <row r="7" spans="1:15" ht="27">
      <c r="A7" s="51" t="s">
        <v>633</v>
      </c>
      <c r="B7" s="70">
        <v>1343.9200746000004</v>
      </c>
      <c r="C7" s="70">
        <v>2070.0975487999999</v>
      </c>
      <c r="D7" s="70">
        <v>2342.6959070999974</v>
      </c>
      <c r="E7" s="70">
        <v>3157.2674870000037</v>
      </c>
      <c r="F7" s="70">
        <v>4611.7910142000064</v>
      </c>
      <c r="G7" s="70">
        <v>3721.1080741999963</v>
      </c>
      <c r="H7" s="70">
        <v>3845.3796167999953</v>
      </c>
      <c r="I7" s="70">
        <v>3519.9688972000081</v>
      </c>
      <c r="J7" s="70">
        <v>3057.401318680013</v>
      </c>
      <c r="K7" s="70">
        <v>2983.1027707900066</v>
      </c>
      <c r="L7" s="70">
        <v>7373.9</v>
      </c>
      <c r="M7" s="70">
        <v>6813.5</v>
      </c>
      <c r="N7" s="70">
        <v>8069.7</v>
      </c>
      <c r="O7" s="55" t="s">
        <v>634</v>
      </c>
    </row>
    <row r="8" spans="1:15" ht="27">
      <c r="A8" s="535" t="s">
        <v>636</v>
      </c>
      <c r="B8" s="70">
        <v>5.0711061999999991</v>
      </c>
      <c r="C8" s="70">
        <v>30.775255999999999</v>
      </c>
      <c r="D8" s="70">
        <v>51.9225347</v>
      </c>
      <c r="E8" s="70">
        <v>78.488711100000017</v>
      </c>
      <c r="F8" s="70">
        <v>83.359927200000001</v>
      </c>
      <c r="G8" s="70">
        <v>109.45360420000002</v>
      </c>
      <c r="H8" s="70">
        <v>813.37632939999946</v>
      </c>
      <c r="I8" s="70">
        <v>988.47676728000022</v>
      </c>
      <c r="J8" s="70">
        <v>503.77669248000001</v>
      </c>
      <c r="K8" s="70">
        <v>1553.7010581499999</v>
      </c>
      <c r="L8" s="70">
        <v>2798.3</v>
      </c>
      <c r="M8" s="70">
        <v>3437.1</v>
      </c>
      <c r="N8" s="70">
        <v>3467.4</v>
      </c>
      <c r="O8" s="55" t="s">
        <v>637</v>
      </c>
    </row>
    <row r="9" spans="1:15" ht="27">
      <c r="A9" s="51" t="s">
        <v>659</v>
      </c>
      <c r="B9" s="70">
        <v>307.36767829999917</v>
      </c>
      <c r="C9" s="70">
        <v>226.93317679999973</v>
      </c>
      <c r="D9" s="70">
        <v>293.32241930000009</v>
      </c>
      <c r="E9" s="70">
        <v>442.1016352000006</v>
      </c>
      <c r="F9" s="70">
        <v>339.43145949999689</v>
      </c>
      <c r="G9" s="70">
        <v>339.86946290000151</v>
      </c>
      <c r="H9" s="70">
        <v>332.53043280000202</v>
      </c>
      <c r="I9" s="70">
        <v>272.71028515999933</v>
      </c>
      <c r="J9" s="70">
        <v>317.26150554000014</v>
      </c>
      <c r="K9" s="70">
        <v>409.83476050000081</v>
      </c>
      <c r="L9" s="70">
        <v>698.5</v>
      </c>
      <c r="M9" s="70">
        <v>436.4</v>
      </c>
      <c r="N9" s="70">
        <v>487.8</v>
      </c>
      <c r="O9" s="55" t="s">
        <v>660</v>
      </c>
    </row>
    <row r="10" spans="1:15" ht="27">
      <c r="A10" s="57" t="s">
        <v>661</v>
      </c>
      <c r="B10" s="70">
        <v>1384.8595977999994</v>
      </c>
      <c r="C10" s="70">
        <v>1324.8527114999999</v>
      </c>
      <c r="D10" s="70">
        <v>974.90012750000074</v>
      </c>
      <c r="E10" s="70">
        <v>966.93615320000083</v>
      </c>
      <c r="F10" s="70">
        <v>1039.8591544000003</v>
      </c>
      <c r="G10" s="70">
        <v>1029.4808505000003</v>
      </c>
      <c r="H10" s="70">
        <v>1014.378758164</v>
      </c>
      <c r="I10" s="70">
        <v>1250.29237758</v>
      </c>
      <c r="J10" s="70">
        <v>3714.2551284300012</v>
      </c>
      <c r="K10" s="70">
        <v>1527.3551143900002</v>
      </c>
      <c r="L10" s="70">
        <v>2490.3000000000002</v>
      </c>
      <c r="M10" s="70">
        <v>4825.5</v>
      </c>
      <c r="N10" s="70">
        <v>1606.7</v>
      </c>
      <c r="O10" s="296" t="s">
        <v>662</v>
      </c>
    </row>
    <row r="11" spans="1:15" ht="27">
      <c r="A11" s="51" t="s">
        <v>663</v>
      </c>
      <c r="B11" s="70">
        <v>1161.7434956000002</v>
      </c>
      <c r="C11" s="70">
        <v>788.69570640000006</v>
      </c>
      <c r="D11" s="70">
        <v>741.37196040000026</v>
      </c>
      <c r="E11" s="70">
        <v>796.81196360000081</v>
      </c>
      <c r="F11" s="70">
        <v>609.94136149999997</v>
      </c>
      <c r="G11" s="70">
        <v>515.54089670000053</v>
      </c>
      <c r="H11" s="70">
        <v>587.5149339000003</v>
      </c>
      <c r="I11" s="70">
        <v>559.83521745999997</v>
      </c>
      <c r="J11" s="70">
        <v>1477.0997680600012</v>
      </c>
      <c r="K11" s="70">
        <v>515.69368883000004</v>
      </c>
      <c r="L11" s="70">
        <v>1339.2</v>
      </c>
      <c r="M11" s="70">
        <v>1818.6</v>
      </c>
      <c r="N11" s="70">
        <v>889.3</v>
      </c>
      <c r="O11" s="55" t="s">
        <v>664</v>
      </c>
    </row>
    <row r="12" spans="1:15" ht="27">
      <c r="A12" s="51" t="s">
        <v>665</v>
      </c>
      <c r="B12" s="70">
        <v>11.051951899999999</v>
      </c>
      <c r="C12" s="70">
        <v>7.7196112000000001</v>
      </c>
      <c r="D12" s="70">
        <v>26.4992546</v>
      </c>
      <c r="E12" s="70">
        <v>13.235402000000002</v>
      </c>
      <c r="F12" s="70">
        <v>221.13480919999998</v>
      </c>
      <c r="G12" s="70">
        <v>107.94538370000001</v>
      </c>
      <c r="H12" s="70">
        <v>42.771529400000006</v>
      </c>
      <c r="I12" s="70">
        <v>253.84187783000004</v>
      </c>
      <c r="J12" s="70">
        <v>1330.12536744</v>
      </c>
      <c r="K12" s="70">
        <v>706.14493376000007</v>
      </c>
      <c r="L12" s="70">
        <v>781.7</v>
      </c>
      <c r="M12" s="70">
        <v>746.1</v>
      </c>
      <c r="N12" s="70">
        <v>405.1</v>
      </c>
      <c r="O12" s="55" t="s">
        <v>666</v>
      </c>
    </row>
    <row r="13" spans="1:15" ht="27">
      <c r="A13" s="51" t="s">
        <v>667</v>
      </c>
      <c r="B13" s="70">
        <v>212.06415029999926</v>
      </c>
      <c r="C13" s="70">
        <v>528.43739389999985</v>
      </c>
      <c r="D13" s="70">
        <v>207.0289125000005</v>
      </c>
      <c r="E13" s="70">
        <v>156.8887876</v>
      </c>
      <c r="F13" s="70">
        <v>208.78298370000039</v>
      </c>
      <c r="G13" s="70">
        <v>405.99457009999981</v>
      </c>
      <c r="H13" s="70">
        <v>384.09229486399977</v>
      </c>
      <c r="I13" s="70">
        <v>436.61528228999998</v>
      </c>
      <c r="J13" s="70">
        <v>907.02999292999993</v>
      </c>
      <c r="K13" s="70">
        <v>305.51649180000004</v>
      </c>
      <c r="L13" s="70">
        <v>275.39999999999998</v>
      </c>
      <c r="M13" s="70">
        <v>2038.5</v>
      </c>
      <c r="N13" s="70">
        <v>26.7</v>
      </c>
      <c r="O13" s="55" t="s">
        <v>668</v>
      </c>
    </row>
    <row r="14" spans="1:15" ht="27">
      <c r="A14" s="57" t="s">
        <v>669</v>
      </c>
      <c r="B14" s="70">
        <v>1158.7111394999938</v>
      </c>
      <c r="C14" s="70">
        <v>1526.0552558000036</v>
      </c>
      <c r="D14" s="70">
        <v>1471.6913483000071</v>
      </c>
      <c r="E14" s="70">
        <v>1917.2907743000078</v>
      </c>
      <c r="F14" s="70">
        <v>2753.2441123000008</v>
      </c>
      <c r="G14" s="70">
        <v>697.96246830001564</v>
      </c>
      <c r="H14" s="70">
        <v>1129.9584022000081</v>
      </c>
      <c r="I14" s="70">
        <v>1266.8136227199857</v>
      </c>
      <c r="J14" s="70">
        <v>1615.4447712500041</v>
      </c>
      <c r="K14" s="70">
        <v>1384.9384260799861</v>
      </c>
      <c r="L14" s="70">
        <v>2391.3000000000002</v>
      </c>
      <c r="M14" s="70">
        <v>1838.8</v>
      </c>
      <c r="N14" s="70">
        <v>2470</v>
      </c>
      <c r="O14" s="55" t="s">
        <v>670</v>
      </c>
    </row>
    <row r="15" spans="1:15" ht="27">
      <c r="A15" s="295" t="s">
        <v>671</v>
      </c>
      <c r="B15" s="70">
        <v>8269.0538917000031</v>
      </c>
      <c r="C15" s="70">
        <v>10692.577135400012</v>
      </c>
      <c r="D15" s="70">
        <v>11722.609718900047</v>
      </c>
      <c r="E15" s="70">
        <v>13590.219582500069</v>
      </c>
      <c r="F15" s="70">
        <v>11404.021774200004</v>
      </c>
      <c r="G15" s="70">
        <v>13953.911472800022</v>
      </c>
      <c r="H15" s="70">
        <v>13468.108734121995</v>
      </c>
      <c r="I15" s="70">
        <v>19482.355947159998</v>
      </c>
      <c r="J15" s="70">
        <v>21632.661085379983</v>
      </c>
      <c r="K15" s="70">
        <v>20146.939435499935</v>
      </c>
      <c r="L15" s="70">
        <v>22118.799999999999</v>
      </c>
      <c r="M15" s="70">
        <v>33431.800000000003</v>
      </c>
      <c r="N15" s="70">
        <v>36691.800000000003</v>
      </c>
      <c r="O15" s="297" t="s">
        <v>672</v>
      </c>
    </row>
    <row r="16" spans="1:15" ht="27">
      <c r="A16" s="57" t="s">
        <v>644</v>
      </c>
      <c r="B16" s="70">
        <v>3226.5745108999981</v>
      </c>
      <c r="C16" s="70">
        <v>4052.5212017999925</v>
      </c>
      <c r="D16" s="70">
        <v>4439.0856302000038</v>
      </c>
      <c r="E16" s="70">
        <v>6692.5346589000164</v>
      </c>
      <c r="F16" s="70">
        <v>5528.599452400008</v>
      </c>
      <c r="G16" s="70">
        <v>7445.6916300000112</v>
      </c>
      <c r="H16" s="70">
        <v>6518.1942263220035</v>
      </c>
      <c r="I16" s="70">
        <v>9160.5413381100079</v>
      </c>
      <c r="J16" s="70">
        <v>11708.927728689996</v>
      </c>
      <c r="K16" s="70">
        <v>8390.0218023200159</v>
      </c>
      <c r="L16" s="70">
        <v>7960.5</v>
      </c>
      <c r="M16" s="70">
        <v>7125.1</v>
      </c>
      <c r="N16" s="70">
        <v>13870.3</v>
      </c>
      <c r="O16" s="58" t="s">
        <v>645</v>
      </c>
    </row>
    <row r="17" spans="1:15" ht="27">
      <c r="A17" s="57" t="s">
        <v>673</v>
      </c>
      <c r="B17" s="70">
        <v>1957.5618894000008</v>
      </c>
      <c r="C17" s="70">
        <v>2678.7730222999999</v>
      </c>
      <c r="D17" s="70">
        <v>2558.1978938000029</v>
      </c>
      <c r="E17" s="70">
        <v>2222.3819401000014</v>
      </c>
      <c r="F17" s="70">
        <v>1429.9169661999995</v>
      </c>
      <c r="G17" s="70">
        <v>2064.1227889999977</v>
      </c>
      <c r="H17" s="70">
        <v>2497.8238116000034</v>
      </c>
      <c r="I17" s="70">
        <v>3596.7048203899972</v>
      </c>
      <c r="J17" s="70">
        <v>2831.0563630700012</v>
      </c>
      <c r="K17" s="70">
        <v>2122.0981578399983</v>
      </c>
      <c r="L17" s="70">
        <v>4016.8</v>
      </c>
      <c r="M17" s="70">
        <v>12173.3</v>
      </c>
      <c r="N17" s="70">
        <v>3610.6</v>
      </c>
      <c r="O17" s="58" t="s">
        <v>674</v>
      </c>
    </row>
    <row r="18" spans="1:15" ht="27">
      <c r="A18" s="57" t="s">
        <v>675</v>
      </c>
      <c r="B18" s="70">
        <v>690.65116230000046</v>
      </c>
      <c r="C18" s="70">
        <v>648.53721119999966</v>
      </c>
      <c r="D18" s="70">
        <v>824.01467549999995</v>
      </c>
      <c r="E18" s="70">
        <v>448.47298929999999</v>
      </c>
      <c r="F18" s="70">
        <v>262.98047510000004</v>
      </c>
      <c r="G18" s="70">
        <v>470.57836610000015</v>
      </c>
      <c r="H18" s="70">
        <v>257.24639669999999</v>
      </c>
      <c r="I18" s="70">
        <v>294.4599753600001</v>
      </c>
      <c r="J18" s="70">
        <v>209.88268950000003</v>
      </c>
      <c r="K18" s="70">
        <v>400.24847635000003</v>
      </c>
      <c r="L18" s="70">
        <v>334.2</v>
      </c>
      <c r="M18" s="70">
        <v>208.6</v>
      </c>
      <c r="N18" s="70">
        <v>177.7</v>
      </c>
      <c r="O18" s="55" t="s">
        <v>676</v>
      </c>
    </row>
    <row r="19" spans="1:15" ht="27">
      <c r="A19" s="57" t="s">
        <v>677</v>
      </c>
      <c r="B19" s="70">
        <v>56.613914800000003</v>
      </c>
      <c r="C19" s="70">
        <v>124.70539190000002</v>
      </c>
      <c r="D19" s="70">
        <v>96.562451500000009</v>
      </c>
      <c r="E19" s="70">
        <v>57.706111300000003</v>
      </c>
      <c r="F19" s="70">
        <v>47.300229800000004</v>
      </c>
      <c r="G19" s="70">
        <v>59.549329300000011</v>
      </c>
      <c r="H19" s="70">
        <v>65.652628900000011</v>
      </c>
      <c r="I19" s="70">
        <v>83.924425599999992</v>
      </c>
      <c r="J19" s="70">
        <v>166.52129668999999</v>
      </c>
      <c r="K19" s="70">
        <v>98.704998460000013</v>
      </c>
      <c r="L19" s="70">
        <v>51.9</v>
      </c>
      <c r="M19" s="70">
        <v>124.1</v>
      </c>
      <c r="N19" s="70">
        <v>120.7</v>
      </c>
      <c r="O19" s="55" t="s">
        <v>678</v>
      </c>
    </row>
    <row r="20" spans="1:15" ht="27">
      <c r="A20" s="57" t="s">
        <v>679</v>
      </c>
      <c r="B20" s="70">
        <v>18.879154799999998</v>
      </c>
      <c r="C20" s="70">
        <v>129.9717254</v>
      </c>
      <c r="D20" s="70">
        <v>34.322845599999994</v>
      </c>
      <c r="E20" s="70">
        <v>35.143991299999996</v>
      </c>
      <c r="F20" s="70">
        <v>15.443652299999997</v>
      </c>
      <c r="G20" s="70">
        <v>150.89350580000001</v>
      </c>
      <c r="H20" s="70">
        <v>10.622684100000001</v>
      </c>
      <c r="I20" s="70">
        <v>7.7414829699999999</v>
      </c>
      <c r="J20" s="70">
        <v>15.61816898</v>
      </c>
      <c r="K20" s="70">
        <v>18.744568970000003</v>
      </c>
      <c r="L20" s="70"/>
      <c r="M20" s="70"/>
      <c r="N20" s="70"/>
      <c r="O20" s="55" t="s">
        <v>680</v>
      </c>
    </row>
    <row r="21" spans="1:15" ht="27">
      <c r="A21" s="57" t="s">
        <v>681</v>
      </c>
      <c r="B21" s="70">
        <v>139.99534849999995</v>
      </c>
      <c r="C21" s="70">
        <v>211.61305300000004</v>
      </c>
      <c r="D21" s="70">
        <v>437.19096110000004</v>
      </c>
      <c r="E21" s="70">
        <v>564.30538319999982</v>
      </c>
      <c r="F21" s="70">
        <v>622.96784190000005</v>
      </c>
      <c r="G21" s="70">
        <v>648.18228959999988</v>
      </c>
      <c r="H21" s="70">
        <v>1255.9444896</v>
      </c>
      <c r="I21" s="70">
        <v>950.84816360999992</v>
      </c>
      <c r="J21" s="70">
        <v>551.62559490000001</v>
      </c>
      <c r="K21" s="70">
        <v>2090.9615019800003</v>
      </c>
      <c r="L21" s="70">
        <v>2363.1999999999998</v>
      </c>
      <c r="M21" s="70">
        <v>6216.7</v>
      </c>
      <c r="N21" s="70">
        <v>5678</v>
      </c>
      <c r="O21" s="55" t="s">
        <v>682</v>
      </c>
    </row>
    <row r="22" spans="1:15" ht="27">
      <c r="A22" s="57" t="s">
        <v>630</v>
      </c>
      <c r="B22" s="70">
        <v>300.32733260000009</v>
      </c>
      <c r="C22" s="70">
        <v>325.51691909999994</v>
      </c>
      <c r="D22" s="70">
        <v>479.67320859999995</v>
      </c>
      <c r="E22" s="70">
        <v>610.6564881000005</v>
      </c>
      <c r="F22" s="70">
        <v>813.44351940000024</v>
      </c>
      <c r="G22" s="70">
        <v>670.38330949999965</v>
      </c>
      <c r="H22" s="70">
        <v>729.50194049999993</v>
      </c>
      <c r="I22" s="70">
        <v>2197.3966357299992</v>
      </c>
      <c r="J22" s="70">
        <v>2431.1558943399991</v>
      </c>
      <c r="K22" s="70">
        <v>1711.0938689199997</v>
      </c>
      <c r="L22" s="70">
        <v>1845.6</v>
      </c>
      <c r="M22" s="70">
        <v>2100.4</v>
      </c>
      <c r="N22" s="70">
        <v>3786.6</v>
      </c>
      <c r="O22" s="55" t="s">
        <v>631</v>
      </c>
    </row>
    <row r="23" spans="1:15" ht="27">
      <c r="A23" s="57" t="s">
        <v>683</v>
      </c>
      <c r="B23" s="70">
        <v>828.47930399999973</v>
      </c>
      <c r="C23" s="70">
        <v>908.70679159999941</v>
      </c>
      <c r="D23" s="70">
        <v>605.33702959999994</v>
      </c>
      <c r="E23" s="70">
        <v>379.73414039999994</v>
      </c>
      <c r="F23" s="70">
        <v>260.95609359999992</v>
      </c>
      <c r="G23" s="70">
        <v>545.17044409999994</v>
      </c>
      <c r="H23" s="70">
        <v>622.21381099999974</v>
      </c>
      <c r="I23" s="70">
        <v>841.0401095000002</v>
      </c>
      <c r="J23" s="70">
        <v>953.05700271000001</v>
      </c>
      <c r="K23" s="70">
        <v>1912.98708437</v>
      </c>
      <c r="L23" s="70">
        <v>2707.4</v>
      </c>
      <c r="M23" s="70">
        <v>2274.4</v>
      </c>
      <c r="N23" s="70">
        <v>5444</v>
      </c>
      <c r="O23" s="55" t="s">
        <v>684</v>
      </c>
    </row>
    <row r="24" spans="1:15" ht="27">
      <c r="A24" s="57" t="s">
        <v>628</v>
      </c>
      <c r="B24" s="70">
        <v>586.03397640000026</v>
      </c>
      <c r="C24" s="70">
        <v>657.50983290000011</v>
      </c>
      <c r="D24" s="70">
        <v>509.41298499999999</v>
      </c>
      <c r="E24" s="70">
        <v>547.37547770000015</v>
      </c>
      <c r="F24" s="70">
        <v>784.01586699999996</v>
      </c>
      <c r="G24" s="70">
        <v>622.51968569999997</v>
      </c>
      <c r="H24" s="70">
        <v>590.15748589999998</v>
      </c>
      <c r="I24" s="70">
        <v>1193.5545404899997</v>
      </c>
      <c r="J24" s="70">
        <v>1357.9699971899995</v>
      </c>
      <c r="K24" s="70">
        <v>1040.2098777199994</v>
      </c>
      <c r="L24" s="70">
        <v>1165.5999999999999</v>
      </c>
      <c r="M24" s="70">
        <v>1141.3</v>
      </c>
      <c r="N24" s="70">
        <v>1454.2</v>
      </c>
      <c r="O24" s="55" t="s">
        <v>629</v>
      </c>
    </row>
    <row r="25" spans="1:15" ht="27">
      <c r="A25" s="57" t="s">
        <v>685</v>
      </c>
      <c r="B25" s="70">
        <v>4.4991709999999996</v>
      </c>
      <c r="C25" s="70">
        <v>5.1684577000000012</v>
      </c>
      <c r="D25" s="70">
        <v>7.2104847000000012</v>
      </c>
      <c r="E25" s="70">
        <v>10.177785699999999</v>
      </c>
      <c r="F25" s="70">
        <v>7.1458935999999991</v>
      </c>
      <c r="G25" s="70">
        <v>14.3230091</v>
      </c>
      <c r="H25" s="70">
        <v>7.944758900000001</v>
      </c>
      <c r="I25" s="70">
        <v>6.3555144199999996</v>
      </c>
      <c r="J25" s="70">
        <v>10.75650712</v>
      </c>
      <c r="K25" s="70">
        <v>8.3320316899999991</v>
      </c>
      <c r="L25" s="70"/>
      <c r="M25" s="70"/>
      <c r="N25" s="70"/>
      <c r="O25" s="55" t="s">
        <v>686</v>
      </c>
    </row>
    <row r="26" spans="1:15" ht="27">
      <c r="A26" s="57" t="s">
        <v>687</v>
      </c>
      <c r="B26" s="70">
        <v>1.2850036</v>
      </c>
      <c r="C26" s="70">
        <v>24.798450300000006</v>
      </c>
      <c r="D26" s="70">
        <v>6.4681020999999985</v>
      </c>
      <c r="E26" s="70">
        <v>15.491366900000001</v>
      </c>
      <c r="F26" s="70">
        <v>21.140727699999999</v>
      </c>
      <c r="G26" s="70">
        <v>4.4742090999999995</v>
      </c>
      <c r="H26" s="70">
        <v>11.795030499999998</v>
      </c>
      <c r="I26" s="70">
        <v>6.1862729999999999</v>
      </c>
      <c r="J26" s="70">
        <v>12.137322639999999</v>
      </c>
      <c r="K26" s="70">
        <v>4.7143344699999998</v>
      </c>
      <c r="L26" s="70"/>
      <c r="M26" s="70"/>
      <c r="N26" s="70"/>
      <c r="O26" s="55" t="s">
        <v>688</v>
      </c>
    </row>
    <row r="27" spans="1:15" ht="27">
      <c r="A27" s="57" t="s">
        <v>689</v>
      </c>
      <c r="B27" s="70">
        <v>458.15312340000401</v>
      </c>
      <c r="C27" s="70">
        <v>924.75507820002167</v>
      </c>
      <c r="D27" s="70">
        <v>1725.1334512000431</v>
      </c>
      <c r="E27" s="70">
        <v>2006.2392496000502</v>
      </c>
      <c r="F27" s="70">
        <v>1610.1110551999955</v>
      </c>
      <c r="G27" s="70">
        <v>1258.0229055000127</v>
      </c>
      <c r="H27" s="70">
        <v>901.01147009998931</v>
      </c>
      <c r="I27" s="70">
        <v>1143.6026679799943</v>
      </c>
      <c r="J27" s="70">
        <v>1383.9525195499846</v>
      </c>
      <c r="K27" s="70">
        <v>2348.8227324099207</v>
      </c>
      <c r="L27" s="70">
        <v>381.6</v>
      </c>
      <c r="M27" s="70">
        <v>609.29999999999995</v>
      </c>
      <c r="N27" s="70">
        <v>1018.6</v>
      </c>
      <c r="O27" s="58" t="s">
        <v>690</v>
      </c>
    </row>
    <row r="28" spans="1:15" ht="27">
      <c r="A28" s="295" t="s">
        <v>691</v>
      </c>
      <c r="B28" s="70">
        <v>15391.6358098</v>
      </c>
      <c r="C28" s="70">
        <v>16907.587137799994</v>
      </c>
      <c r="D28" s="70">
        <v>18593.281675499988</v>
      </c>
      <c r="E28" s="70">
        <v>17936.290296299994</v>
      </c>
      <c r="F28" s="70">
        <v>11103.143326299996</v>
      </c>
      <c r="G28" s="70">
        <v>9227.1855083000137</v>
      </c>
      <c r="H28" s="70">
        <v>12706.254524699994</v>
      </c>
      <c r="I28" s="70">
        <v>16815.182882519992</v>
      </c>
      <c r="J28" s="70">
        <v>16385.164668999994</v>
      </c>
      <c r="K28" s="70">
        <v>15030.08636738001</v>
      </c>
      <c r="L28" s="70">
        <v>19998.599999999999</v>
      </c>
      <c r="M28" s="70">
        <v>34406.699999999997</v>
      </c>
      <c r="N28" s="70">
        <v>32652.7</v>
      </c>
      <c r="O28" s="297" t="s">
        <v>692</v>
      </c>
    </row>
    <row r="29" spans="1:15" ht="27">
      <c r="A29" s="57" t="s">
        <v>693</v>
      </c>
      <c r="B29" s="70">
        <v>14863.397754199998</v>
      </c>
      <c r="C29" s="70">
        <v>16517.402968599992</v>
      </c>
      <c r="D29" s="70">
        <v>18088.986779999996</v>
      </c>
      <c r="E29" s="70">
        <v>17564.261555599998</v>
      </c>
      <c r="F29" s="70">
        <v>10765.263540999993</v>
      </c>
      <c r="G29" s="70">
        <v>8952.4677844000144</v>
      </c>
      <c r="H29" s="70">
        <v>12200.791787199996</v>
      </c>
      <c r="I29" s="70">
        <v>16345.700435149996</v>
      </c>
      <c r="J29" s="70">
        <v>15820.239287439996</v>
      </c>
      <c r="K29" s="70">
        <v>14511.55503144001</v>
      </c>
      <c r="L29" s="70">
        <v>19240.7</v>
      </c>
      <c r="M29" s="70">
        <v>33667.599999999999</v>
      </c>
      <c r="N29" s="70">
        <v>31872.7</v>
      </c>
      <c r="O29" s="58" t="s">
        <v>694</v>
      </c>
    </row>
    <row r="30" spans="1:15" ht="27">
      <c r="A30" s="57" t="s">
        <v>695</v>
      </c>
      <c r="B30" s="70">
        <v>1.1418775000000001</v>
      </c>
      <c r="C30" s="70">
        <v>0.45979140000000002</v>
      </c>
      <c r="D30" s="70">
        <v>1.4546031000000001</v>
      </c>
      <c r="E30" s="70">
        <v>5.1647906000000008</v>
      </c>
      <c r="F30" s="70">
        <v>4.1698310000000003</v>
      </c>
      <c r="G30" s="70">
        <v>10.8274522</v>
      </c>
      <c r="H30" s="70">
        <v>26.499397500000001</v>
      </c>
      <c r="I30" s="70">
        <v>1.40121421</v>
      </c>
      <c r="J30" s="70">
        <v>6.5960343799999999</v>
      </c>
      <c r="K30" s="70">
        <v>9.0615410000000001</v>
      </c>
      <c r="L30" s="70"/>
      <c r="M30" s="70"/>
      <c r="N30" s="70"/>
      <c r="O30" s="55" t="s">
        <v>696</v>
      </c>
    </row>
    <row r="31" spans="1:15" ht="27">
      <c r="A31" s="57" t="s">
        <v>766</v>
      </c>
      <c r="B31" s="70">
        <v>251.41504409999999</v>
      </c>
      <c r="C31" s="70">
        <v>307.92143070000003</v>
      </c>
      <c r="D31" s="70">
        <v>425.81538710000007</v>
      </c>
      <c r="E31" s="70">
        <v>313.56603599999994</v>
      </c>
      <c r="F31" s="70">
        <v>291.38825650000007</v>
      </c>
      <c r="G31" s="70">
        <v>221.4660283</v>
      </c>
      <c r="H31" s="70">
        <v>432.97879310000013</v>
      </c>
      <c r="I31" s="70">
        <v>378.71329864999996</v>
      </c>
      <c r="J31" s="70">
        <v>459.90803733999991</v>
      </c>
      <c r="K31" s="70">
        <v>396.43166955000038</v>
      </c>
      <c r="L31" s="70">
        <v>622.29999999999995</v>
      </c>
      <c r="M31" s="70">
        <v>560.1</v>
      </c>
      <c r="N31" s="70">
        <v>531.79999999999995</v>
      </c>
      <c r="O31" s="58" t="s">
        <v>635</v>
      </c>
    </row>
    <row r="32" spans="1:15" ht="27">
      <c r="A32" s="57" t="s">
        <v>697</v>
      </c>
      <c r="B32" s="70">
        <v>5.2737893999999992</v>
      </c>
      <c r="C32" s="70">
        <v>8.4215894999999996</v>
      </c>
      <c r="D32" s="70">
        <v>14.529278700000001</v>
      </c>
      <c r="E32" s="70">
        <v>8.547370299999999</v>
      </c>
      <c r="F32" s="70">
        <v>9.8536752000000032</v>
      </c>
      <c r="G32" s="70">
        <v>10.214471099999999</v>
      </c>
      <c r="H32" s="70">
        <v>10.942234299999999</v>
      </c>
      <c r="I32" s="70">
        <v>15.20716148</v>
      </c>
      <c r="J32" s="70">
        <v>19.489599120000001</v>
      </c>
      <c r="K32" s="70">
        <v>69.366767120000006</v>
      </c>
      <c r="L32" s="70">
        <v>16.100000000000001</v>
      </c>
      <c r="M32" s="70">
        <v>37.799999999999997</v>
      </c>
      <c r="N32" s="70">
        <v>19.3</v>
      </c>
      <c r="O32" s="58" t="s">
        <v>698</v>
      </c>
    </row>
    <row r="33" spans="1:15" ht="27">
      <c r="A33" s="57" t="s">
        <v>699</v>
      </c>
      <c r="B33" s="70">
        <v>270.40734460000203</v>
      </c>
      <c r="C33" s="70">
        <v>73.381357599999319</v>
      </c>
      <c r="D33" s="70">
        <v>62.495626599993557</v>
      </c>
      <c r="E33" s="70">
        <v>44.750543799997104</v>
      </c>
      <c r="F33" s="70">
        <v>32.468022600003678</v>
      </c>
      <c r="G33" s="70">
        <v>32.209772300000623</v>
      </c>
      <c r="H33" s="70">
        <v>35.042312599996876</v>
      </c>
      <c r="I33" s="70">
        <v>74.160773029994743</v>
      </c>
      <c r="J33" s="70">
        <v>78.93171072000041</v>
      </c>
      <c r="K33" s="70">
        <v>43.671358270001292</v>
      </c>
      <c r="L33" s="70">
        <v>119.5</v>
      </c>
      <c r="M33" s="70">
        <v>141.1</v>
      </c>
      <c r="N33" s="70">
        <v>228.8</v>
      </c>
      <c r="O33" s="58" t="s">
        <v>700</v>
      </c>
    </row>
    <row r="34" spans="1:15" ht="27">
      <c r="A34" s="298" t="s">
        <v>701</v>
      </c>
      <c r="B34" s="70">
        <v>25007.316902900002</v>
      </c>
      <c r="C34" s="70">
        <v>35899.072108800006</v>
      </c>
      <c r="D34" s="70">
        <v>34716.408530200002</v>
      </c>
      <c r="E34" s="70">
        <v>36487.861921100004</v>
      </c>
      <c r="F34" s="70">
        <v>27947.63326130002</v>
      </c>
      <c r="G34" s="70">
        <v>29046.561984801021</v>
      </c>
      <c r="H34" s="70">
        <v>42279.3574563</v>
      </c>
      <c r="I34" s="70">
        <v>57094.190813570029</v>
      </c>
      <c r="J34" s="70">
        <v>52681.652023769981</v>
      </c>
      <c r="K34" s="70">
        <v>50173.454849730049</v>
      </c>
      <c r="L34" s="70">
        <v>57515</v>
      </c>
      <c r="M34" s="70">
        <v>74269.600000000006</v>
      </c>
      <c r="N34" s="70">
        <v>70463.100000000006</v>
      </c>
      <c r="O34" s="297" t="s">
        <v>702</v>
      </c>
    </row>
    <row r="35" spans="1:15" ht="27">
      <c r="A35" s="57" t="s">
        <v>703</v>
      </c>
      <c r="B35" s="70">
        <v>971.26995290000013</v>
      </c>
      <c r="C35" s="70">
        <v>289.55231160000017</v>
      </c>
      <c r="D35" s="70">
        <v>136.25722780000001</v>
      </c>
      <c r="E35" s="70">
        <v>462.62691169999999</v>
      </c>
      <c r="F35" s="70">
        <v>315.18374630000005</v>
      </c>
      <c r="G35" s="70">
        <v>172.16712559999999</v>
      </c>
      <c r="H35" s="70">
        <v>144.22061919999996</v>
      </c>
      <c r="I35" s="70">
        <v>173.53804258000002</v>
      </c>
      <c r="J35" s="70">
        <v>245.19694389999998</v>
      </c>
      <c r="K35" s="70">
        <v>243.59006079999997</v>
      </c>
      <c r="L35" s="70">
        <v>1170.5</v>
      </c>
      <c r="M35" s="70">
        <v>189.2</v>
      </c>
      <c r="N35" s="70">
        <v>316.2</v>
      </c>
      <c r="O35" s="59" t="s">
        <v>704</v>
      </c>
    </row>
    <row r="36" spans="1:15" ht="27">
      <c r="A36" s="57" t="s">
        <v>640</v>
      </c>
      <c r="B36" s="70">
        <v>2729.3128568999982</v>
      </c>
      <c r="C36" s="70">
        <v>3143.5864712999978</v>
      </c>
      <c r="D36" s="70">
        <v>4373.867763000002</v>
      </c>
      <c r="E36" s="70">
        <v>5550.1050378999935</v>
      </c>
      <c r="F36" s="70">
        <v>4563.0385763000158</v>
      </c>
      <c r="G36" s="70">
        <v>3155.6076666090071</v>
      </c>
      <c r="H36" s="70">
        <v>6409.7825547000002</v>
      </c>
      <c r="I36" s="70">
        <v>13180.522807440018</v>
      </c>
      <c r="J36" s="70">
        <v>14500.574671569995</v>
      </c>
      <c r="K36" s="70">
        <v>14876.99514278001</v>
      </c>
      <c r="L36" s="70">
        <v>20514.400000000001</v>
      </c>
      <c r="M36" s="70">
        <v>29329.3</v>
      </c>
      <c r="N36" s="70">
        <v>22056.799999999999</v>
      </c>
      <c r="O36" s="58" t="s">
        <v>641</v>
      </c>
    </row>
    <row r="37" spans="1:15" ht="27">
      <c r="A37" s="57" t="s">
        <v>705</v>
      </c>
      <c r="B37" s="70">
        <v>298.66281850000007</v>
      </c>
      <c r="C37" s="70">
        <v>611.73229119999996</v>
      </c>
      <c r="D37" s="70">
        <v>518.09574020000002</v>
      </c>
      <c r="E37" s="70">
        <v>871.38271759999884</v>
      </c>
      <c r="F37" s="70">
        <v>541.17969019999975</v>
      </c>
      <c r="G37" s="70">
        <v>588.51163559999986</v>
      </c>
      <c r="H37" s="70">
        <v>610.84634989999972</v>
      </c>
      <c r="I37" s="70">
        <v>595.98298504999991</v>
      </c>
      <c r="J37" s="70">
        <v>414.57800210999989</v>
      </c>
      <c r="K37" s="70">
        <v>294.57732407999998</v>
      </c>
      <c r="L37" s="70">
        <v>453.4</v>
      </c>
      <c r="M37" s="70">
        <v>491</v>
      </c>
      <c r="N37" s="70">
        <v>955.5</v>
      </c>
      <c r="O37" s="58" t="s">
        <v>706</v>
      </c>
    </row>
    <row r="38" spans="1:15" ht="27">
      <c r="A38" s="535" t="s">
        <v>1101</v>
      </c>
      <c r="B38" s="70">
        <v>282.41963119999997</v>
      </c>
      <c r="C38" s="70">
        <v>88.203171199999986</v>
      </c>
      <c r="D38" s="70">
        <v>322.64427449999994</v>
      </c>
      <c r="E38" s="70">
        <v>1140.2324150999998</v>
      </c>
      <c r="F38" s="70">
        <v>1245.5780102999997</v>
      </c>
      <c r="G38" s="70">
        <v>803.90323380000007</v>
      </c>
      <c r="H38" s="70">
        <v>3413.5772943999996</v>
      </c>
      <c r="I38" s="70">
        <v>4165.8794666600006</v>
      </c>
      <c r="J38" s="70">
        <v>5072.3425592600006</v>
      </c>
      <c r="K38" s="70">
        <v>6150.4882832900003</v>
      </c>
      <c r="L38" s="70">
        <v>2080.9</v>
      </c>
      <c r="M38" s="70">
        <v>62</v>
      </c>
      <c r="N38" s="70">
        <v>139.1</v>
      </c>
      <c r="O38" s="58" t="s">
        <v>708</v>
      </c>
    </row>
    <row r="39" spans="1:15" ht="27">
      <c r="A39" s="57" t="s">
        <v>638</v>
      </c>
      <c r="B39" s="70">
        <v>2312.744996599999</v>
      </c>
      <c r="C39" s="70">
        <v>3179.7157832999974</v>
      </c>
      <c r="D39" s="70">
        <v>2370.263329299999</v>
      </c>
      <c r="E39" s="70">
        <v>1539.2166690999954</v>
      </c>
      <c r="F39" s="70">
        <v>1073.1737582999999</v>
      </c>
      <c r="G39" s="70">
        <v>1692.1399337000007</v>
      </c>
      <c r="H39" s="70">
        <v>1296.5872267999991</v>
      </c>
      <c r="I39" s="70">
        <v>1578.8107976799995</v>
      </c>
      <c r="J39" s="70">
        <v>1180.5505804500003</v>
      </c>
      <c r="K39" s="70">
        <v>1481.9640458499985</v>
      </c>
      <c r="L39" s="70">
        <v>1591.2</v>
      </c>
      <c r="M39" s="70">
        <v>2726.2</v>
      </c>
      <c r="N39" s="70">
        <v>3269.2</v>
      </c>
      <c r="O39" s="58" t="s">
        <v>639</v>
      </c>
    </row>
    <row r="40" spans="1:15" ht="27">
      <c r="A40" s="57" t="s">
        <v>646</v>
      </c>
      <c r="B40" s="70">
        <v>7022.7230802000049</v>
      </c>
      <c r="C40" s="70">
        <v>10827.338644300002</v>
      </c>
      <c r="D40" s="70">
        <v>10875.904334199999</v>
      </c>
      <c r="E40" s="70">
        <v>10530.061595700014</v>
      </c>
      <c r="F40" s="70">
        <v>5161.7697874999994</v>
      </c>
      <c r="G40" s="70">
        <v>5229.315686392003</v>
      </c>
      <c r="H40" s="70">
        <v>6360.5351208000047</v>
      </c>
      <c r="I40" s="70">
        <v>6238.25413364</v>
      </c>
      <c r="J40" s="70">
        <v>8847.6487308899941</v>
      </c>
      <c r="K40" s="70">
        <v>8611.9407723100121</v>
      </c>
      <c r="L40" s="70">
        <v>10186.1</v>
      </c>
      <c r="M40" s="70">
        <v>12465</v>
      </c>
      <c r="N40" s="70">
        <v>11568.1</v>
      </c>
      <c r="O40" s="58" t="s">
        <v>647</v>
      </c>
    </row>
    <row r="41" spans="1:15" ht="27">
      <c r="A41" s="57" t="s">
        <v>642</v>
      </c>
      <c r="B41" s="70">
        <v>1174.8440169999994</v>
      </c>
      <c r="C41" s="70">
        <v>1868.0926531000005</v>
      </c>
      <c r="D41" s="70">
        <v>2178.5259547000023</v>
      </c>
      <c r="E41" s="70">
        <v>1999.7139515999993</v>
      </c>
      <c r="F41" s="70">
        <v>2778.6368852999999</v>
      </c>
      <c r="G41" s="70">
        <v>1717.7040416999996</v>
      </c>
      <c r="H41" s="70">
        <v>2201.3134988999991</v>
      </c>
      <c r="I41" s="70">
        <v>2886.8383437500011</v>
      </c>
      <c r="J41" s="70">
        <v>3110.8103333799977</v>
      </c>
      <c r="K41" s="70">
        <v>3018.7886055200011</v>
      </c>
      <c r="L41" s="70">
        <v>2732.9</v>
      </c>
      <c r="M41" s="70">
        <v>2150.1999999999998</v>
      </c>
      <c r="N41" s="70">
        <v>3351.1</v>
      </c>
      <c r="O41" s="58" t="s">
        <v>643</v>
      </c>
    </row>
    <row r="42" spans="1:15" ht="27">
      <c r="A42" s="57" t="s">
        <v>648</v>
      </c>
      <c r="B42" s="70">
        <v>6376.4825317000013</v>
      </c>
      <c r="C42" s="70">
        <v>10083.864017700003</v>
      </c>
      <c r="D42" s="70">
        <v>8338.8496508000062</v>
      </c>
      <c r="E42" s="70">
        <v>6925.5062326000043</v>
      </c>
      <c r="F42" s="70">
        <v>7432.5606944000037</v>
      </c>
      <c r="G42" s="70">
        <v>6531.2350729</v>
      </c>
      <c r="H42" s="70">
        <v>8014.3726550999972</v>
      </c>
      <c r="I42" s="70">
        <v>12064.282400480008</v>
      </c>
      <c r="J42" s="70">
        <v>9531.4517905599951</v>
      </c>
      <c r="K42" s="70">
        <v>6929.8732527800103</v>
      </c>
      <c r="L42" s="70">
        <v>9383.9</v>
      </c>
      <c r="M42" s="70">
        <v>9066.9</v>
      </c>
      <c r="N42" s="70">
        <v>18478.8</v>
      </c>
      <c r="O42" s="58" t="s">
        <v>649</v>
      </c>
    </row>
    <row r="43" spans="1:15" ht="27">
      <c r="A43" s="57" t="s">
        <v>709</v>
      </c>
      <c r="B43" s="70">
        <v>222.36892000000003</v>
      </c>
      <c r="C43" s="70">
        <v>861.2235862</v>
      </c>
      <c r="D43" s="70">
        <v>565.3427396000003</v>
      </c>
      <c r="E43" s="70">
        <v>220.37985740000002</v>
      </c>
      <c r="F43" s="70">
        <v>142.4446786</v>
      </c>
      <c r="G43" s="70">
        <v>84.955051499999996</v>
      </c>
      <c r="H43" s="70">
        <v>106.78582110000001</v>
      </c>
      <c r="I43" s="70">
        <v>266.03484591999995</v>
      </c>
      <c r="J43" s="70">
        <v>256.50635341000003</v>
      </c>
      <c r="K43" s="70">
        <v>283.53868080000001</v>
      </c>
      <c r="L43" s="70">
        <v>207</v>
      </c>
      <c r="M43" s="70">
        <v>244.2</v>
      </c>
      <c r="N43" s="70">
        <v>226</v>
      </c>
      <c r="O43" s="58" t="s">
        <v>710</v>
      </c>
    </row>
    <row r="44" spans="1:15" ht="27">
      <c r="A44" s="57" t="s">
        <v>711</v>
      </c>
      <c r="B44" s="70">
        <v>126.3716056</v>
      </c>
      <c r="C44" s="70">
        <v>373.2887806</v>
      </c>
      <c r="D44" s="70">
        <v>341.50604859999999</v>
      </c>
      <c r="E44" s="70">
        <v>375.86321530000009</v>
      </c>
      <c r="F44" s="70">
        <v>273.71223900000001</v>
      </c>
      <c r="G44" s="70">
        <v>252.8844490000001</v>
      </c>
      <c r="H44" s="70">
        <v>446.40457199999997</v>
      </c>
      <c r="I44" s="70">
        <v>462.43184918000009</v>
      </c>
      <c r="J44" s="70">
        <v>726.41467820999992</v>
      </c>
      <c r="K44" s="70">
        <v>694.48388686999999</v>
      </c>
      <c r="L44" s="70">
        <v>415.8</v>
      </c>
      <c r="M44" s="70">
        <v>1307.7</v>
      </c>
      <c r="N44" s="70">
        <v>1573.5</v>
      </c>
      <c r="O44" s="58" t="s">
        <v>712</v>
      </c>
    </row>
    <row r="45" spans="1:15" ht="27">
      <c r="A45" s="57" t="s">
        <v>650</v>
      </c>
      <c r="B45" s="70">
        <v>1427.0604923999992</v>
      </c>
      <c r="C45" s="70">
        <v>2034.1600096000016</v>
      </c>
      <c r="D45" s="70">
        <v>1053.1534634000006</v>
      </c>
      <c r="E45" s="70">
        <v>2114.8112792000002</v>
      </c>
      <c r="F45" s="70">
        <v>1770.9904472000003</v>
      </c>
      <c r="G45" s="70">
        <v>5437.8334770000029</v>
      </c>
      <c r="H45" s="70">
        <v>8385.3852989000061</v>
      </c>
      <c r="I45" s="70">
        <v>6718.7578144799954</v>
      </c>
      <c r="J45" s="70">
        <v>3926.753184120003</v>
      </c>
      <c r="K45" s="70">
        <v>4109.5681840000016</v>
      </c>
      <c r="L45" s="70">
        <v>3120.9</v>
      </c>
      <c r="M45" s="70">
        <v>6767.5</v>
      </c>
      <c r="N45" s="70">
        <v>2462.1999999999998</v>
      </c>
      <c r="O45" s="58" t="s">
        <v>651</v>
      </c>
    </row>
    <row r="46" spans="1:15" ht="27">
      <c r="A46" s="57" t="s">
        <v>713</v>
      </c>
      <c r="B46" s="70">
        <v>2063.0559998999961</v>
      </c>
      <c r="C46" s="70">
        <v>2538.3143886999969</v>
      </c>
      <c r="D46" s="70">
        <v>3641.9980040999908</v>
      </c>
      <c r="E46" s="70">
        <v>4757.9620379000007</v>
      </c>
      <c r="F46" s="70">
        <v>2649.3647478999992</v>
      </c>
      <c r="G46" s="70">
        <v>3380.3046110000068</v>
      </c>
      <c r="H46" s="70">
        <v>4889.5464444999961</v>
      </c>
      <c r="I46" s="70">
        <v>8762.8573267100073</v>
      </c>
      <c r="J46" s="70">
        <v>4868.8241959100051</v>
      </c>
      <c r="K46" s="70">
        <v>3477.6466106500156</v>
      </c>
      <c r="L46" s="70">
        <v>290.8</v>
      </c>
      <c r="M46" s="70">
        <v>825.9</v>
      </c>
      <c r="N46" s="70">
        <v>425</v>
      </c>
      <c r="O46" s="58" t="s">
        <v>714</v>
      </c>
    </row>
    <row r="47" spans="1:15" ht="27">
      <c r="A47" s="298" t="s">
        <v>715</v>
      </c>
      <c r="B47" s="70">
        <v>4001.4038009999995</v>
      </c>
      <c r="C47" s="70">
        <v>6231.9792599999992</v>
      </c>
      <c r="D47" s="70">
        <v>8303.6263627000062</v>
      </c>
      <c r="E47" s="70">
        <v>4117.6481819000001</v>
      </c>
      <c r="F47" s="70">
        <v>4378.2872479000007</v>
      </c>
      <c r="G47" s="70">
        <v>4338.3750165000029</v>
      </c>
      <c r="H47" s="70">
        <v>4868.554128300002</v>
      </c>
      <c r="I47" s="70">
        <v>4779.4418644600009</v>
      </c>
      <c r="J47" s="70">
        <v>5393.5927126599991</v>
      </c>
      <c r="K47" s="70">
        <v>8804.9496415400026</v>
      </c>
      <c r="L47" s="70">
        <v>11734.8</v>
      </c>
      <c r="M47" s="70">
        <v>21770.7</v>
      </c>
      <c r="N47" s="70">
        <v>16195.1</v>
      </c>
      <c r="O47" s="297" t="s">
        <v>716</v>
      </c>
    </row>
    <row r="48" spans="1:15" ht="27">
      <c r="A48" s="57" t="s">
        <v>717</v>
      </c>
      <c r="B48" s="70">
        <v>139.9562195</v>
      </c>
      <c r="C48" s="70">
        <v>1207.4059700999999</v>
      </c>
      <c r="D48" s="70">
        <v>396.59698290000017</v>
      </c>
      <c r="E48" s="70">
        <v>170.82729639999997</v>
      </c>
      <c r="F48" s="70">
        <v>141.89481939999999</v>
      </c>
      <c r="G48" s="70">
        <v>198.87017829999991</v>
      </c>
      <c r="H48" s="70">
        <v>346.45295830000003</v>
      </c>
      <c r="I48" s="70">
        <v>398.63092986999993</v>
      </c>
      <c r="J48" s="70">
        <v>603.79120323999996</v>
      </c>
      <c r="K48" s="70">
        <v>1048.3736716100002</v>
      </c>
      <c r="L48" s="70">
        <v>1009.6</v>
      </c>
      <c r="M48" s="70">
        <v>406.9</v>
      </c>
      <c r="N48" s="70">
        <v>724.4</v>
      </c>
      <c r="O48" s="55" t="s">
        <v>718</v>
      </c>
    </row>
    <row r="49" spans="1:15" ht="27">
      <c r="A49" s="57" t="s">
        <v>719</v>
      </c>
      <c r="B49" s="70">
        <v>2055.9062814999997</v>
      </c>
      <c r="C49" s="70">
        <v>1625.0580233999995</v>
      </c>
      <c r="D49" s="70">
        <v>6121.2573151000042</v>
      </c>
      <c r="E49" s="70">
        <v>2263.9156615999996</v>
      </c>
      <c r="F49" s="70">
        <v>2128.8542221000007</v>
      </c>
      <c r="G49" s="70">
        <v>2746.579392300001</v>
      </c>
      <c r="H49" s="70">
        <v>2575.5554207000023</v>
      </c>
      <c r="I49" s="70">
        <v>1944.7269387600011</v>
      </c>
      <c r="J49" s="70">
        <v>2809.0711262199989</v>
      </c>
      <c r="K49" s="70">
        <v>2481.9169507299994</v>
      </c>
      <c r="L49" s="70">
        <v>3077.5</v>
      </c>
      <c r="M49" s="70">
        <v>5474.2</v>
      </c>
      <c r="N49" s="70">
        <v>6609</v>
      </c>
      <c r="O49" s="55" t="s">
        <v>720</v>
      </c>
    </row>
    <row r="50" spans="1:15" ht="27">
      <c r="A50" s="57" t="s">
        <v>721</v>
      </c>
      <c r="B50" s="70">
        <v>2.8610388000000002</v>
      </c>
      <c r="C50" s="70">
        <v>0.18857110000000002</v>
      </c>
      <c r="D50" s="70">
        <v>55.879019100000001</v>
      </c>
      <c r="E50" s="70">
        <v>19.241034800000001</v>
      </c>
      <c r="F50" s="70">
        <v>8.1101263999999986</v>
      </c>
      <c r="G50" s="70">
        <v>5.5859878000000007</v>
      </c>
      <c r="H50" s="70">
        <v>6.0133963000000001</v>
      </c>
      <c r="I50" s="70">
        <v>12.507880779999999</v>
      </c>
      <c r="J50" s="70">
        <v>10.165700880000001</v>
      </c>
      <c r="K50" s="70">
        <v>13.419330150000002</v>
      </c>
      <c r="L50" s="70"/>
      <c r="M50" s="70"/>
      <c r="N50" s="70"/>
      <c r="O50" s="55" t="s">
        <v>722</v>
      </c>
    </row>
    <row r="51" spans="1:15" ht="27">
      <c r="A51" s="535" t="s">
        <v>1102</v>
      </c>
      <c r="B51" s="70"/>
      <c r="C51" s="70"/>
      <c r="D51" s="70"/>
      <c r="E51" s="70"/>
      <c r="F51" s="70"/>
      <c r="G51" s="70"/>
      <c r="H51" s="70"/>
      <c r="I51" s="70"/>
      <c r="J51" s="536">
        <v>371</v>
      </c>
      <c r="K51" s="70">
        <v>95.6</v>
      </c>
      <c r="L51" s="70">
        <v>1935.6</v>
      </c>
      <c r="M51" s="70">
        <v>6307</v>
      </c>
      <c r="N51" s="70">
        <v>86.9</v>
      </c>
      <c r="O51" s="55" t="s">
        <v>1103</v>
      </c>
    </row>
    <row r="52" spans="1:15" ht="27">
      <c r="A52" s="57" t="s">
        <v>723</v>
      </c>
      <c r="B52" s="70">
        <v>5.2636429000000007</v>
      </c>
      <c r="C52" s="70">
        <v>9.0055706999999998</v>
      </c>
      <c r="D52" s="70">
        <v>25.102423600000002</v>
      </c>
      <c r="E52" s="70">
        <v>10.187050800000002</v>
      </c>
      <c r="F52" s="70">
        <v>17.979268000000001</v>
      </c>
      <c r="G52" s="70">
        <v>1.9872059</v>
      </c>
      <c r="H52" s="70">
        <v>12.6080285</v>
      </c>
      <c r="I52" s="70">
        <v>1.6300294900000001</v>
      </c>
      <c r="J52" s="70">
        <v>0.1112988</v>
      </c>
      <c r="K52" s="70">
        <v>0.86607520000000005</v>
      </c>
      <c r="L52" s="70"/>
      <c r="M52" s="70"/>
      <c r="N52" s="70"/>
      <c r="O52" s="58" t="s">
        <v>724</v>
      </c>
    </row>
    <row r="53" spans="1:15" ht="27">
      <c r="A53" s="57" t="s">
        <v>725</v>
      </c>
      <c r="B53" s="70">
        <v>1797.4166182999998</v>
      </c>
      <c r="C53" s="70">
        <v>3390.3211246999995</v>
      </c>
      <c r="D53" s="70">
        <v>1704.7906220000013</v>
      </c>
      <c r="E53" s="70">
        <v>1653.4771383000007</v>
      </c>
      <c r="F53" s="70">
        <v>2081.4488120000001</v>
      </c>
      <c r="G53" s="70">
        <v>1385.3522522000021</v>
      </c>
      <c r="H53" s="70">
        <v>1927.9243245000002</v>
      </c>
      <c r="I53" s="70">
        <v>2421.9460855599996</v>
      </c>
      <c r="J53" s="70">
        <v>1970.4533835200004</v>
      </c>
      <c r="K53" s="70">
        <v>5260.3736138500026</v>
      </c>
      <c r="L53" s="70">
        <v>1980.3</v>
      </c>
      <c r="M53" s="70">
        <v>3004.4</v>
      </c>
      <c r="N53" s="70">
        <v>766.6</v>
      </c>
      <c r="O53" s="55" t="s">
        <v>726</v>
      </c>
    </row>
    <row r="54" spans="1:15" ht="27">
      <c r="A54" s="295" t="s">
        <v>727</v>
      </c>
      <c r="B54" s="70">
        <v>196.55304510000002</v>
      </c>
      <c r="C54" s="70">
        <v>17.938049200000002</v>
      </c>
      <c r="D54" s="70">
        <v>121.74391330000002</v>
      </c>
      <c r="E54" s="70">
        <v>8.334761799999999</v>
      </c>
      <c r="F54" s="70">
        <v>12.369145400000001</v>
      </c>
      <c r="G54" s="70">
        <v>58.042220999999984</v>
      </c>
      <c r="H54" s="70">
        <v>473.84565150000009</v>
      </c>
      <c r="I54" s="70">
        <v>4.0124819299999999</v>
      </c>
      <c r="J54" s="70">
        <v>5.6602275100000004</v>
      </c>
      <c r="K54" s="70">
        <v>41.28085381999999</v>
      </c>
      <c r="L54" s="70">
        <v>59</v>
      </c>
      <c r="M54" s="70">
        <v>29.5</v>
      </c>
      <c r="N54" s="70">
        <v>29.1</v>
      </c>
      <c r="O54" s="297" t="s">
        <v>728</v>
      </c>
    </row>
    <row r="55" spans="1:15" ht="26.4">
      <c r="A55" s="47" t="s">
        <v>625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1"/>
      <c r="M55" s="61"/>
      <c r="N55" s="61"/>
      <c r="O55" s="62" t="s">
        <v>626</v>
      </c>
    </row>
  </sheetData>
  <phoneticPr fontId="6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/>
  </sheetPr>
  <dimension ref="A2:O17"/>
  <sheetViews>
    <sheetView workbookViewId="0">
      <selection activeCell="R5" sqref="R5"/>
    </sheetView>
  </sheetViews>
  <sheetFormatPr baseColWidth="10" defaultRowHeight="14.4"/>
  <cols>
    <col min="1" max="1" width="33.6640625" customWidth="1"/>
    <col min="2" max="2" width="20.33203125" customWidth="1"/>
    <col min="3" max="9" width="12.6640625" bestFit="1" customWidth="1"/>
    <col min="10" max="11" width="14.109375" bestFit="1" customWidth="1"/>
    <col min="12" max="12" width="13.6640625" customWidth="1"/>
    <col min="13" max="13" width="12.88671875" customWidth="1"/>
    <col min="14" max="14" width="16" customWidth="1"/>
    <col min="15" max="15" width="29" customWidth="1"/>
  </cols>
  <sheetData>
    <row r="2" spans="1:15" ht="27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1:15" ht="27">
      <c r="A3" s="63" t="s">
        <v>1571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66" t="s">
        <v>1572</v>
      </c>
    </row>
    <row r="4" spans="1:15" ht="30">
      <c r="A4" s="446" t="s">
        <v>609</v>
      </c>
      <c r="B4" s="446" t="s">
        <v>501</v>
      </c>
      <c r="C4" s="446" t="s">
        <v>502</v>
      </c>
      <c r="D4" s="446" t="s">
        <v>503</v>
      </c>
      <c r="E4" s="446" t="s">
        <v>504</v>
      </c>
      <c r="F4" s="446" t="s">
        <v>505</v>
      </c>
      <c r="G4" s="446" t="s">
        <v>506</v>
      </c>
      <c r="H4" s="446" t="s">
        <v>225</v>
      </c>
      <c r="I4" s="446" t="s">
        <v>226</v>
      </c>
      <c r="J4" s="446" t="s">
        <v>227</v>
      </c>
      <c r="K4" s="446" t="s">
        <v>228</v>
      </c>
      <c r="L4" s="446">
        <v>2021</v>
      </c>
      <c r="M4" s="446">
        <v>2022</v>
      </c>
      <c r="N4" s="446">
        <v>2023</v>
      </c>
      <c r="O4" s="446" t="s">
        <v>729</v>
      </c>
    </row>
    <row r="5" spans="1:15" ht="27">
      <c r="A5" s="299" t="s">
        <v>730</v>
      </c>
      <c r="B5" s="68">
        <v>72108.008630199998</v>
      </c>
      <c r="C5" s="68">
        <v>65013.334940000001</v>
      </c>
      <c r="D5" s="68">
        <v>72850.630492700016</v>
      </c>
      <c r="E5" s="68">
        <v>66674.875283799993</v>
      </c>
      <c r="F5" s="68">
        <v>53714.65035030002</v>
      </c>
      <c r="G5" s="68">
        <v>57925.245532099994</v>
      </c>
      <c r="H5" s="68">
        <v>75242.066798409971</v>
      </c>
      <c r="I5" s="68">
        <v>89432.278859049999</v>
      </c>
      <c r="J5" s="68">
        <v>109241.39882803398</v>
      </c>
      <c r="K5" s="68">
        <v>105200.89801114</v>
      </c>
      <c r="L5" s="68">
        <v>116977.60000000001</v>
      </c>
      <c r="M5" s="68">
        <v>137114.1</v>
      </c>
      <c r="N5" s="68">
        <v>144519.1</v>
      </c>
      <c r="O5" s="296" t="s">
        <v>731</v>
      </c>
    </row>
    <row r="6" spans="1:15" ht="27">
      <c r="A6" s="300" t="s">
        <v>732</v>
      </c>
      <c r="B6" s="68">
        <v>42625.113843500003</v>
      </c>
      <c r="C6" s="68">
        <v>22009.917056499999</v>
      </c>
      <c r="D6" s="68">
        <v>36140.747359799992</v>
      </c>
      <c r="E6" s="68">
        <v>26090.431342299995</v>
      </c>
      <c r="F6" s="68">
        <v>12754.603622299999</v>
      </c>
      <c r="G6" s="68">
        <v>16765.427223499999</v>
      </c>
      <c r="H6" s="68">
        <v>22208.071571800003</v>
      </c>
      <c r="I6" s="68">
        <v>19144.585872</v>
      </c>
      <c r="J6" s="68">
        <v>30480.685329</v>
      </c>
      <c r="K6" s="68">
        <v>36245.299872000003</v>
      </c>
      <c r="L6" s="68">
        <v>64170.9</v>
      </c>
      <c r="M6" s="68">
        <v>47795.3</v>
      </c>
      <c r="N6" s="68">
        <v>50988</v>
      </c>
      <c r="O6" s="55" t="s">
        <v>733</v>
      </c>
    </row>
    <row r="7" spans="1:15" ht="27">
      <c r="A7" s="300" t="s">
        <v>734</v>
      </c>
      <c r="B7" s="68">
        <v>5039.3364208000003</v>
      </c>
      <c r="C7" s="68">
        <v>9255.2787105999996</v>
      </c>
      <c r="D7" s="68">
        <v>9144.7549278000006</v>
      </c>
      <c r="E7" s="68">
        <v>6539.9572598999994</v>
      </c>
      <c r="F7" s="68">
        <v>8747.7664572999984</v>
      </c>
      <c r="G7" s="68">
        <v>6829.7877296000006</v>
      </c>
      <c r="H7" s="68">
        <v>6898.6212943999999</v>
      </c>
      <c r="I7" s="68">
        <v>7212.0692628000006</v>
      </c>
      <c r="J7" s="68">
        <v>6556.0794565600008</v>
      </c>
      <c r="K7" s="68">
        <v>8025.6646218999995</v>
      </c>
      <c r="L7" s="68">
        <v>9201.4</v>
      </c>
      <c r="M7" s="68">
        <v>4761.1000000000004</v>
      </c>
      <c r="N7" s="68">
        <v>4948.6000000000004</v>
      </c>
      <c r="O7" s="55" t="s">
        <v>735</v>
      </c>
    </row>
    <row r="8" spans="1:15" ht="27">
      <c r="A8" s="57" t="s">
        <v>736</v>
      </c>
      <c r="B8" s="68">
        <v>9294.2961452999989</v>
      </c>
      <c r="C8" s="68">
        <v>9409.9622340999995</v>
      </c>
      <c r="D8" s="68">
        <v>10769.9899121</v>
      </c>
      <c r="E8" s="68">
        <v>9730.3228322000014</v>
      </c>
      <c r="F8" s="68">
        <v>8674.3649183999987</v>
      </c>
      <c r="G8" s="68">
        <v>8025.0611186000006</v>
      </c>
      <c r="H8" s="68">
        <v>11480.7722039</v>
      </c>
      <c r="I8" s="68">
        <v>12117.756490649997</v>
      </c>
      <c r="J8" s="68">
        <v>28839.4034297</v>
      </c>
      <c r="K8" s="68">
        <v>27457.760867300003</v>
      </c>
      <c r="L8" s="68">
        <v>11565.4</v>
      </c>
      <c r="M8" s="68">
        <v>43956</v>
      </c>
      <c r="N8" s="68">
        <v>52351.9</v>
      </c>
      <c r="O8" s="69" t="s">
        <v>737</v>
      </c>
    </row>
    <row r="9" spans="1:15" ht="27">
      <c r="A9" s="71" t="s">
        <v>738</v>
      </c>
      <c r="B9" s="68">
        <v>12068.346799800003</v>
      </c>
      <c r="C9" s="68">
        <v>18107.513827400006</v>
      </c>
      <c r="D9" s="68">
        <v>13863.268589800009</v>
      </c>
      <c r="E9" s="68">
        <v>20337.059257500001</v>
      </c>
      <c r="F9" s="68">
        <v>20158.215627900012</v>
      </c>
      <c r="G9" s="68">
        <v>24198.48840229999</v>
      </c>
      <c r="H9" s="68">
        <v>30383.044412099967</v>
      </c>
      <c r="I9" s="68">
        <v>39142.719580759993</v>
      </c>
      <c r="J9" s="68">
        <v>37689.035684773997</v>
      </c>
      <c r="K9" s="68">
        <v>30595.312920779994</v>
      </c>
      <c r="L9" s="68">
        <v>30252.9</v>
      </c>
      <c r="M9" s="68">
        <v>37589</v>
      </c>
      <c r="N9" s="68">
        <v>28747.599999999999</v>
      </c>
      <c r="O9" s="55" t="s">
        <v>739</v>
      </c>
    </row>
    <row r="10" spans="1:15" ht="27">
      <c r="A10" s="71" t="s">
        <v>740</v>
      </c>
      <c r="B10" s="70">
        <v>11028.407662100004</v>
      </c>
      <c r="C10" s="70">
        <v>16766.425965200004</v>
      </c>
      <c r="D10" s="70">
        <v>12003.249708900008</v>
      </c>
      <c r="E10" s="70">
        <v>17127.329320600002</v>
      </c>
      <c r="F10" s="70">
        <v>16053.21339820001</v>
      </c>
      <c r="G10" s="70">
        <v>19978.561499299991</v>
      </c>
      <c r="H10" s="70">
        <v>23955.254020999968</v>
      </c>
      <c r="I10" s="70">
        <v>31746.824519989994</v>
      </c>
      <c r="J10" s="70">
        <v>31685.476590689996</v>
      </c>
      <c r="K10" s="70">
        <v>23601.725406579993</v>
      </c>
      <c r="L10" s="68">
        <v>24749.3</v>
      </c>
      <c r="M10" s="68">
        <v>31606.2</v>
      </c>
      <c r="N10" s="68">
        <v>24254.2</v>
      </c>
      <c r="O10" s="55" t="s">
        <v>741</v>
      </c>
    </row>
    <row r="11" spans="1:15" ht="27">
      <c r="A11" s="71" t="s">
        <v>742</v>
      </c>
      <c r="B11" s="68">
        <v>747.91279410000004</v>
      </c>
      <c r="C11" s="68">
        <v>979.86634730000003</v>
      </c>
      <c r="D11" s="68">
        <v>1217.2202301</v>
      </c>
      <c r="E11" s="68">
        <v>2398.6977365000002</v>
      </c>
      <c r="F11" s="68">
        <v>2882.3849008999996</v>
      </c>
      <c r="G11" s="68">
        <v>3155.0695524000007</v>
      </c>
      <c r="H11" s="68">
        <v>4989.1954587000009</v>
      </c>
      <c r="I11" s="68">
        <v>5472.4560721500002</v>
      </c>
      <c r="J11" s="68">
        <v>4326.9329889799992</v>
      </c>
      <c r="K11" s="68">
        <v>5109.6766506100003</v>
      </c>
      <c r="L11" s="68">
        <v>4284.6000000000004</v>
      </c>
      <c r="M11" s="68">
        <v>4503.1000000000004</v>
      </c>
      <c r="N11" s="68">
        <v>3304.7</v>
      </c>
      <c r="O11" s="55" t="s">
        <v>743</v>
      </c>
    </row>
    <row r="12" spans="1:15" ht="27">
      <c r="A12" s="71" t="s">
        <v>744</v>
      </c>
      <c r="B12" s="70">
        <v>53.932335299999998</v>
      </c>
      <c r="C12" s="70">
        <v>164.81703769999999</v>
      </c>
      <c r="D12" s="70">
        <v>434.60118319999998</v>
      </c>
      <c r="E12" s="70">
        <v>545.90925919999984</v>
      </c>
      <c r="F12" s="70">
        <v>1076.0015685999999</v>
      </c>
      <c r="G12" s="70">
        <v>881.52289759999985</v>
      </c>
      <c r="H12" s="70">
        <v>1240.5880444999996</v>
      </c>
      <c r="I12" s="70">
        <v>1627.6832257200001</v>
      </c>
      <c r="J12" s="70">
        <v>1320.8230936499999</v>
      </c>
      <c r="K12" s="70">
        <v>1370.4613130999999</v>
      </c>
      <c r="L12" s="68">
        <v>844.9</v>
      </c>
      <c r="M12" s="68">
        <v>931.9</v>
      </c>
      <c r="N12" s="68">
        <v>707.1</v>
      </c>
      <c r="O12" s="69" t="s">
        <v>745</v>
      </c>
    </row>
    <row r="13" spans="1:15" ht="27">
      <c r="A13" s="71" t="s">
        <v>746</v>
      </c>
      <c r="B13" s="68">
        <v>205.53669789999998</v>
      </c>
      <c r="C13" s="68">
        <v>162.36573240000001</v>
      </c>
      <c r="D13" s="68">
        <v>181.15206639999997</v>
      </c>
      <c r="E13" s="68">
        <v>231.02533019999998</v>
      </c>
      <c r="F13" s="68">
        <v>96.247518799999995</v>
      </c>
      <c r="G13" s="68">
        <v>162.95553939999996</v>
      </c>
      <c r="H13" s="68">
        <v>174.9484008</v>
      </c>
      <c r="I13" s="68">
        <v>270.560427</v>
      </c>
      <c r="J13" s="68">
        <v>300.35701776999997</v>
      </c>
      <c r="K13" s="68">
        <v>472.33456323000001</v>
      </c>
      <c r="L13" s="68">
        <v>351.1</v>
      </c>
      <c r="M13" s="68">
        <v>518.20000000000005</v>
      </c>
      <c r="N13" s="68">
        <v>448.4</v>
      </c>
      <c r="O13" s="55" t="s">
        <v>747</v>
      </c>
    </row>
    <row r="14" spans="1:15" ht="35.25" customHeight="1">
      <c r="A14" s="71" t="s">
        <v>748</v>
      </c>
      <c r="B14" s="70">
        <v>32.557310400000006</v>
      </c>
      <c r="C14" s="70">
        <v>34.038744799999996</v>
      </c>
      <c r="D14" s="70">
        <v>27.045401200000001</v>
      </c>
      <c r="E14" s="70">
        <v>34.097611000000001</v>
      </c>
      <c r="F14" s="70">
        <v>50.368241399999995</v>
      </c>
      <c r="G14" s="70">
        <v>20.378913600000001</v>
      </c>
      <c r="H14" s="70">
        <v>23.058487099999997</v>
      </c>
      <c r="I14" s="70">
        <v>25.195335899999996</v>
      </c>
      <c r="J14" s="70">
        <v>55.445993684000001</v>
      </c>
      <c r="K14" s="70">
        <v>41.114987259999992</v>
      </c>
      <c r="L14" s="68">
        <v>23</v>
      </c>
      <c r="M14" s="68">
        <v>29.6</v>
      </c>
      <c r="N14" s="68">
        <v>33.200000000000003</v>
      </c>
      <c r="O14" s="301" t="s">
        <v>749</v>
      </c>
    </row>
    <row r="15" spans="1:15" ht="27">
      <c r="A15" s="57" t="s">
        <v>750</v>
      </c>
      <c r="B15" s="68">
        <v>3080.9154207999964</v>
      </c>
      <c r="C15" s="68">
        <v>6230.6631113999974</v>
      </c>
      <c r="D15" s="68">
        <v>2931.86970320002</v>
      </c>
      <c r="E15" s="68">
        <v>3977.1045919000026</v>
      </c>
      <c r="F15" s="68">
        <v>3379.6997244000158</v>
      </c>
      <c r="G15" s="68">
        <v>2106.4810581000056</v>
      </c>
      <c r="H15" s="68">
        <v>4271.5573162100045</v>
      </c>
      <c r="I15" s="68">
        <v>11815.147652840009</v>
      </c>
      <c r="J15" s="68">
        <v>5676.1949279999972</v>
      </c>
      <c r="K15" s="68">
        <v>2876.8597291600017</v>
      </c>
      <c r="L15" s="68">
        <v>1787</v>
      </c>
      <c r="M15" s="68">
        <v>3012.7</v>
      </c>
      <c r="N15" s="68">
        <v>7483</v>
      </c>
      <c r="O15" s="69" t="s">
        <v>751</v>
      </c>
    </row>
    <row r="16" spans="1:15" ht="27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1:15" ht="26.4">
      <c r="A17" s="47" t="s">
        <v>625</v>
      </c>
      <c r="B17" s="3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62" t="s">
        <v>626</v>
      </c>
    </row>
  </sheetData>
  <phoneticPr fontId="6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2:O54"/>
  <sheetViews>
    <sheetView workbookViewId="0">
      <selection activeCell="S5" sqref="S5"/>
    </sheetView>
  </sheetViews>
  <sheetFormatPr baseColWidth="10" defaultRowHeight="14.4"/>
  <cols>
    <col min="1" max="1" width="26" customWidth="1"/>
    <col min="2" max="2" width="13.5546875" customWidth="1"/>
    <col min="3" max="3" width="13.6640625" customWidth="1"/>
    <col min="4" max="4" width="14" customWidth="1"/>
    <col min="5" max="5" width="15.109375" customWidth="1"/>
    <col min="6" max="8" width="14.44140625" customWidth="1"/>
    <col min="9" max="9" width="14.5546875" customWidth="1"/>
    <col min="10" max="10" width="16.44140625" customWidth="1"/>
    <col min="11" max="11" width="15.33203125" customWidth="1"/>
    <col min="12" max="12" width="14.77734375" customWidth="1"/>
    <col min="13" max="13" width="17.33203125" customWidth="1"/>
    <col min="14" max="14" width="15" customWidth="1"/>
    <col min="15" max="15" width="42.33203125" customWidth="1"/>
  </cols>
  <sheetData>
    <row r="2" spans="1:15" ht="27">
      <c r="A2" s="76" t="s">
        <v>1569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66" t="s">
        <v>1570</v>
      </c>
    </row>
    <row r="3" spans="1:15" ht="30">
      <c r="A3" s="446" t="s">
        <v>752</v>
      </c>
      <c r="B3" s="446" t="s">
        <v>501</v>
      </c>
      <c r="C3" s="446" t="s">
        <v>502</v>
      </c>
      <c r="D3" s="446" t="s">
        <v>503</v>
      </c>
      <c r="E3" s="446" t="s">
        <v>504</v>
      </c>
      <c r="F3" s="446" t="s">
        <v>505</v>
      </c>
      <c r="G3" s="446" t="s">
        <v>506</v>
      </c>
      <c r="H3" s="446" t="s">
        <v>225</v>
      </c>
      <c r="I3" s="446" t="s">
        <v>226</v>
      </c>
      <c r="J3" s="446" t="s">
        <v>227</v>
      </c>
      <c r="K3" s="446" t="s">
        <v>228</v>
      </c>
      <c r="L3" s="446">
        <v>2021</v>
      </c>
      <c r="M3" s="446">
        <v>2022</v>
      </c>
      <c r="N3" s="446">
        <v>2023</v>
      </c>
      <c r="O3" s="446" t="s">
        <v>753</v>
      </c>
    </row>
    <row r="4" spans="1:15" ht="26.4">
      <c r="A4" s="67" t="s">
        <v>730</v>
      </c>
      <c r="B4" s="78">
        <v>72108.008630199998</v>
      </c>
      <c r="C4" s="78">
        <v>65013.334940000008</v>
      </c>
      <c r="D4" s="78">
        <v>72850.630492700031</v>
      </c>
      <c r="E4" s="78">
        <v>66674.875283800007</v>
      </c>
      <c r="F4" s="78">
        <v>53714.650350300013</v>
      </c>
      <c r="G4" s="78">
        <v>57925.245532099972</v>
      </c>
      <c r="H4" s="78">
        <v>75242.066798409956</v>
      </c>
      <c r="I4" s="78">
        <v>89432.278859049984</v>
      </c>
      <c r="J4" s="78">
        <v>109241.39882803397</v>
      </c>
      <c r="K4" s="78">
        <v>105200.89801113996</v>
      </c>
      <c r="L4" s="81">
        <v>116977.60000000001</v>
      </c>
      <c r="M4" s="81">
        <v>137114.1</v>
      </c>
      <c r="N4" s="81">
        <v>144519.1</v>
      </c>
      <c r="O4" s="77" t="s">
        <v>731</v>
      </c>
    </row>
    <row r="5" spans="1:15" ht="26.4">
      <c r="A5" s="54" t="s">
        <v>654</v>
      </c>
      <c r="B5" s="78">
        <v>8391.347608</v>
      </c>
      <c r="C5" s="78">
        <v>4541.282726299999</v>
      </c>
      <c r="D5" s="78">
        <v>3092.9499329</v>
      </c>
      <c r="E5" s="78">
        <v>6635.7499763999995</v>
      </c>
      <c r="F5" s="78">
        <v>6053.2001042000011</v>
      </c>
      <c r="G5" s="78">
        <v>6009.6623774999989</v>
      </c>
      <c r="H5" s="78">
        <v>6062.0161186100013</v>
      </c>
      <c r="I5" s="78">
        <v>14061.699252150001</v>
      </c>
      <c r="J5" s="78">
        <v>8487.2993285440025</v>
      </c>
      <c r="K5" s="78">
        <v>8297.8862428499997</v>
      </c>
      <c r="L5" s="81">
        <v>8227</v>
      </c>
      <c r="M5" s="81">
        <v>17226.599999999999</v>
      </c>
      <c r="N5" s="81">
        <v>22425.1</v>
      </c>
      <c r="O5" s="79" t="s">
        <v>655</v>
      </c>
    </row>
    <row r="6" spans="1:15" ht="26.4">
      <c r="A6" s="51" t="s">
        <v>656</v>
      </c>
      <c r="B6" s="80">
        <v>130.24105509999998</v>
      </c>
      <c r="C6" s="80">
        <v>30.486605699999998</v>
      </c>
      <c r="D6" s="80">
        <v>55.792982099999996</v>
      </c>
      <c r="E6" s="80">
        <v>554.52490999999998</v>
      </c>
      <c r="F6" s="80">
        <v>321.0353624</v>
      </c>
      <c r="G6" s="80">
        <v>140.28030050000001</v>
      </c>
      <c r="H6" s="80">
        <v>103.21670450000001</v>
      </c>
      <c r="I6" s="80">
        <v>4092.0976087399999</v>
      </c>
      <c r="J6" s="80">
        <v>176.95852932</v>
      </c>
      <c r="K6" s="80">
        <v>172.04679639000003</v>
      </c>
      <c r="L6" s="81">
        <v>75.900000000000006</v>
      </c>
      <c r="M6" s="81">
        <v>5844.5</v>
      </c>
      <c r="N6" s="81">
        <v>12083</v>
      </c>
      <c r="O6" s="79" t="s">
        <v>754</v>
      </c>
    </row>
    <row r="7" spans="1:15" ht="26.4">
      <c r="A7" s="51" t="s">
        <v>633</v>
      </c>
      <c r="B7" s="81">
        <v>45.258449699999993</v>
      </c>
      <c r="C7" s="81">
        <v>16.862481899999999</v>
      </c>
      <c r="D7" s="81">
        <v>30.246607799999996</v>
      </c>
      <c r="E7" s="81">
        <v>491.79453920000003</v>
      </c>
      <c r="F7" s="81">
        <v>15.942699300000001</v>
      </c>
      <c r="G7" s="81">
        <v>53.262256000000008</v>
      </c>
      <c r="H7" s="81">
        <v>33.624051600000001</v>
      </c>
      <c r="I7" s="81">
        <v>4003.7016470600001</v>
      </c>
      <c r="J7" s="81">
        <v>102.18406288999999</v>
      </c>
      <c r="K7" s="81">
        <v>137.89670290999999</v>
      </c>
      <c r="L7" s="81">
        <v>46.3</v>
      </c>
      <c r="M7" s="81">
        <v>121.8</v>
      </c>
      <c r="N7" s="81">
        <v>133.30000000000001</v>
      </c>
      <c r="O7" s="82" t="s">
        <v>755</v>
      </c>
    </row>
    <row r="8" spans="1:15" ht="26.4">
      <c r="A8" s="51" t="s">
        <v>658</v>
      </c>
      <c r="B8" s="81">
        <v>4.0901414999999997</v>
      </c>
      <c r="C8" s="81">
        <v>0.59789800000000004</v>
      </c>
      <c r="D8" s="81">
        <v>0.33618819999999999</v>
      </c>
      <c r="E8" s="81">
        <v>26.471651699999999</v>
      </c>
      <c r="F8" s="81">
        <v>207.54146840000001</v>
      </c>
      <c r="G8" s="81">
        <v>1.2538166000000002</v>
      </c>
      <c r="H8" s="81">
        <v>2.2957318999999998</v>
      </c>
      <c r="I8" s="81">
        <v>35.099722999999997</v>
      </c>
      <c r="J8" s="81">
        <v>15.525306320000002</v>
      </c>
      <c r="K8" s="81">
        <v>16.832761739999999</v>
      </c>
      <c r="L8" s="81"/>
      <c r="M8" s="81"/>
      <c r="N8" s="81"/>
      <c r="O8" s="83" t="s">
        <v>756</v>
      </c>
    </row>
    <row r="9" spans="1:15" ht="26.4">
      <c r="A9" s="51" t="s">
        <v>757</v>
      </c>
      <c r="B9" s="78">
        <f>B6-(B7+B8)</f>
        <v>80.892463899999996</v>
      </c>
      <c r="C9" s="78">
        <f t="shared" ref="C9:K9" si="0">C6-(C7+C8)</f>
        <v>13.026225799999999</v>
      </c>
      <c r="D9" s="78">
        <f t="shared" si="0"/>
        <v>25.210186100000001</v>
      </c>
      <c r="E9" s="78">
        <v>2021</v>
      </c>
      <c r="F9" s="78">
        <f t="shared" si="0"/>
        <v>97.551194699999996</v>
      </c>
      <c r="G9" s="78">
        <f t="shared" si="0"/>
        <v>85.764227900000009</v>
      </c>
      <c r="H9" s="78">
        <f t="shared" si="0"/>
        <v>67.296920999999998</v>
      </c>
      <c r="I9" s="78">
        <f t="shared" si="0"/>
        <v>53.296238679999988</v>
      </c>
      <c r="J9" s="78">
        <f t="shared" si="0"/>
        <v>59.249160110000005</v>
      </c>
      <c r="K9" s="78">
        <f t="shared" si="0"/>
        <v>17.317331740000043</v>
      </c>
      <c r="L9" s="81"/>
      <c r="M9" s="81"/>
      <c r="N9" s="81"/>
      <c r="O9" s="82" t="s">
        <v>758</v>
      </c>
    </row>
    <row r="10" spans="1:15" ht="26.4">
      <c r="A10" s="51" t="s">
        <v>661</v>
      </c>
      <c r="B10" s="80">
        <v>1708.7501526999997</v>
      </c>
      <c r="C10" s="80">
        <v>2758.7903071000001</v>
      </c>
      <c r="D10" s="80">
        <v>2789.3363212999998</v>
      </c>
      <c r="E10" s="80">
        <v>5579.0090412</v>
      </c>
      <c r="F10" s="80">
        <v>4549.4543303</v>
      </c>
      <c r="G10" s="80">
        <v>5277.3256904000009</v>
      </c>
      <c r="H10" s="80">
        <v>5402.0649360100006</v>
      </c>
      <c r="I10" s="80">
        <v>8736.7887442700012</v>
      </c>
      <c r="J10" s="80">
        <v>6318.9224504340009</v>
      </c>
      <c r="K10" s="80">
        <v>6979.0244697299977</v>
      </c>
      <c r="L10" s="81">
        <v>7303.4</v>
      </c>
      <c r="M10" s="81">
        <v>9848.7000000000007</v>
      </c>
      <c r="N10" s="81">
        <v>7075.8</v>
      </c>
      <c r="O10" s="79" t="s">
        <v>759</v>
      </c>
    </row>
    <row r="11" spans="1:15" ht="26.4">
      <c r="A11" s="51" t="s">
        <v>663</v>
      </c>
      <c r="B11" s="81">
        <v>71.781821099999988</v>
      </c>
      <c r="C11" s="81">
        <v>62.557834600000007</v>
      </c>
      <c r="D11" s="81">
        <v>96.963484100000002</v>
      </c>
      <c r="E11" s="81">
        <v>98.025276399999996</v>
      </c>
      <c r="F11" s="81">
        <v>105.9636582</v>
      </c>
      <c r="G11" s="81">
        <v>158.5570653</v>
      </c>
      <c r="H11" s="81">
        <v>570.34589608999977</v>
      </c>
      <c r="I11" s="81">
        <v>265.84639336000009</v>
      </c>
      <c r="J11" s="81">
        <v>250.98259423999994</v>
      </c>
      <c r="K11" s="81">
        <v>134.99359510999997</v>
      </c>
      <c r="L11" s="81">
        <v>263.60000000000002</v>
      </c>
      <c r="M11" s="81">
        <v>452.5</v>
      </c>
      <c r="N11" s="81">
        <v>349.1</v>
      </c>
      <c r="O11" s="82" t="s">
        <v>760</v>
      </c>
    </row>
    <row r="12" spans="1:15" ht="26.4">
      <c r="A12" s="51" t="s">
        <v>665</v>
      </c>
      <c r="B12" s="81">
        <v>89.904265999999978</v>
      </c>
      <c r="C12" s="81">
        <v>28.137703600000002</v>
      </c>
      <c r="D12" s="81">
        <v>69.297196499999998</v>
      </c>
      <c r="E12" s="81">
        <v>149.20309829999999</v>
      </c>
      <c r="F12" s="81">
        <v>291.78442919999998</v>
      </c>
      <c r="G12" s="81">
        <v>329.84503360000008</v>
      </c>
      <c r="H12" s="81">
        <v>841.71363112000006</v>
      </c>
      <c r="I12" s="81">
        <v>1289.73240764</v>
      </c>
      <c r="J12" s="81">
        <v>708.68026079400011</v>
      </c>
      <c r="K12" s="81">
        <v>627.41494279999961</v>
      </c>
      <c r="L12" s="81">
        <v>824.6</v>
      </c>
      <c r="M12" s="81">
        <v>806.8</v>
      </c>
      <c r="N12" s="81">
        <v>813.2</v>
      </c>
      <c r="O12" s="82" t="s">
        <v>761</v>
      </c>
    </row>
    <row r="13" spans="1:15" ht="26.4">
      <c r="A13" s="56" t="s">
        <v>667</v>
      </c>
      <c r="B13" s="78">
        <f>B10-(B11+B12)</f>
        <v>1547.0640655999998</v>
      </c>
      <c r="C13" s="78">
        <f t="shared" ref="C13:K13" si="1">C10-(C11+C12)</f>
        <v>2668.0947689</v>
      </c>
      <c r="D13" s="78">
        <f t="shared" si="1"/>
        <v>2623.0756406999999</v>
      </c>
      <c r="E13" s="78">
        <f t="shared" si="1"/>
        <v>5331.7806664999998</v>
      </c>
      <c r="F13" s="78">
        <f t="shared" si="1"/>
        <v>4151.7062428999998</v>
      </c>
      <c r="G13" s="78">
        <f t="shared" si="1"/>
        <v>4788.9235915000008</v>
      </c>
      <c r="H13" s="78">
        <f t="shared" si="1"/>
        <v>3990.0054088000006</v>
      </c>
      <c r="I13" s="78">
        <f t="shared" si="1"/>
        <v>7181.2099432700015</v>
      </c>
      <c r="J13" s="78">
        <f t="shared" si="1"/>
        <v>5359.2595954000008</v>
      </c>
      <c r="K13" s="78">
        <f t="shared" si="1"/>
        <v>6216.615931819998</v>
      </c>
      <c r="L13" s="81">
        <v>991.3</v>
      </c>
      <c r="M13" s="81">
        <v>1849.9</v>
      </c>
      <c r="N13" s="81">
        <v>2159.4</v>
      </c>
      <c r="O13" s="82" t="s">
        <v>762</v>
      </c>
    </row>
    <row r="14" spans="1:15" ht="26.4">
      <c r="A14" s="56" t="s">
        <v>669</v>
      </c>
      <c r="B14" s="78">
        <f>B5-(B6+B10)</f>
        <v>6552.3564002000003</v>
      </c>
      <c r="C14" s="78">
        <f t="shared" ref="C14:K14" si="2">C5-(C6+C10)</f>
        <v>1752.005813499999</v>
      </c>
      <c r="D14" s="78">
        <f t="shared" si="2"/>
        <v>247.82062950000045</v>
      </c>
      <c r="E14" s="78">
        <f t="shared" si="2"/>
        <v>502.21602519999942</v>
      </c>
      <c r="F14" s="78">
        <f t="shared" si="2"/>
        <v>1182.7104115000011</v>
      </c>
      <c r="G14" s="78">
        <f t="shared" si="2"/>
        <v>592.0563865999984</v>
      </c>
      <c r="H14" s="78">
        <f t="shared" si="2"/>
        <v>556.73447810000107</v>
      </c>
      <c r="I14" s="78">
        <f t="shared" si="2"/>
        <v>1232.8128991400008</v>
      </c>
      <c r="J14" s="78">
        <f t="shared" si="2"/>
        <v>1991.4183487900018</v>
      </c>
      <c r="K14" s="78">
        <f t="shared" si="2"/>
        <v>1146.8149767300019</v>
      </c>
      <c r="L14" s="81">
        <v>145.80000000000001</v>
      </c>
      <c r="M14" s="81">
        <v>1533.3</v>
      </c>
      <c r="N14" s="81">
        <v>3266.4</v>
      </c>
      <c r="O14" s="79" t="s">
        <v>670</v>
      </c>
    </row>
    <row r="15" spans="1:15" ht="26.4">
      <c r="A15" s="54" t="s">
        <v>671</v>
      </c>
      <c r="B15" s="81">
        <v>28154.351645699993</v>
      </c>
      <c r="C15" s="81">
        <v>32350.195128200001</v>
      </c>
      <c r="D15" s="81">
        <v>39926.324599700019</v>
      </c>
      <c r="E15" s="81">
        <v>25384.316029099999</v>
      </c>
      <c r="F15" s="81">
        <v>22589.555037099995</v>
      </c>
      <c r="G15" s="81">
        <v>26824.468121799997</v>
      </c>
      <c r="H15" s="81">
        <v>31993.382353599987</v>
      </c>
      <c r="I15" s="81">
        <v>33529.636049629997</v>
      </c>
      <c r="J15" s="81">
        <v>38872.260877690002</v>
      </c>
      <c r="K15" s="81">
        <v>43974.84300198</v>
      </c>
      <c r="L15" s="81">
        <v>61868.4</v>
      </c>
      <c r="M15" s="81">
        <v>43436</v>
      </c>
      <c r="N15" s="81">
        <v>44265.8</v>
      </c>
      <c r="O15" s="79" t="s">
        <v>672</v>
      </c>
    </row>
    <row r="16" spans="1:15" ht="26.4">
      <c r="A16" s="57" t="s">
        <v>644</v>
      </c>
      <c r="B16" s="81">
        <v>23951.591411299996</v>
      </c>
      <c r="C16" s="81">
        <v>24115.488953799999</v>
      </c>
      <c r="D16" s="81">
        <v>35561.808625700003</v>
      </c>
      <c r="E16" s="81">
        <v>21165.998505099993</v>
      </c>
      <c r="F16" s="81">
        <v>17141.092127899999</v>
      </c>
      <c r="G16" s="81">
        <v>20715.236694800002</v>
      </c>
      <c r="H16" s="81">
        <v>25090.06115039999</v>
      </c>
      <c r="I16" s="81">
        <v>23691.075285250005</v>
      </c>
      <c r="J16" s="81">
        <v>29169.971165839994</v>
      </c>
      <c r="K16" s="81">
        <v>35693.833844289999</v>
      </c>
      <c r="L16" s="81">
        <v>48519.1</v>
      </c>
      <c r="M16" s="81">
        <v>31484.1</v>
      </c>
      <c r="N16" s="81">
        <v>33629.699999999997</v>
      </c>
      <c r="O16" s="82" t="s">
        <v>645</v>
      </c>
    </row>
    <row r="17" spans="1:15" ht="26.4">
      <c r="A17" s="57" t="s">
        <v>673</v>
      </c>
      <c r="B17" s="81">
        <v>3631.0068977999999</v>
      </c>
      <c r="C17" s="81">
        <v>6974.7499705999999</v>
      </c>
      <c r="D17" s="81">
        <v>3165.3750423000001</v>
      </c>
      <c r="E17" s="81">
        <v>2734.2354375000004</v>
      </c>
      <c r="F17" s="81">
        <v>2996.3623039000008</v>
      </c>
      <c r="G17" s="81">
        <v>4215.0452073000006</v>
      </c>
      <c r="H17" s="81">
        <v>5100.2274861999995</v>
      </c>
      <c r="I17" s="81">
        <v>6644.8821482600006</v>
      </c>
      <c r="J17" s="81">
        <v>6643.5443759999998</v>
      </c>
      <c r="K17" s="81">
        <v>4548.2095770900014</v>
      </c>
      <c r="L17" s="81">
        <v>8060.5</v>
      </c>
      <c r="M17" s="81">
        <v>6709.8</v>
      </c>
      <c r="N17" s="81">
        <v>5127.3999999999996</v>
      </c>
      <c r="O17" s="82" t="s">
        <v>674</v>
      </c>
    </row>
    <row r="18" spans="1:15" ht="26.4">
      <c r="A18" s="57" t="s">
        <v>675</v>
      </c>
      <c r="B18" s="81">
        <v>0.3217566</v>
      </c>
      <c r="C18" s="81">
        <v>2.8460527999999998</v>
      </c>
      <c r="D18" s="81">
        <v>3.6900000000000002E-2</v>
      </c>
      <c r="E18" s="81">
        <v>3.3332567000000002</v>
      </c>
      <c r="F18" s="81">
        <v>2.0880614</v>
      </c>
      <c r="G18" s="81">
        <v>1.9952970000000001</v>
      </c>
      <c r="H18" s="81">
        <v>1.7151153000000001</v>
      </c>
      <c r="I18" s="81">
        <v>1.5120000000000001E-3</v>
      </c>
      <c r="J18" s="81">
        <v>1546.3805464000002</v>
      </c>
      <c r="K18" s="81">
        <v>2762.9811932699999</v>
      </c>
      <c r="L18" s="81">
        <v>4309.2</v>
      </c>
      <c r="M18" s="81">
        <v>3329</v>
      </c>
      <c r="N18" s="81">
        <v>3821.6</v>
      </c>
      <c r="O18" s="82" t="s">
        <v>676</v>
      </c>
    </row>
    <row r="19" spans="1:15" ht="26.4">
      <c r="A19" s="57" t="s">
        <v>677</v>
      </c>
      <c r="B19" s="81">
        <v>42.730697599999992</v>
      </c>
      <c r="C19" s="81">
        <v>258.49045840000002</v>
      </c>
      <c r="D19" s="81">
        <v>320.68885829999999</v>
      </c>
      <c r="E19" s="81">
        <v>485.85449839999995</v>
      </c>
      <c r="F19" s="81">
        <v>890.84588479999991</v>
      </c>
      <c r="G19" s="81">
        <v>902.49477830000001</v>
      </c>
      <c r="H19" s="81">
        <v>629.93355599999995</v>
      </c>
      <c r="I19" s="81">
        <v>988.8306493</v>
      </c>
      <c r="J19" s="81">
        <v>836.47195910000005</v>
      </c>
      <c r="K19" s="81">
        <v>635.29420176999997</v>
      </c>
      <c r="L19" s="81">
        <v>791.4</v>
      </c>
      <c r="M19" s="81">
        <v>1321.8</v>
      </c>
      <c r="N19" s="81">
        <v>729.6</v>
      </c>
      <c r="O19" s="82" t="s">
        <v>678</v>
      </c>
    </row>
    <row r="20" spans="1:15" ht="26.4">
      <c r="A20" s="57" t="s">
        <v>679</v>
      </c>
      <c r="B20" s="78">
        <v>7.3921399000000001</v>
      </c>
      <c r="C20" s="78">
        <v>156.10176799999996</v>
      </c>
      <c r="D20" s="78">
        <v>294.08084090000006</v>
      </c>
      <c r="E20" s="78">
        <v>306.26817310000001</v>
      </c>
      <c r="F20" s="78">
        <v>865.55734580000012</v>
      </c>
      <c r="G20" s="78">
        <v>600.33319070000005</v>
      </c>
      <c r="H20" s="78">
        <v>1011.7140278000002</v>
      </c>
      <c r="I20" s="78">
        <v>639.26936387000001</v>
      </c>
      <c r="J20" s="78">
        <v>507.12607643000001</v>
      </c>
      <c r="K20" s="78">
        <v>158.56014493999999</v>
      </c>
      <c r="L20" s="81"/>
      <c r="M20" s="81"/>
      <c r="N20" s="81"/>
      <c r="O20" s="82" t="s">
        <v>680</v>
      </c>
    </row>
    <row r="21" spans="1:15" ht="26.4">
      <c r="A21" s="57" t="s">
        <v>681</v>
      </c>
      <c r="B21" s="81">
        <v>0.49512600000000001</v>
      </c>
      <c r="C21" s="81">
        <v>3.7041675000000001</v>
      </c>
      <c r="D21" s="81">
        <v>0</v>
      </c>
      <c r="E21" s="81">
        <v>17.853311999999999</v>
      </c>
      <c r="F21" s="81">
        <v>24.065552499999999</v>
      </c>
      <c r="G21" s="81">
        <v>18.470986700000001</v>
      </c>
      <c r="H21" s="81">
        <v>75.710214900000011</v>
      </c>
      <c r="I21" s="81">
        <v>8.8774999999999995</v>
      </c>
      <c r="J21" s="81">
        <v>5.0972340000000003</v>
      </c>
      <c r="K21" s="81">
        <v>81.378113760000005</v>
      </c>
      <c r="L21" s="81">
        <v>10.7</v>
      </c>
      <c r="M21" s="81">
        <v>18</v>
      </c>
      <c r="N21" s="81">
        <v>272.7</v>
      </c>
      <c r="O21" s="82" t="s">
        <v>763</v>
      </c>
    </row>
    <row r="22" spans="1:15" ht="26.4">
      <c r="A22" s="57" t="s">
        <v>630</v>
      </c>
      <c r="B22" s="81">
        <v>114.31808410000002</v>
      </c>
      <c r="C22" s="81">
        <v>426.2342792</v>
      </c>
      <c r="D22" s="81">
        <v>293.03994219999998</v>
      </c>
      <c r="E22" s="81">
        <v>278.48518849999999</v>
      </c>
      <c r="F22" s="81">
        <v>435.73816289999996</v>
      </c>
      <c r="G22" s="81">
        <v>113.38419580000001</v>
      </c>
      <c r="H22" s="81">
        <v>20.722155099999998</v>
      </c>
      <c r="I22" s="81">
        <v>174.14233668</v>
      </c>
      <c r="J22" s="81">
        <v>48.915292260000008</v>
      </c>
      <c r="K22" s="81">
        <v>46.195518810000003</v>
      </c>
      <c r="L22" s="81">
        <v>65.5</v>
      </c>
      <c r="M22" s="81">
        <v>139.4</v>
      </c>
      <c r="N22" s="81">
        <v>107.2</v>
      </c>
      <c r="O22" s="82" t="s">
        <v>631</v>
      </c>
    </row>
    <row r="23" spans="1:15" ht="26.4">
      <c r="A23" s="57" t="s">
        <v>683</v>
      </c>
      <c r="B23" s="78">
        <v>0.3651875</v>
      </c>
      <c r="C23" s="78">
        <v>0.72535630000000006</v>
      </c>
      <c r="D23" s="78">
        <v>12.6542893</v>
      </c>
      <c r="E23" s="78">
        <v>5.6603894000000006</v>
      </c>
      <c r="F23" s="78">
        <v>7.6379580999999996</v>
      </c>
      <c r="G23" s="78">
        <v>8.3736963000000006</v>
      </c>
      <c r="H23" s="78">
        <v>0.67539539999999998</v>
      </c>
      <c r="I23" s="78">
        <v>87.296816019999994</v>
      </c>
      <c r="J23" s="78">
        <v>17.758079800000001</v>
      </c>
      <c r="K23" s="78">
        <v>15.235137659999999</v>
      </c>
      <c r="L23" s="81">
        <v>0.9</v>
      </c>
      <c r="M23" s="81">
        <v>94.2</v>
      </c>
      <c r="N23" s="81">
        <v>106.5</v>
      </c>
      <c r="O23" s="82" t="s">
        <v>684</v>
      </c>
    </row>
    <row r="24" spans="1:15" ht="26.4">
      <c r="A24" s="57" t="s">
        <v>628</v>
      </c>
      <c r="B24" s="81">
        <v>169.05946569999998</v>
      </c>
      <c r="C24" s="81">
        <v>174.95622750000001</v>
      </c>
      <c r="D24" s="81">
        <v>27.945503899999999</v>
      </c>
      <c r="E24" s="81">
        <v>66.041097500000006</v>
      </c>
      <c r="F24" s="81">
        <v>28.560932300000001</v>
      </c>
      <c r="G24" s="81">
        <v>75.721823999999998</v>
      </c>
      <c r="H24" s="81">
        <v>13.6805938</v>
      </c>
      <c r="I24" s="81">
        <v>60.649229179999999</v>
      </c>
      <c r="J24" s="81">
        <v>61.271205049999999</v>
      </c>
      <c r="K24" s="81">
        <v>12.357219929999999</v>
      </c>
      <c r="L24" s="81">
        <v>20.8</v>
      </c>
      <c r="M24" s="81">
        <v>3.3</v>
      </c>
      <c r="N24" s="81">
        <v>0.2</v>
      </c>
      <c r="O24" s="82" t="s">
        <v>629</v>
      </c>
    </row>
    <row r="25" spans="1:15" ht="26.4">
      <c r="A25" s="57" t="s">
        <v>685</v>
      </c>
      <c r="B25" s="81">
        <v>0</v>
      </c>
      <c r="C25" s="81">
        <v>0</v>
      </c>
      <c r="D25" s="81">
        <v>0</v>
      </c>
      <c r="E25" s="81">
        <v>0.45979399999999998</v>
      </c>
      <c r="F25" s="81">
        <v>0</v>
      </c>
      <c r="G25" s="81">
        <v>0</v>
      </c>
      <c r="H25" s="81">
        <v>0.40769459999999996</v>
      </c>
      <c r="I25" s="81">
        <v>1.1174E-2</v>
      </c>
      <c r="J25" s="81">
        <v>11.501265400000001</v>
      </c>
      <c r="K25" s="81">
        <v>11.044524289999998</v>
      </c>
      <c r="L25" s="81"/>
      <c r="M25" s="81"/>
      <c r="N25" s="81"/>
      <c r="O25" s="82" t="s">
        <v>764</v>
      </c>
    </row>
    <row r="26" spans="1:15" ht="26.4">
      <c r="A26" s="57" t="s">
        <v>765</v>
      </c>
      <c r="B26" s="81">
        <v>49.236739700000001</v>
      </c>
      <c r="C26" s="81">
        <v>13.5451221</v>
      </c>
      <c r="D26" s="81">
        <v>33.5252713</v>
      </c>
      <c r="E26" s="81">
        <v>98.757376500000007</v>
      </c>
      <c r="F26" s="81">
        <v>178.33150029999996</v>
      </c>
      <c r="G26" s="81">
        <v>106.16933829999999</v>
      </c>
      <c r="H26" s="81">
        <v>42.7141406</v>
      </c>
      <c r="I26" s="81">
        <v>30.852708920000001</v>
      </c>
      <c r="J26" s="81">
        <v>10.084826</v>
      </c>
      <c r="K26" s="81">
        <v>7.7391909999999999</v>
      </c>
      <c r="L26" s="81"/>
      <c r="M26" s="81"/>
      <c r="N26" s="81"/>
      <c r="O26" s="82" t="s">
        <v>688</v>
      </c>
    </row>
    <row r="27" spans="1:15" ht="26.4">
      <c r="A27" s="57" t="s">
        <v>689</v>
      </c>
      <c r="B27" s="81">
        <v>187.83413949999886</v>
      </c>
      <c r="C27" s="81">
        <v>223.35277199999837</v>
      </c>
      <c r="D27" s="81">
        <v>217.16932580001594</v>
      </c>
      <c r="E27" s="81">
        <v>221.36900040000546</v>
      </c>
      <c r="F27" s="81">
        <v>19.275207199993019</v>
      </c>
      <c r="G27" s="81">
        <v>67.242912599995179</v>
      </c>
      <c r="H27" s="81">
        <v>5.8208234999983688</v>
      </c>
      <c r="I27" s="81">
        <v>1203.7473261499945</v>
      </c>
      <c r="J27" s="81">
        <v>14.138851410003554</v>
      </c>
      <c r="K27" s="81">
        <v>2.01433516999532</v>
      </c>
      <c r="L27" s="81">
        <v>88.8</v>
      </c>
      <c r="M27" s="81">
        <v>334.7</v>
      </c>
      <c r="N27" s="81">
        <v>365.8</v>
      </c>
      <c r="O27" s="82" t="s">
        <v>690</v>
      </c>
    </row>
    <row r="28" spans="1:15" ht="26.4">
      <c r="A28" s="54" t="s">
        <v>691</v>
      </c>
      <c r="B28" s="81">
        <v>1776.1093028</v>
      </c>
      <c r="C28" s="81">
        <v>2246.1372073000007</v>
      </c>
      <c r="D28" s="81">
        <v>2069.5465765999998</v>
      </c>
      <c r="E28" s="81">
        <v>1833.0614812999988</v>
      </c>
      <c r="F28" s="81">
        <v>1555.1903316000012</v>
      </c>
      <c r="G28" s="81">
        <v>1405.3088084999997</v>
      </c>
      <c r="H28" s="81">
        <v>1870.1082484000001</v>
      </c>
      <c r="I28" s="81">
        <v>2819.0284131900003</v>
      </c>
      <c r="J28" s="81">
        <v>1938.4272308400002</v>
      </c>
      <c r="K28" s="81">
        <v>189.66282334000002</v>
      </c>
      <c r="L28" s="81">
        <v>15.5</v>
      </c>
      <c r="M28" s="81">
        <v>8357.7999999999993</v>
      </c>
      <c r="N28" s="81">
        <v>7178.6</v>
      </c>
      <c r="O28" s="82" t="s">
        <v>692</v>
      </c>
    </row>
    <row r="29" spans="1:15" ht="26.4">
      <c r="A29" s="57" t="s">
        <v>693</v>
      </c>
      <c r="B29" s="81">
        <v>1747.0325131</v>
      </c>
      <c r="C29" s="81">
        <v>2189.1187774000005</v>
      </c>
      <c r="D29" s="81">
        <v>2040.9297869000002</v>
      </c>
      <c r="E29" s="81">
        <v>1744.821139299999</v>
      </c>
      <c r="F29" s="81">
        <v>1262.3512515000011</v>
      </c>
      <c r="G29" s="81">
        <v>1280.4644971</v>
      </c>
      <c r="H29" s="81">
        <v>1835.5924112</v>
      </c>
      <c r="I29" s="81">
        <v>2732.1082088000003</v>
      </c>
      <c r="J29" s="81">
        <v>1866.7540910599998</v>
      </c>
      <c r="K29" s="81">
        <v>124.02578075</v>
      </c>
      <c r="L29" s="81">
        <v>6.8</v>
      </c>
      <c r="M29" s="81">
        <v>8327.2000000000007</v>
      </c>
      <c r="N29" s="81">
        <v>7176.2</v>
      </c>
      <c r="O29" s="82" t="s">
        <v>694</v>
      </c>
    </row>
    <row r="30" spans="1:15" ht="26.4">
      <c r="A30" s="57" t="s">
        <v>695</v>
      </c>
      <c r="B30" s="81">
        <v>0</v>
      </c>
      <c r="C30" s="81">
        <v>0.4877204</v>
      </c>
      <c r="D30" s="81">
        <v>0</v>
      </c>
      <c r="E30" s="81">
        <v>0.89200000000000002</v>
      </c>
      <c r="F30" s="81">
        <v>39.101554799999995</v>
      </c>
      <c r="G30" s="81">
        <v>0</v>
      </c>
      <c r="H30" s="81">
        <v>0.22447010000000001</v>
      </c>
      <c r="I30" s="81">
        <v>0</v>
      </c>
      <c r="J30" s="81">
        <v>1.4969520000000001</v>
      </c>
      <c r="K30" s="81">
        <v>46.334257659999999</v>
      </c>
      <c r="L30" s="81"/>
      <c r="M30" s="81"/>
      <c r="N30" s="81"/>
      <c r="O30" s="82" t="s">
        <v>696</v>
      </c>
    </row>
    <row r="31" spans="1:15" ht="26.4">
      <c r="A31" s="57" t="s">
        <v>766</v>
      </c>
      <c r="B31" s="81">
        <v>2.8368053</v>
      </c>
      <c r="C31" s="81">
        <v>29.275278100000001</v>
      </c>
      <c r="D31" s="81">
        <v>6.6803632000000004</v>
      </c>
      <c r="E31" s="81">
        <v>57.920534600000003</v>
      </c>
      <c r="F31" s="81">
        <v>228.95884799999999</v>
      </c>
      <c r="G31" s="81">
        <v>100.41371060000002</v>
      </c>
      <c r="H31" s="81">
        <v>0.77173840000000005</v>
      </c>
      <c r="I31" s="81">
        <v>51.927578830000002</v>
      </c>
      <c r="J31" s="81">
        <v>37.696342899999998</v>
      </c>
      <c r="K31" s="81">
        <v>13.59551312</v>
      </c>
      <c r="L31" s="81">
        <v>6.9</v>
      </c>
      <c r="M31" s="81">
        <v>5.9</v>
      </c>
      <c r="N31" s="81">
        <v>0.3</v>
      </c>
      <c r="O31" s="82" t="s">
        <v>635</v>
      </c>
    </row>
    <row r="32" spans="1:15" ht="26.4">
      <c r="A32" s="57" t="s">
        <v>697</v>
      </c>
      <c r="B32" s="78">
        <v>22.919460000000001</v>
      </c>
      <c r="C32" s="78">
        <v>26.933454999999999</v>
      </c>
      <c r="D32" s="78">
        <v>21.443377100000003</v>
      </c>
      <c r="E32" s="78">
        <v>26.917976100000001</v>
      </c>
      <c r="F32" s="78">
        <v>22.467994999999998</v>
      </c>
      <c r="G32" s="78">
        <v>23.766015800000002</v>
      </c>
      <c r="H32" s="78">
        <v>26.532499999999999</v>
      </c>
      <c r="I32" s="78">
        <v>29.569765559999997</v>
      </c>
      <c r="J32" s="78">
        <v>24.066682280000002</v>
      </c>
      <c r="K32" s="78">
        <v>3.8856183799999999</v>
      </c>
      <c r="L32" s="81">
        <v>0</v>
      </c>
      <c r="M32" s="81">
        <v>1.3</v>
      </c>
      <c r="N32" s="81">
        <v>1.4</v>
      </c>
      <c r="O32" s="82" t="s">
        <v>698</v>
      </c>
    </row>
    <row r="33" spans="1:15" ht="26.4">
      <c r="A33" s="57" t="s">
        <v>699</v>
      </c>
      <c r="B33" s="81">
        <v>3.3205244000000675</v>
      </c>
      <c r="C33" s="81">
        <v>0.32197640000049432</v>
      </c>
      <c r="D33" s="81">
        <v>0.49304939999956332</v>
      </c>
      <c r="E33" s="81">
        <v>2.5098312999996324</v>
      </c>
      <c r="F33" s="81">
        <v>2.3106823000000531</v>
      </c>
      <c r="G33" s="81">
        <v>0.66458499999953347</v>
      </c>
      <c r="H33" s="81">
        <v>6.9871287000000848</v>
      </c>
      <c r="I33" s="81">
        <v>5.4228599999996732</v>
      </c>
      <c r="J33" s="81">
        <v>8.4131626000005326</v>
      </c>
      <c r="K33" s="81">
        <v>1.8216534300000262</v>
      </c>
      <c r="L33" s="81">
        <v>1.7</v>
      </c>
      <c r="M33" s="81">
        <v>23.3</v>
      </c>
      <c r="N33" s="81">
        <v>0.8</v>
      </c>
      <c r="O33" s="82" t="s">
        <v>700</v>
      </c>
    </row>
    <row r="34" spans="1:15" ht="26.4">
      <c r="A34" s="54" t="s">
        <v>701</v>
      </c>
      <c r="B34" s="81">
        <v>33702.479129400002</v>
      </c>
      <c r="C34" s="81">
        <v>25823.593424599996</v>
      </c>
      <c r="D34" s="81">
        <v>26808.906330900001</v>
      </c>
      <c r="E34" s="81">
        <v>32729.239762199999</v>
      </c>
      <c r="F34" s="81">
        <v>23368.180781600004</v>
      </c>
      <c r="G34" s="81">
        <v>23547.011386800001</v>
      </c>
      <c r="H34" s="81">
        <v>35128.035840500001</v>
      </c>
      <c r="I34" s="81">
        <v>38228.634971619991</v>
      </c>
      <c r="J34" s="81">
        <v>58694.923838210001</v>
      </c>
      <c r="K34" s="81">
        <v>41999.69921164</v>
      </c>
      <c r="L34" s="81">
        <v>34860.1</v>
      </c>
      <c r="M34" s="81">
        <v>41516.5</v>
      </c>
      <c r="N34" s="81">
        <v>35009.599999999999</v>
      </c>
      <c r="O34" s="79" t="s">
        <v>702</v>
      </c>
    </row>
    <row r="35" spans="1:15" ht="26.4">
      <c r="A35" s="57" t="s">
        <v>703</v>
      </c>
      <c r="B35" s="81">
        <v>3825.1403056000004</v>
      </c>
      <c r="C35" s="81">
        <v>8444.9997401000001</v>
      </c>
      <c r="D35" s="81">
        <v>10168.263972000001</v>
      </c>
      <c r="E35" s="81">
        <v>11047.500294300002</v>
      </c>
      <c r="F35" s="81">
        <v>8683.4150407000016</v>
      </c>
      <c r="G35" s="81">
        <v>7552.9262311000002</v>
      </c>
      <c r="H35" s="81">
        <v>10964.0718715</v>
      </c>
      <c r="I35" s="81">
        <v>11563.838319799999</v>
      </c>
      <c r="J35" s="81">
        <v>28011.248872700002</v>
      </c>
      <c r="K35" s="81">
        <v>17981.468810099999</v>
      </c>
      <c r="L35" s="81">
        <v>0.7</v>
      </c>
      <c r="M35" s="81">
        <v>9841.7000000000007</v>
      </c>
      <c r="N35" s="81">
        <v>10748</v>
      </c>
      <c r="O35" s="82" t="s">
        <v>704</v>
      </c>
    </row>
    <row r="36" spans="1:15" ht="26.4">
      <c r="A36" s="57" t="s">
        <v>640</v>
      </c>
      <c r="B36" s="81">
        <v>5076.9940539999989</v>
      </c>
      <c r="C36" s="81">
        <v>4017.4249522999999</v>
      </c>
      <c r="D36" s="81">
        <v>2162.1111162000002</v>
      </c>
      <c r="E36" s="81">
        <v>4289.9502041999995</v>
      </c>
      <c r="F36" s="81">
        <v>5051.721565400002</v>
      </c>
      <c r="G36" s="81">
        <v>5233.0874309999999</v>
      </c>
      <c r="H36" s="81">
        <v>8590.239772400002</v>
      </c>
      <c r="I36" s="81">
        <v>11551.822348049989</v>
      </c>
      <c r="J36" s="81">
        <v>11617.486487780003</v>
      </c>
      <c r="K36" s="81">
        <v>6906.7952152300022</v>
      </c>
      <c r="L36" s="81">
        <v>11147.6</v>
      </c>
      <c r="M36" s="81">
        <v>15143</v>
      </c>
      <c r="N36" s="81">
        <v>8953.9</v>
      </c>
      <c r="O36" s="82" t="s">
        <v>641</v>
      </c>
    </row>
    <row r="37" spans="1:15" ht="26.4">
      <c r="A37" s="57" t="s">
        <v>705</v>
      </c>
      <c r="B37" s="81">
        <v>7553.011878199999</v>
      </c>
      <c r="C37" s="81">
        <v>4502.7942724000004</v>
      </c>
      <c r="D37" s="81">
        <v>4766.5498695000006</v>
      </c>
      <c r="E37" s="81">
        <v>3015.2650804999998</v>
      </c>
      <c r="F37" s="81">
        <v>2946.3449210999997</v>
      </c>
      <c r="G37" s="81">
        <v>2310.1932538000001</v>
      </c>
      <c r="H37" s="81">
        <v>3628.5310246999993</v>
      </c>
      <c r="I37" s="81">
        <v>2369.7014337800006</v>
      </c>
      <c r="J37" s="81">
        <v>3759.5503922999997</v>
      </c>
      <c r="K37" s="81">
        <v>4787.2378976499986</v>
      </c>
      <c r="L37" s="81">
        <v>12526.4</v>
      </c>
      <c r="M37" s="81">
        <v>6952</v>
      </c>
      <c r="N37" s="81">
        <v>5513.6</v>
      </c>
      <c r="O37" s="82" t="s">
        <v>706</v>
      </c>
    </row>
    <row r="38" spans="1:15" ht="26.4">
      <c r="A38" s="57" t="s">
        <v>707</v>
      </c>
      <c r="B38" s="81">
        <v>752.83843980000017</v>
      </c>
      <c r="C38" s="81">
        <v>831.96657070000003</v>
      </c>
      <c r="D38" s="81">
        <v>1312.9357298</v>
      </c>
      <c r="E38" s="81">
        <v>1730.5214994</v>
      </c>
      <c r="F38" s="81">
        <v>1154.4464091</v>
      </c>
      <c r="G38" s="81">
        <v>2690.9648145000001</v>
      </c>
      <c r="H38" s="81">
        <v>3425.3671489999997</v>
      </c>
      <c r="I38" s="81">
        <v>4882.2639157999993</v>
      </c>
      <c r="J38" s="81">
        <v>5342.0282756999986</v>
      </c>
      <c r="K38" s="81">
        <v>3575.43770202</v>
      </c>
      <c r="L38" s="81"/>
      <c r="M38" s="81"/>
      <c r="N38" s="81"/>
      <c r="O38" s="82" t="s">
        <v>767</v>
      </c>
    </row>
    <row r="39" spans="1:15" ht="26.4">
      <c r="A39" s="57" t="s">
        <v>638</v>
      </c>
      <c r="B39" s="81">
        <v>1755.8359272</v>
      </c>
      <c r="C39" s="81">
        <v>2381.6172021999996</v>
      </c>
      <c r="D39" s="81">
        <v>3735.9761692000002</v>
      </c>
      <c r="E39" s="81">
        <v>3548.8132390000001</v>
      </c>
      <c r="F39" s="81">
        <v>1990.0665344000001</v>
      </c>
      <c r="G39" s="81">
        <v>1880.5916409000001</v>
      </c>
      <c r="H39" s="81">
        <v>3531.8319188999994</v>
      </c>
      <c r="I39" s="81">
        <v>2491.868485</v>
      </c>
      <c r="J39" s="81">
        <v>2631.1507442799998</v>
      </c>
      <c r="K39" s="81">
        <v>3334.35217534</v>
      </c>
      <c r="L39" s="81">
        <v>3633.5</v>
      </c>
      <c r="M39" s="81">
        <v>1430.9</v>
      </c>
      <c r="N39" s="81">
        <v>1230.8</v>
      </c>
      <c r="O39" s="82" t="s">
        <v>639</v>
      </c>
    </row>
    <row r="40" spans="1:15" ht="26.4">
      <c r="A40" s="57" t="s">
        <v>646</v>
      </c>
      <c r="B40" s="81">
        <v>6328.1339465999999</v>
      </c>
      <c r="C40" s="81">
        <v>3086.0623624</v>
      </c>
      <c r="D40" s="81">
        <v>2470.2810678000001</v>
      </c>
      <c r="E40" s="81">
        <v>1686.7756510000004</v>
      </c>
      <c r="F40" s="81">
        <v>1121.8233001000008</v>
      </c>
      <c r="G40" s="81">
        <v>1243.7481633</v>
      </c>
      <c r="H40" s="81">
        <v>1214.1651310999998</v>
      </c>
      <c r="I40" s="81">
        <v>1527.1489462599998</v>
      </c>
      <c r="J40" s="81">
        <v>2568.4558476200023</v>
      </c>
      <c r="K40" s="81">
        <v>1619.6753405999996</v>
      </c>
      <c r="L40" s="81">
        <v>1764.7</v>
      </c>
      <c r="M40" s="81">
        <v>2924.5</v>
      </c>
      <c r="N40" s="81">
        <v>2498</v>
      </c>
      <c r="O40" s="82" t="s">
        <v>647</v>
      </c>
    </row>
    <row r="41" spans="1:15" ht="26.4">
      <c r="A41" s="57" t="s">
        <v>642</v>
      </c>
      <c r="B41" s="81">
        <v>31.319807699999998</v>
      </c>
      <c r="C41" s="81">
        <v>29.874100299999998</v>
      </c>
      <c r="D41" s="81">
        <v>67.375513699999985</v>
      </c>
      <c r="E41" s="81">
        <v>350.22126019999996</v>
      </c>
      <c r="F41" s="81">
        <v>334.07634569999999</v>
      </c>
      <c r="G41" s="81">
        <v>579.19965409999998</v>
      </c>
      <c r="H41" s="81">
        <v>1283.4825205999996</v>
      </c>
      <c r="I41" s="81">
        <v>1078.74638929</v>
      </c>
      <c r="J41" s="81">
        <v>1167.5477568200001</v>
      </c>
      <c r="K41" s="81">
        <v>818.14646032000007</v>
      </c>
      <c r="L41" s="81">
        <v>522.1</v>
      </c>
      <c r="M41" s="81">
        <v>710.4</v>
      </c>
      <c r="N41" s="81">
        <v>162</v>
      </c>
      <c r="O41" s="82" t="s">
        <v>643</v>
      </c>
    </row>
    <row r="42" spans="1:15" ht="26.4">
      <c r="A42" s="57" t="s">
        <v>648</v>
      </c>
      <c r="B42" s="81">
        <v>2802.7136728</v>
      </c>
      <c r="C42" s="81">
        <v>797.6326808</v>
      </c>
      <c r="D42" s="81">
        <v>18.589039100000001</v>
      </c>
      <c r="E42" s="81">
        <v>439.99767880000002</v>
      </c>
      <c r="F42" s="81">
        <v>1.7898889</v>
      </c>
      <c r="G42" s="81">
        <v>8.3500995999999983</v>
      </c>
      <c r="H42" s="81">
        <v>156.18750350000002</v>
      </c>
      <c r="I42" s="81">
        <v>111.82951332</v>
      </c>
      <c r="J42" s="81">
        <v>732.78975772999979</v>
      </c>
      <c r="K42" s="81">
        <v>614.7759221</v>
      </c>
      <c r="L42" s="81">
        <v>187.1</v>
      </c>
      <c r="M42" s="81">
        <v>40.299999999999997</v>
      </c>
      <c r="N42" s="81">
        <v>26.1</v>
      </c>
      <c r="O42" s="82" t="s">
        <v>649</v>
      </c>
    </row>
    <row r="43" spans="1:15" ht="26.4">
      <c r="A43" s="57" t="s">
        <v>709</v>
      </c>
      <c r="B43" s="81">
        <v>407.83919380000003</v>
      </c>
      <c r="C43" s="81">
        <v>510.75440229999992</v>
      </c>
      <c r="D43" s="81">
        <v>332.38451550000002</v>
      </c>
      <c r="E43" s="81">
        <v>705.55005870000002</v>
      </c>
      <c r="F43" s="81">
        <v>632.59037249999994</v>
      </c>
      <c r="G43" s="81">
        <v>635.68485929999997</v>
      </c>
      <c r="H43" s="81">
        <v>970.70195370000022</v>
      </c>
      <c r="I43" s="81">
        <v>879.31881905000012</v>
      </c>
      <c r="J43" s="81">
        <v>952.12534192999999</v>
      </c>
      <c r="K43" s="81">
        <v>574.73002625000038</v>
      </c>
      <c r="L43" s="81">
        <v>820.5</v>
      </c>
      <c r="M43" s="81">
        <v>638.5</v>
      </c>
      <c r="N43" s="81">
        <v>659.9</v>
      </c>
      <c r="O43" s="82" t="s">
        <v>710</v>
      </c>
    </row>
    <row r="44" spans="1:15" ht="26.4">
      <c r="A44" s="57" t="s">
        <v>711</v>
      </c>
      <c r="B44" s="81">
        <v>0.70118510000000001</v>
      </c>
      <c r="C44" s="81">
        <v>2.3035000000000001</v>
      </c>
      <c r="D44" s="81">
        <v>214.82004419999998</v>
      </c>
      <c r="E44" s="81">
        <v>0</v>
      </c>
      <c r="F44" s="81">
        <v>0.1406</v>
      </c>
      <c r="G44" s="81">
        <v>0.31806719999999999</v>
      </c>
      <c r="H44" s="81">
        <v>1.8425E-2</v>
      </c>
      <c r="I44" s="81">
        <v>0.33350249999999998</v>
      </c>
      <c r="J44" s="81">
        <v>376.76369699999998</v>
      </c>
      <c r="K44" s="81">
        <v>570.65647799999999</v>
      </c>
      <c r="L44" s="81">
        <v>745.5</v>
      </c>
      <c r="M44" s="81">
        <v>1127.3</v>
      </c>
      <c r="N44" s="81">
        <v>0.1</v>
      </c>
      <c r="O44" s="82" t="s">
        <v>712</v>
      </c>
    </row>
    <row r="45" spans="1:15" ht="26.4">
      <c r="A45" s="57" t="s">
        <v>650</v>
      </c>
      <c r="B45" s="81">
        <v>3497.3052820000003</v>
      </c>
      <c r="C45" s="81">
        <v>122.99704439999999</v>
      </c>
      <c r="D45" s="81">
        <v>98.904133999999999</v>
      </c>
      <c r="E45" s="81">
        <v>876.94158870000001</v>
      </c>
      <c r="F45" s="81">
        <v>6.8651801999999993</v>
      </c>
      <c r="G45" s="81">
        <v>270.82073110000005</v>
      </c>
      <c r="H45" s="81">
        <v>109.10796360000001</v>
      </c>
      <c r="I45" s="81">
        <v>49.878078709999997</v>
      </c>
      <c r="J45" s="81">
        <v>124.51952411000002</v>
      </c>
      <c r="K45" s="81">
        <v>320.89595166999993</v>
      </c>
      <c r="L45" s="81">
        <v>243.4</v>
      </c>
      <c r="M45" s="81">
        <v>502.1</v>
      </c>
      <c r="N45" s="81">
        <v>3048.4</v>
      </c>
      <c r="O45" s="82" t="s">
        <v>651</v>
      </c>
    </row>
    <row r="46" spans="1:15" ht="26.4">
      <c r="A46" s="57" t="s">
        <v>713</v>
      </c>
      <c r="B46" s="81">
        <v>1670.6454365999998</v>
      </c>
      <c r="C46" s="81">
        <v>1095.1665966999972</v>
      </c>
      <c r="D46" s="81">
        <v>1460.715159899999</v>
      </c>
      <c r="E46" s="81">
        <v>5037.7032073999981</v>
      </c>
      <c r="F46" s="81">
        <v>1444.9006235000015</v>
      </c>
      <c r="G46" s="81">
        <v>1141.1264408999959</v>
      </c>
      <c r="H46" s="81">
        <v>1254.3306064999997</v>
      </c>
      <c r="I46" s="81">
        <v>1721.8852200600086</v>
      </c>
      <c r="J46" s="81">
        <v>1411.2571402399917</v>
      </c>
      <c r="K46" s="81">
        <v>895.52723236000747</v>
      </c>
      <c r="L46" s="81">
        <v>21.6</v>
      </c>
      <c r="M46" s="81">
        <v>25.7</v>
      </c>
      <c r="N46" s="81">
        <v>-12096.4</v>
      </c>
      <c r="O46" s="82" t="s">
        <v>714</v>
      </c>
    </row>
    <row r="47" spans="1:15" ht="26.4">
      <c r="A47" s="54" t="s">
        <v>715</v>
      </c>
      <c r="B47" s="81">
        <v>44.639064600000005</v>
      </c>
      <c r="C47" s="81">
        <v>34.4893474</v>
      </c>
      <c r="D47" s="81">
        <v>929.98496250000005</v>
      </c>
      <c r="E47" s="81">
        <v>74.395034799999991</v>
      </c>
      <c r="F47" s="81">
        <v>125.18715570000001</v>
      </c>
      <c r="G47" s="81">
        <v>129.75106070000001</v>
      </c>
      <c r="H47" s="81">
        <v>174.37078010000005</v>
      </c>
      <c r="I47" s="81">
        <v>756.29096035999999</v>
      </c>
      <c r="J47" s="81">
        <v>1242.5158285799998</v>
      </c>
      <c r="K47" s="81">
        <v>10738.677066460001</v>
      </c>
      <c r="L47" s="81">
        <v>12006.5</v>
      </c>
      <c r="M47" s="81">
        <v>26577.200000000001</v>
      </c>
      <c r="N47" s="81">
        <v>35639.9</v>
      </c>
      <c r="O47" s="79" t="s">
        <v>768</v>
      </c>
    </row>
    <row r="48" spans="1:15" ht="26.4">
      <c r="A48" s="57" t="s">
        <v>717</v>
      </c>
      <c r="B48" s="81">
        <v>8.2234799999999997E-2</v>
      </c>
      <c r="C48" s="81">
        <v>1.2200000000000001E-2</v>
      </c>
      <c r="D48" s="81">
        <v>4.5572213000000001</v>
      </c>
      <c r="E48" s="81">
        <v>0.1506431</v>
      </c>
      <c r="F48" s="81">
        <v>0.1151736</v>
      </c>
      <c r="G48" s="81">
        <v>9.4097404000000004</v>
      </c>
      <c r="H48" s="81">
        <v>4.8976100999999996</v>
      </c>
      <c r="I48" s="81">
        <v>8.9426592500000002</v>
      </c>
      <c r="J48" s="81">
        <v>0.64216096</v>
      </c>
      <c r="K48" s="81">
        <v>10523.963802570002</v>
      </c>
      <c r="L48" s="81">
        <v>11568.4</v>
      </c>
      <c r="M48" s="81">
        <v>26118.7</v>
      </c>
      <c r="N48" s="81">
        <v>34477.300000000003</v>
      </c>
      <c r="O48" s="82" t="s">
        <v>718</v>
      </c>
    </row>
    <row r="49" spans="1:15" ht="26.4">
      <c r="A49" s="57" t="s">
        <v>719</v>
      </c>
      <c r="B49" s="81">
        <v>8.5081791999999989</v>
      </c>
      <c r="C49" s="81">
        <v>4.3401262999999997</v>
      </c>
      <c r="D49" s="81">
        <v>805.89284499999997</v>
      </c>
      <c r="E49" s="81">
        <v>38.968178799999997</v>
      </c>
      <c r="F49" s="81">
        <v>64.296259000000006</v>
      </c>
      <c r="G49" s="81">
        <v>53.467566300000001</v>
      </c>
      <c r="H49" s="81">
        <v>160.70974080000005</v>
      </c>
      <c r="I49" s="81">
        <v>314.85349718000003</v>
      </c>
      <c r="J49" s="81">
        <v>468.48807468000007</v>
      </c>
      <c r="K49" s="81">
        <v>96.246669619999992</v>
      </c>
      <c r="L49" s="81">
        <v>70.3</v>
      </c>
      <c r="M49" s="81">
        <v>63.6</v>
      </c>
      <c r="N49" s="81">
        <v>149</v>
      </c>
      <c r="O49" s="82" t="s">
        <v>720</v>
      </c>
    </row>
    <row r="50" spans="1:15" ht="26.4">
      <c r="A50" s="57" t="s">
        <v>721</v>
      </c>
      <c r="B50" s="81">
        <v>3.5178297000000001</v>
      </c>
      <c r="C50" s="81">
        <v>4.3287494000000004</v>
      </c>
      <c r="D50" s="81">
        <v>19.389341100000003</v>
      </c>
      <c r="E50" s="81">
        <v>0</v>
      </c>
      <c r="F50" s="81">
        <v>0.05</v>
      </c>
      <c r="G50" s="81">
        <v>0</v>
      </c>
      <c r="H50" s="81">
        <v>0.16346079999999999</v>
      </c>
      <c r="I50" s="81">
        <v>421.18373523000002</v>
      </c>
      <c r="J50" s="81">
        <v>740.33863080999993</v>
      </c>
      <c r="K50" s="81">
        <v>79.654969010000002</v>
      </c>
      <c r="L50" s="81"/>
      <c r="M50" s="81"/>
      <c r="N50" s="81"/>
      <c r="O50" s="82" t="s">
        <v>722</v>
      </c>
    </row>
    <row r="51" spans="1:15" ht="26.4">
      <c r="A51" s="57" t="s">
        <v>723</v>
      </c>
      <c r="B51" s="81">
        <v>0.24485999999999999</v>
      </c>
      <c r="C51" s="81">
        <v>16.343868100000002</v>
      </c>
      <c r="D51" s="81">
        <v>0</v>
      </c>
      <c r="E51" s="81">
        <v>7.8649744000000004</v>
      </c>
      <c r="F51" s="81">
        <v>5.4174889999999998</v>
      </c>
      <c r="G51" s="81">
        <v>9.7439999999999998</v>
      </c>
      <c r="H51" s="81">
        <v>0</v>
      </c>
      <c r="I51" s="81">
        <v>10.994999999999999</v>
      </c>
      <c r="J51" s="81">
        <v>11.258585</v>
      </c>
      <c r="K51" s="81">
        <v>25.528846000000001</v>
      </c>
      <c r="L51" s="81"/>
      <c r="M51" s="81"/>
      <c r="N51" s="81"/>
      <c r="O51" s="82" t="s">
        <v>769</v>
      </c>
    </row>
    <row r="52" spans="1:15" ht="26.4">
      <c r="A52" s="57" t="s">
        <v>725</v>
      </c>
      <c r="B52" s="81">
        <v>32.285960900000006</v>
      </c>
      <c r="C52" s="81">
        <v>9.4644035999999971</v>
      </c>
      <c r="D52" s="81">
        <v>100.14555510000002</v>
      </c>
      <c r="E52" s="81">
        <v>27.411238499999989</v>
      </c>
      <c r="F52" s="81">
        <v>55.308234099999993</v>
      </c>
      <c r="G52" s="81">
        <v>57.129754000000005</v>
      </c>
      <c r="H52" s="81">
        <v>8.5999683999999945</v>
      </c>
      <c r="I52" s="81">
        <v>0.31606869999995979</v>
      </c>
      <c r="J52" s="81">
        <v>21.788377129999844</v>
      </c>
      <c r="K52" s="81">
        <v>13.282779259998279</v>
      </c>
      <c r="L52" s="81">
        <v>367.8</v>
      </c>
      <c r="M52" s="81">
        <v>394.8</v>
      </c>
      <c r="N52" s="81">
        <v>1013.6</v>
      </c>
      <c r="O52" s="82" t="s">
        <v>726</v>
      </c>
    </row>
    <row r="53" spans="1:15" ht="26.4">
      <c r="A53" s="54" t="s">
        <v>770</v>
      </c>
      <c r="B53" s="81">
        <v>39.081879699999995</v>
      </c>
      <c r="C53" s="81">
        <v>17.637106199999998</v>
      </c>
      <c r="D53" s="81">
        <v>22.918090100000001</v>
      </c>
      <c r="E53" s="81">
        <v>18.113</v>
      </c>
      <c r="F53" s="81">
        <v>23.336940100000003</v>
      </c>
      <c r="G53" s="81">
        <v>9.0437768000000016</v>
      </c>
      <c r="H53" s="81">
        <v>14.153457200000002</v>
      </c>
      <c r="I53" s="81">
        <v>36.989212100000003</v>
      </c>
      <c r="J53" s="81">
        <v>5.9717241699999999</v>
      </c>
      <c r="K53" s="81">
        <v>0.12966486999999999</v>
      </c>
      <c r="L53" s="81" t="s">
        <v>1092</v>
      </c>
      <c r="M53" s="81">
        <v>0.1</v>
      </c>
      <c r="N53" s="81" t="s">
        <v>1092</v>
      </c>
      <c r="O53" s="79" t="s">
        <v>728</v>
      </c>
    </row>
    <row r="54" spans="1:15" ht="26.4">
      <c r="A54" s="47" t="s">
        <v>625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84" t="s">
        <v>652</v>
      </c>
    </row>
  </sheetData>
  <phoneticPr fontId="6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/>
  </sheetPr>
  <dimension ref="A2:O100"/>
  <sheetViews>
    <sheetView zoomScale="49" workbookViewId="0">
      <selection activeCell="R8" sqref="R8"/>
    </sheetView>
  </sheetViews>
  <sheetFormatPr baseColWidth="10" defaultRowHeight="14.4"/>
  <cols>
    <col min="1" max="1" width="27.5546875" customWidth="1"/>
    <col min="2" max="4" width="13.33203125" bestFit="1" customWidth="1"/>
    <col min="5" max="6" width="12.6640625" bestFit="1" customWidth="1"/>
    <col min="7" max="7" width="13.33203125" bestFit="1" customWidth="1"/>
    <col min="9" max="11" width="13.33203125" bestFit="1" customWidth="1"/>
    <col min="14" max="14" width="14.44140625" bestFit="1" customWidth="1"/>
    <col min="15" max="15" width="33.109375" customWidth="1"/>
  </cols>
  <sheetData>
    <row r="2" spans="1:15" ht="27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7"/>
      <c r="O2" s="85"/>
    </row>
    <row r="3" spans="1:15" ht="27.6" thickBot="1">
      <c r="A3" s="88" t="s">
        <v>1568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7"/>
      <c r="O3" s="89" t="s">
        <v>771</v>
      </c>
    </row>
    <row r="4" spans="1:15" ht="27">
      <c r="A4" s="85"/>
      <c r="B4" s="90" t="s">
        <v>163</v>
      </c>
      <c r="C4" s="91" t="s">
        <v>165</v>
      </c>
      <c r="D4" s="92" t="s">
        <v>167</v>
      </c>
      <c r="E4" s="91" t="s">
        <v>169</v>
      </c>
      <c r="F4" s="92" t="s">
        <v>171</v>
      </c>
      <c r="G4" s="91" t="s">
        <v>173</v>
      </c>
      <c r="H4" s="92" t="s">
        <v>175</v>
      </c>
      <c r="I4" s="91" t="s">
        <v>177</v>
      </c>
      <c r="J4" s="92" t="s">
        <v>772</v>
      </c>
      <c r="K4" s="91" t="s">
        <v>181</v>
      </c>
      <c r="L4" s="91" t="s">
        <v>773</v>
      </c>
      <c r="M4" s="93" t="s">
        <v>774</v>
      </c>
      <c r="N4" s="94" t="s">
        <v>48</v>
      </c>
      <c r="O4" s="85"/>
    </row>
    <row r="5" spans="1:15" ht="27.6" thickBot="1">
      <c r="A5" s="85"/>
      <c r="B5" s="95" t="s">
        <v>244</v>
      </c>
      <c r="C5" s="96" t="s">
        <v>245</v>
      </c>
      <c r="D5" s="97" t="s">
        <v>246</v>
      </c>
      <c r="E5" s="96" t="s">
        <v>247</v>
      </c>
      <c r="F5" s="97" t="s">
        <v>172</v>
      </c>
      <c r="G5" s="96" t="s">
        <v>248</v>
      </c>
      <c r="H5" s="97" t="s">
        <v>249</v>
      </c>
      <c r="I5" s="96" t="s">
        <v>250</v>
      </c>
      <c r="J5" s="97" t="s">
        <v>180</v>
      </c>
      <c r="K5" s="96" t="s">
        <v>182</v>
      </c>
      <c r="L5" s="96" t="s">
        <v>184</v>
      </c>
      <c r="M5" s="98" t="s">
        <v>186</v>
      </c>
      <c r="N5" s="99" t="s">
        <v>4</v>
      </c>
      <c r="O5" s="85"/>
    </row>
    <row r="6" spans="1:15" ht="27">
      <c r="A6" s="100">
        <v>2000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N6" s="103"/>
      <c r="O6" s="104">
        <v>2000</v>
      </c>
    </row>
    <row r="7" spans="1:15" ht="27">
      <c r="A7" s="105" t="s">
        <v>775</v>
      </c>
      <c r="B7" s="106">
        <v>700</v>
      </c>
      <c r="C7" s="106">
        <v>730</v>
      </c>
      <c r="D7" s="106">
        <v>760</v>
      </c>
      <c r="E7" s="106">
        <v>1080</v>
      </c>
      <c r="F7" s="106">
        <v>1060</v>
      </c>
      <c r="G7" s="106">
        <v>770</v>
      </c>
      <c r="H7" s="106">
        <v>910</v>
      </c>
      <c r="I7" s="106">
        <v>1060</v>
      </c>
      <c r="J7" s="106">
        <v>1060</v>
      </c>
      <c r="K7" s="106">
        <v>950</v>
      </c>
      <c r="L7" s="106">
        <v>840</v>
      </c>
      <c r="M7" s="107">
        <v>1130</v>
      </c>
      <c r="N7" s="108">
        <v>11050</v>
      </c>
      <c r="O7" s="109" t="s">
        <v>776</v>
      </c>
    </row>
    <row r="8" spans="1:15" ht="27">
      <c r="A8" s="105" t="s">
        <v>777</v>
      </c>
      <c r="B8" s="106">
        <v>2600</v>
      </c>
      <c r="C8" s="106">
        <v>2760</v>
      </c>
      <c r="D8" s="106">
        <v>3080</v>
      </c>
      <c r="E8" s="106">
        <v>4470</v>
      </c>
      <c r="F8" s="106">
        <v>4450</v>
      </c>
      <c r="G8" s="106">
        <v>3280</v>
      </c>
      <c r="H8" s="106">
        <v>3900</v>
      </c>
      <c r="I8" s="106">
        <v>4500</v>
      </c>
      <c r="J8" s="106">
        <v>4650</v>
      </c>
      <c r="K8" s="106">
        <v>4300</v>
      </c>
      <c r="L8" s="106">
        <v>3700</v>
      </c>
      <c r="M8" s="107">
        <v>5070</v>
      </c>
      <c r="N8" s="108">
        <v>46760</v>
      </c>
      <c r="O8" s="110" t="s">
        <v>610</v>
      </c>
    </row>
    <row r="9" spans="1:15" ht="27.6" thickBot="1">
      <c r="A9" s="105" t="s">
        <v>778</v>
      </c>
      <c r="B9" s="106">
        <v>11.9</v>
      </c>
      <c r="C9" s="106">
        <v>12.48</v>
      </c>
      <c r="D9" s="106">
        <v>13.59</v>
      </c>
      <c r="E9" s="106">
        <v>19.510000000000002</v>
      </c>
      <c r="F9" s="106">
        <v>19.239999999999998</v>
      </c>
      <c r="G9" s="106">
        <v>13.77</v>
      </c>
      <c r="H9" s="106">
        <v>16.22</v>
      </c>
      <c r="I9" s="106">
        <v>18.899999999999999</v>
      </c>
      <c r="J9" s="106">
        <v>19.399999999999999</v>
      </c>
      <c r="K9" s="106">
        <v>17.600000000000001</v>
      </c>
      <c r="L9" s="106">
        <v>15</v>
      </c>
      <c r="M9" s="107">
        <v>20.420000000000002</v>
      </c>
      <c r="N9" s="108">
        <v>198.02999999999997</v>
      </c>
      <c r="O9" s="110" t="s">
        <v>779</v>
      </c>
    </row>
    <row r="10" spans="1:15" ht="27">
      <c r="A10" s="100">
        <v>2001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2"/>
      <c r="N10" s="103"/>
      <c r="O10" s="104">
        <v>2001</v>
      </c>
    </row>
    <row r="11" spans="1:15" ht="27">
      <c r="A11" s="105" t="s">
        <v>775</v>
      </c>
      <c r="B11" s="106">
        <v>681.26499999999999</v>
      </c>
      <c r="C11" s="106">
        <v>611.35599999999999</v>
      </c>
      <c r="D11" s="106">
        <v>1025.7660000000001</v>
      </c>
      <c r="E11" s="106">
        <v>965.28800000000001</v>
      </c>
      <c r="F11" s="106">
        <v>854.90099999999995</v>
      </c>
      <c r="G11" s="106">
        <v>1092.817</v>
      </c>
      <c r="H11" s="106">
        <v>481.09199999999998</v>
      </c>
      <c r="I11" s="106">
        <v>1196.7170000000001</v>
      </c>
      <c r="J11" s="106">
        <v>703.70500000000004</v>
      </c>
      <c r="K11" s="106">
        <v>1042.3710000000001</v>
      </c>
      <c r="L11" s="106">
        <v>610.98700000000008</v>
      </c>
      <c r="M11" s="107">
        <v>826.93200000000002</v>
      </c>
      <c r="N11" s="108">
        <v>10093.197</v>
      </c>
      <c r="O11" s="109" t="s">
        <v>776</v>
      </c>
    </row>
    <row r="12" spans="1:15" ht="27">
      <c r="A12" s="105" t="s">
        <v>777</v>
      </c>
      <c r="B12" s="106">
        <v>3080</v>
      </c>
      <c r="C12" s="106">
        <v>2680</v>
      </c>
      <c r="D12" s="106">
        <v>4590</v>
      </c>
      <c r="E12" s="106">
        <v>4590</v>
      </c>
      <c r="F12" s="106">
        <v>4050</v>
      </c>
      <c r="G12" s="106">
        <v>5240</v>
      </c>
      <c r="H12" s="106">
        <v>2250</v>
      </c>
      <c r="I12" s="106">
        <v>5710</v>
      </c>
      <c r="J12" s="106">
        <v>3400</v>
      </c>
      <c r="K12" s="106">
        <v>5120</v>
      </c>
      <c r="L12" s="106">
        <v>2830</v>
      </c>
      <c r="M12" s="107">
        <v>4080</v>
      </c>
      <c r="N12" s="108">
        <v>47620</v>
      </c>
      <c r="O12" s="110" t="s">
        <v>610</v>
      </c>
    </row>
    <row r="13" spans="1:15" ht="27.6" thickBot="1">
      <c r="A13" s="105" t="s">
        <v>778</v>
      </c>
      <c r="B13" s="106">
        <v>12.37</v>
      </c>
      <c r="C13" s="106">
        <v>10.86</v>
      </c>
      <c r="D13" s="106">
        <v>18.440000000000001</v>
      </c>
      <c r="E13" s="106">
        <v>18.29</v>
      </c>
      <c r="F13" s="106">
        <v>16.11</v>
      </c>
      <c r="G13" s="106">
        <v>20.7</v>
      </c>
      <c r="H13" s="106">
        <v>8.83</v>
      </c>
      <c r="I13" s="106">
        <v>22.9</v>
      </c>
      <c r="J13" s="106">
        <v>13.21</v>
      </c>
      <c r="K13" s="106">
        <v>20.13</v>
      </c>
      <c r="L13" s="106">
        <v>11.06</v>
      </c>
      <c r="M13" s="107">
        <v>15.69</v>
      </c>
      <c r="N13" s="108">
        <v>188.59</v>
      </c>
      <c r="O13" s="110" t="s">
        <v>779</v>
      </c>
    </row>
    <row r="14" spans="1:15" ht="27">
      <c r="A14" s="100">
        <v>2002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103"/>
      <c r="O14" s="104">
        <v>2002</v>
      </c>
    </row>
    <row r="15" spans="1:15" ht="27">
      <c r="A15" s="105" t="s">
        <v>775</v>
      </c>
      <c r="B15" s="106">
        <v>1012.899</v>
      </c>
      <c r="C15" s="106">
        <v>651.70500000000004</v>
      </c>
      <c r="D15" s="106">
        <v>758.38599999999997</v>
      </c>
      <c r="E15" s="106">
        <v>861.12199999999996</v>
      </c>
      <c r="F15" s="106">
        <v>965.06399999999996</v>
      </c>
      <c r="G15" s="106">
        <v>668.13099999999997</v>
      </c>
      <c r="H15" s="106">
        <v>1009.932</v>
      </c>
      <c r="I15" s="106">
        <v>987.81799999999998</v>
      </c>
      <c r="J15" s="106">
        <v>597.22199999999998</v>
      </c>
      <c r="K15" s="106">
        <v>911.46500000000003</v>
      </c>
      <c r="L15" s="106">
        <v>832.84799999999996</v>
      </c>
      <c r="M15" s="107">
        <v>1203.576</v>
      </c>
      <c r="N15" s="108">
        <v>10460.167999999998</v>
      </c>
      <c r="O15" s="109" t="s">
        <v>776</v>
      </c>
    </row>
    <row r="16" spans="1:15" ht="27">
      <c r="A16" s="105" t="s">
        <v>777</v>
      </c>
      <c r="B16" s="106">
        <v>5251.5368090000002</v>
      </c>
      <c r="C16" s="106">
        <v>3102.4419239999997</v>
      </c>
      <c r="D16" s="106">
        <v>3827.9357559999999</v>
      </c>
      <c r="E16" s="106">
        <v>4099.7551370000001</v>
      </c>
      <c r="F16" s="106">
        <v>4663.986793</v>
      </c>
      <c r="G16" s="106">
        <v>3327.0787799999998</v>
      </c>
      <c r="H16" s="106">
        <v>4747.5294860000004</v>
      </c>
      <c r="I16" s="106">
        <v>4483.6424470000002</v>
      </c>
      <c r="J16" s="106">
        <v>2838.4138480000001</v>
      </c>
      <c r="K16" s="106">
        <v>4247.6038939999999</v>
      </c>
      <c r="L16" s="106">
        <v>3635.0494450000001</v>
      </c>
      <c r="M16" s="107">
        <v>5623.0209570000006</v>
      </c>
      <c r="N16" s="108">
        <v>49847.995276000001</v>
      </c>
      <c r="O16" s="110" t="s">
        <v>610</v>
      </c>
    </row>
    <row r="17" spans="1:15" ht="27.6" thickBot="1">
      <c r="A17" s="105" t="s">
        <v>778</v>
      </c>
      <c r="B17" s="106">
        <v>19.957955420000001</v>
      </c>
      <c r="C17" s="106">
        <v>11.729902539999999</v>
      </c>
      <c r="D17" s="106">
        <v>14.178590099999999</v>
      </c>
      <c r="E17" s="106">
        <v>14.993801469999999</v>
      </c>
      <c r="F17" s="106">
        <v>16.978473950000001</v>
      </c>
      <c r="G17" s="106">
        <v>12.103309619999999</v>
      </c>
      <c r="H17" s="106">
        <v>17.380031800000001</v>
      </c>
      <c r="I17" s="106">
        <v>16.544806080000001</v>
      </c>
      <c r="J17" s="106">
        <v>10.38912869</v>
      </c>
      <c r="K17" s="106">
        <v>15.8238792</v>
      </c>
      <c r="L17" s="106">
        <v>13.53936772</v>
      </c>
      <c r="M17" s="107">
        <v>21.041877620000005</v>
      </c>
      <c r="N17" s="108">
        <v>184.66112421</v>
      </c>
      <c r="O17" s="110" t="s">
        <v>779</v>
      </c>
    </row>
    <row r="18" spans="1:15" ht="27">
      <c r="A18" s="100">
        <v>2003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103"/>
      <c r="O18" s="104">
        <v>2003</v>
      </c>
    </row>
    <row r="19" spans="1:15" ht="27">
      <c r="A19" s="105" t="s">
        <v>775</v>
      </c>
      <c r="B19" s="106">
        <v>654.78899999999999</v>
      </c>
      <c r="C19" s="106">
        <v>641.923</v>
      </c>
      <c r="D19" s="106">
        <v>1068.009</v>
      </c>
      <c r="E19" s="106">
        <v>742.36300000000006</v>
      </c>
      <c r="F19" s="106">
        <v>935.20699999999999</v>
      </c>
      <c r="G19" s="106">
        <v>763.625</v>
      </c>
      <c r="H19" s="106">
        <v>747.24300000000005</v>
      </c>
      <c r="I19" s="106">
        <v>745.53399999999999</v>
      </c>
      <c r="J19" s="106">
        <v>678.23400000000004</v>
      </c>
      <c r="K19" s="106">
        <v>820.49699999999996</v>
      </c>
      <c r="L19" s="106">
        <v>765.90499999999997</v>
      </c>
      <c r="M19" s="107">
        <v>1064.0650000000001</v>
      </c>
      <c r="N19" s="108">
        <v>9627.3940000000002</v>
      </c>
      <c r="O19" s="109" t="s">
        <v>776</v>
      </c>
    </row>
    <row r="20" spans="1:15" ht="27">
      <c r="A20" s="105" t="s">
        <v>777</v>
      </c>
      <c r="B20" s="106">
        <v>2976.639576</v>
      </c>
      <c r="C20" s="106">
        <v>2991.6177769999999</v>
      </c>
      <c r="D20" s="106">
        <v>4496</v>
      </c>
      <c r="E20" s="106">
        <v>3427</v>
      </c>
      <c r="F20" s="106">
        <v>4302.1025200000004</v>
      </c>
      <c r="G20" s="106">
        <v>3769.1875199999999</v>
      </c>
      <c r="H20" s="106">
        <v>3636.047004</v>
      </c>
      <c r="I20" s="106">
        <v>3784.9825679999999</v>
      </c>
      <c r="J20" s="106">
        <v>3365.8689469999999</v>
      </c>
      <c r="K20" s="106">
        <v>3907</v>
      </c>
      <c r="L20" s="106">
        <v>3777.2276320000001</v>
      </c>
      <c r="M20" s="107">
        <v>5853.0687624149023</v>
      </c>
      <c r="N20" s="108">
        <v>46286.742306414897</v>
      </c>
      <c r="O20" s="110" t="s">
        <v>610</v>
      </c>
    </row>
    <row r="21" spans="1:15" ht="27.6" thickBot="1">
      <c r="A21" s="105" t="s">
        <v>778</v>
      </c>
      <c r="B21" s="106">
        <v>11.147202</v>
      </c>
      <c r="C21" s="106">
        <v>11.24626058</v>
      </c>
      <c r="D21" s="106">
        <v>17.983689999999999</v>
      </c>
      <c r="E21" s="106">
        <v>12.996715</v>
      </c>
      <c r="F21" s="106">
        <v>16.357181739999998</v>
      </c>
      <c r="G21" s="106">
        <v>14.45905906</v>
      </c>
      <c r="H21" s="106">
        <v>13.995561989999999</v>
      </c>
      <c r="I21" s="106">
        <v>14.524665430000001</v>
      </c>
      <c r="J21" s="106">
        <v>12.863521169999999</v>
      </c>
      <c r="K21" s="106">
        <v>15.448760999999999</v>
      </c>
      <c r="L21" s="106">
        <v>14.437287889999999</v>
      </c>
      <c r="M21" s="107">
        <v>19.859023000000001</v>
      </c>
      <c r="N21" s="108">
        <v>175.31892886</v>
      </c>
      <c r="O21" s="110" t="s">
        <v>779</v>
      </c>
    </row>
    <row r="22" spans="1:15" ht="27">
      <c r="A22" s="100">
        <v>2004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2"/>
      <c r="N22" s="103"/>
      <c r="O22" s="104">
        <v>2004</v>
      </c>
    </row>
    <row r="23" spans="1:15" ht="27">
      <c r="A23" s="105" t="s">
        <v>775</v>
      </c>
      <c r="B23" s="106">
        <v>1132.5060000000001</v>
      </c>
      <c r="C23" s="106">
        <v>830.14400000000001</v>
      </c>
      <c r="D23" s="106">
        <v>924.89799999999991</v>
      </c>
      <c r="E23" s="106">
        <v>813.43100000000004</v>
      </c>
      <c r="F23" s="106">
        <v>1096</v>
      </c>
      <c r="G23" s="106">
        <v>876</v>
      </c>
      <c r="H23" s="106">
        <v>776</v>
      </c>
      <c r="I23" s="106">
        <v>1097</v>
      </c>
      <c r="J23" s="106">
        <v>803</v>
      </c>
      <c r="K23" s="106">
        <v>885</v>
      </c>
      <c r="L23" s="106">
        <v>800</v>
      </c>
      <c r="M23" s="107">
        <v>970</v>
      </c>
      <c r="N23" s="108">
        <v>11003.978999999999</v>
      </c>
      <c r="O23" s="109" t="s">
        <v>776</v>
      </c>
    </row>
    <row r="24" spans="1:15" ht="27">
      <c r="A24" s="105" t="s">
        <v>777</v>
      </c>
      <c r="B24" s="106">
        <v>5362</v>
      </c>
      <c r="C24" s="106">
        <v>4093</v>
      </c>
      <c r="D24" s="106">
        <v>5044</v>
      </c>
      <c r="E24" s="106">
        <v>5038</v>
      </c>
      <c r="F24" s="106">
        <v>6782</v>
      </c>
      <c r="G24" s="106">
        <v>5554</v>
      </c>
      <c r="H24" s="106">
        <v>4488</v>
      </c>
      <c r="I24" s="106">
        <v>6563</v>
      </c>
      <c r="J24" s="106">
        <v>4788</v>
      </c>
      <c r="K24" s="106">
        <v>5367</v>
      </c>
      <c r="L24" s="106">
        <v>4755</v>
      </c>
      <c r="M24" s="107">
        <v>5610.4762499999997</v>
      </c>
      <c r="N24" s="108">
        <v>63444.47625</v>
      </c>
      <c r="O24" s="110" t="s">
        <v>610</v>
      </c>
    </row>
    <row r="25" spans="1:15" ht="27.6" thickBot="1">
      <c r="A25" s="105" t="s">
        <v>778</v>
      </c>
      <c r="B25" s="106">
        <v>20.065000000000001</v>
      </c>
      <c r="C25" s="106">
        <v>15.167</v>
      </c>
      <c r="D25" s="106">
        <v>18.869</v>
      </c>
      <c r="E25" s="106">
        <v>18.499522029999998</v>
      </c>
      <c r="F25" s="106">
        <v>24.6</v>
      </c>
      <c r="G25" s="106">
        <v>19.92015</v>
      </c>
      <c r="H25" s="106">
        <v>17.245999999999999</v>
      </c>
      <c r="I25" s="106">
        <v>24.905000000000001</v>
      </c>
      <c r="J25" s="106">
        <v>18.058</v>
      </c>
      <c r="K25" s="106">
        <v>20.300999999999998</v>
      </c>
      <c r="L25" s="106">
        <v>18.061878350000001</v>
      </c>
      <c r="M25" s="107">
        <v>21.683</v>
      </c>
      <c r="N25" s="108">
        <v>237.37555037999999</v>
      </c>
      <c r="O25" s="110" t="s">
        <v>779</v>
      </c>
    </row>
    <row r="26" spans="1:15" ht="27">
      <c r="A26" s="100">
        <v>2005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103"/>
      <c r="O26" s="104">
        <v>2005</v>
      </c>
    </row>
    <row r="27" spans="1:15" ht="27">
      <c r="A27" s="105" t="s">
        <v>775</v>
      </c>
      <c r="B27" s="106">
        <v>829</v>
      </c>
      <c r="C27" s="106">
        <v>693</v>
      </c>
      <c r="D27" s="106">
        <v>1028</v>
      </c>
      <c r="E27" s="106">
        <v>828</v>
      </c>
      <c r="F27" s="106">
        <v>786</v>
      </c>
      <c r="G27" s="106">
        <v>737</v>
      </c>
      <c r="H27" s="106">
        <v>987</v>
      </c>
      <c r="I27" s="106">
        <v>1086</v>
      </c>
      <c r="J27" s="106">
        <v>752</v>
      </c>
      <c r="K27" s="106">
        <v>962.42600000000004</v>
      </c>
      <c r="L27" s="106">
        <v>886</v>
      </c>
      <c r="M27" s="107">
        <v>1065</v>
      </c>
      <c r="N27" s="108">
        <v>10639.425999999999</v>
      </c>
      <c r="O27" s="109" t="s">
        <v>776</v>
      </c>
    </row>
    <row r="28" spans="1:15" ht="27">
      <c r="A28" s="105" t="s">
        <v>777</v>
      </c>
      <c r="B28" s="106">
        <v>5036.5998665999996</v>
      </c>
      <c r="C28" s="106">
        <v>4163.5789056000003</v>
      </c>
      <c r="D28" s="106">
        <v>8755.1440703999997</v>
      </c>
      <c r="E28" s="106">
        <v>8624.7767284000001</v>
      </c>
      <c r="F28" s="106">
        <v>8278.8359600000003</v>
      </c>
      <c r="G28" s="106">
        <v>7183.1025000000009</v>
      </c>
      <c r="H28" s="106">
        <v>10344.554370000002</v>
      </c>
      <c r="I28" s="106">
        <v>11571.944305454999</v>
      </c>
      <c r="J28" s="106">
        <v>7936.7117768099997</v>
      </c>
      <c r="K28" s="106">
        <v>10172.06778569</v>
      </c>
      <c r="L28" s="106">
        <v>9522.2991261040024</v>
      </c>
      <c r="M28" s="107">
        <v>11555.362059999999</v>
      </c>
      <c r="N28" s="108">
        <v>103144.97745505899</v>
      </c>
      <c r="O28" s="110" t="s">
        <v>610</v>
      </c>
    </row>
    <row r="29" spans="1:15" ht="27.6" thickBot="1">
      <c r="A29" s="105" t="s">
        <v>778</v>
      </c>
      <c r="B29" s="106">
        <v>19.44483</v>
      </c>
      <c r="C29" s="106">
        <v>15.99408</v>
      </c>
      <c r="D29" s="106">
        <v>33.406379999999999</v>
      </c>
      <c r="E29" s="106">
        <v>32.596760000000003</v>
      </c>
      <c r="F29" s="106">
        <v>31.226750000000003</v>
      </c>
      <c r="G29" s="106">
        <v>27.055</v>
      </c>
      <c r="H29" s="106">
        <v>38.962540000000004</v>
      </c>
      <c r="I29" s="106">
        <v>43.585477609999998</v>
      </c>
      <c r="J29" s="106">
        <v>29.893453019999999</v>
      </c>
      <c r="K29" s="106">
        <v>38.184871000000001</v>
      </c>
      <c r="L29" s="106">
        <v>35.451597640000003</v>
      </c>
      <c r="M29" s="107">
        <v>43.638149760000005</v>
      </c>
      <c r="N29" s="108">
        <v>389.43988903000002</v>
      </c>
      <c r="O29" s="110" t="s">
        <v>779</v>
      </c>
    </row>
    <row r="30" spans="1:15" ht="27">
      <c r="A30" s="100">
        <v>2006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2"/>
      <c r="N30" s="103"/>
      <c r="O30" s="104">
        <v>2006</v>
      </c>
    </row>
    <row r="31" spans="1:15" ht="27">
      <c r="A31" s="105" t="s">
        <v>775</v>
      </c>
      <c r="B31" s="106">
        <v>794.80899999999997</v>
      </c>
      <c r="C31" s="106">
        <v>940.61500000000001</v>
      </c>
      <c r="D31" s="106">
        <v>1030.9469999999999</v>
      </c>
      <c r="E31" s="106">
        <v>804.75599999999997</v>
      </c>
      <c r="F31" s="106">
        <v>776.42100000000005</v>
      </c>
      <c r="G31" s="106">
        <v>1072</v>
      </c>
      <c r="H31" s="106">
        <v>800.88499999999999</v>
      </c>
      <c r="I31" s="106">
        <v>848</v>
      </c>
      <c r="J31" s="106">
        <v>823.36699999999996</v>
      </c>
      <c r="K31" s="106">
        <v>945.52599999999995</v>
      </c>
      <c r="L31" s="106">
        <v>770.23099999999999</v>
      </c>
      <c r="M31" s="107">
        <v>1047.9880000000001</v>
      </c>
      <c r="N31" s="108">
        <v>10655.545</v>
      </c>
      <c r="O31" s="109" t="s">
        <v>776</v>
      </c>
    </row>
    <row r="32" spans="1:15" ht="27">
      <c r="A32" s="105" t="s">
        <v>777</v>
      </c>
      <c r="B32" s="106">
        <v>8477.0528653500005</v>
      </c>
      <c r="C32" s="106">
        <v>10091.997297960002</v>
      </c>
      <c r="D32" s="106">
        <v>10898.800363172002</v>
      </c>
      <c r="E32" s="106">
        <v>8876.2112002000013</v>
      </c>
      <c r="F32" s="106">
        <v>8459.2932348000013</v>
      </c>
      <c r="G32" s="106">
        <v>13478.845135624002</v>
      </c>
      <c r="H32" s="106">
        <v>10043.769837582</v>
      </c>
      <c r="I32" s="106">
        <v>10796.178982708001</v>
      </c>
      <c r="J32" s="106">
        <v>10125.168347734001</v>
      </c>
      <c r="K32" s="106">
        <v>11328.108572600002</v>
      </c>
      <c r="L32" s="106">
        <v>8515.0180678860015</v>
      </c>
      <c r="M32" s="107">
        <v>13246.523342140001</v>
      </c>
      <c r="N32" s="108">
        <v>124336.96724775602</v>
      </c>
      <c r="O32" s="110" t="s">
        <v>610</v>
      </c>
    </row>
    <row r="33" spans="1:15" ht="27.6" thickBot="1">
      <c r="A33" s="105" t="s">
        <v>778</v>
      </c>
      <c r="B33" s="106">
        <v>31.56013725</v>
      </c>
      <c r="C33" s="106">
        <v>37.572588600000003</v>
      </c>
      <c r="D33" s="106">
        <v>40.576323020000004</v>
      </c>
      <c r="E33" s="106">
        <v>33.046207000000003</v>
      </c>
      <c r="F33" s="106">
        <v>31.494018000000001</v>
      </c>
      <c r="G33" s="106">
        <v>50.181850840000003</v>
      </c>
      <c r="H33" s="106">
        <v>37.393037369999995</v>
      </c>
      <c r="I33" s="106">
        <v>40.194262780000003</v>
      </c>
      <c r="J33" s="106">
        <v>37.696084689999999</v>
      </c>
      <c r="K33" s="106">
        <v>42.174641000000001</v>
      </c>
      <c r="L33" s="106">
        <v>31.701482010000003</v>
      </c>
      <c r="M33" s="107">
        <v>49.3169149</v>
      </c>
      <c r="N33" s="108">
        <v>462.90754746000005</v>
      </c>
      <c r="O33" s="110" t="s">
        <v>779</v>
      </c>
    </row>
    <row r="34" spans="1:15" ht="27">
      <c r="A34" s="100">
        <v>2007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103"/>
      <c r="O34" s="104">
        <v>2007</v>
      </c>
    </row>
    <row r="35" spans="1:15" ht="27">
      <c r="A35" s="105" t="s">
        <v>775</v>
      </c>
      <c r="B35" s="106">
        <v>824</v>
      </c>
      <c r="C35" s="106">
        <v>868</v>
      </c>
      <c r="D35" s="106">
        <v>1100</v>
      </c>
      <c r="E35" s="106">
        <v>924</v>
      </c>
      <c r="F35" s="106">
        <v>984</v>
      </c>
      <c r="G35" s="106">
        <v>852</v>
      </c>
      <c r="H35" s="106">
        <v>1058</v>
      </c>
      <c r="I35" s="106">
        <v>928</v>
      </c>
      <c r="J35" s="106">
        <v>1087</v>
      </c>
      <c r="K35" s="106">
        <v>979</v>
      </c>
      <c r="L35" s="106">
        <v>1059</v>
      </c>
      <c r="M35" s="107">
        <v>1149</v>
      </c>
      <c r="N35" s="108">
        <v>11812</v>
      </c>
      <c r="O35" s="109" t="s">
        <v>776</v>
      </c>
    </row>
    <row r="36" spans="1:15" ht="27">
      <c r="A36" s="105" t="s">
        <v>777</v>
      </c>
      <c r="B36" s="106">
        <v>10271.213158000002</v>
      </c>
      <c r="C36" s="106">
        <v>10467.565678999999</v>
      </c>
      <c r="D36" s="106">
        <v>13896.960146000001</v>
      </c>
      <c r="E36" s="106">
        <v>12184.133571999999</v>
      </c>
      <c r="F36" s="106">
        <v>12120.781418</v>
      </c>
      <c r="G36" s="106">
        <v>11405.773213999999</v>
      </c>
      <c r="H36" s="106">
        <v>12685.326997</v>
      </c>
      <c r="I36" s="106">
        <v>11310.765717</v>
      </c>
      <c r="J36" s="106">
        <v>12930.137684000001</v>
      </c>
      <c r="K36" s="106">
        <v>12608.697831000001</v>
      </c>
      <c r="L36" s="106">
        <v>12717.577033999998</v>
      </c>
      <c r="M36" s="107">
        <v>11804.330754999999</v>
      </c>
      <c r="N36" s="108">
        <v>144403.263205</v>
      </c>
      <c r="O36" s="110" t="s">
        <v>610</v>
      </c>
    </row>
    <row r="37" spans="1:15" ht="27.6" thickBot="1">
      <c r="A37" s="105" t="s">
        <v>778</v>
      </c>
      <c r="B37" s="106">
        <v>38.527999999999999</v>
      </c>
      <c r="C37" s="106">
        <v>39.316000000000003</v>
      </c>
      <c r="D37" s="106">
        <v>52.148000000000003</v>
      </c>
      <c r="E37" s="106">
        <v>45.720999999999997</v>
      </c>
      <c r="F37" s="106">
        <v>46.417000000000002</v>
      </c>
      <c r="G37" s="106">
        <v>46.417000000000002</v>
      </c>
      <c r="H37" s="106">
        <v>49.558</v>
      </c>
      <c r="I37" s="106">
        <v>44.308999999999997</v>
      </c>
      <c r="J37" s="106">
        <v>50.662999999999997</v>
      </c>
      <c r="K37" s="106">
        <v>49.298999999999999</v>
      </c>
      <c r="L37" s="106">
        <v>50.372999999999998</v>
      </c>
      <c r="M37" s="107">
        <v>47.621000000000002</v>
      </c>
      <c r="N37" s="108">
        <v>560.37</v>
      </c>
      <c r="O37" s="110" t="s">
        <v>779</v>
      </c>
    </row>
    <row r="38" spans="1:15" ht="27">
      <c r="A38" s="100">
        <v>2008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103"/>
      <c r="O38" s="104">
        <v>2008</v>
      </c>
    </row>
    <row r="39" spans="1:15" ht="27">
      <c r="A39" s="105" t="s">
        <v>775</v>
      </c>
      <c r="B39" s="106">
        <v>891.65899999999999</v>
      </c>
      <c r="C39" s="106">
        <v>878.53700000000003</v>
      </c>
      <c r="D39" s="106">
        <v>822.89300000000003</v>
      </c>
      <c r="E39" s="106">
        <v>1023.496</v>
      </c>
      <c r="F39" s="106">
        <v>1093.2629999999999</v>
      </c>
      <c r="G39" s="106">
        <v>999.02099999999996</v>
      </c>
      <c r="H39" s="106">
        <v>856.76099999999997</v>
      </c>
      <c r="I39" s="106">
        <v>1120.1179999999999</v>
      </c>
      <c r="J39" s="106">
        <v>870.39</v>
      </c>
      <c r="K39" s="106">
        <v>927.61599999999999</v>
      </c>
      <c r="L39" s="106">
        <v>767.67600000000004</v>
      </c>
      <c r="M39" s="107">
        <v>701.10199999999998</v>
      </c>
      <c r="N39" s="108">
        <v>10952.531999999999</v>
      </c>
      <c r="O39" s="109" t="s">
        <v>776</v>
      </c>
    </row>
    <row r="40" spans="1:15" ht="27">
      <c r="A40" s="105" t="s">
        <v>777</v>
      </c>
      <c r="B40" s="106">
        <v>11008.071688</v>
      </c>
      <c r="C40" s="106">
        <v>10256.928583000001</v>
      </c>
      <c r="D40" s="106">
        <v>12636.707404999999</v>
      </c>
      <c r="E40" s="106">
        <v>19342.973525000001</v>
      </c>
      <c r="F40" s="106">
        <v>19795.602885</v>
      </c>
      <c r="G40" s="106">
        <v>17042.41544139</v>
      </c>
      <c r="H40" s="106">
        <v>15442.90930549</v>
      </c>
      <c r="I40" s="106">
        <v>18870.979633759998</v>
      </c>
      <c r="J40" s="106">
        <v>16479.387733029998</v>
      </c>
      <c r="K40" s="106">
        <v>18171.642400770001</v>
      </c>
      <c r="L40" s="106">
        <v>16564.25529112</v>
      </c>
      <c r="M40" s="107">
        <v>10861.847697769999</v>
      </c>
      <c r="N40" s="108">
        <v>186473.72158933</v>
      </c>
      <c r="O40" s="110" t="s">
        <v>610</v>
      </c>
    </row>
    <row r="41" spans="1:15" ht="27.6" thickBot="1">
      <c r="A41" s="105" t="s">
        <v>778</v>
      </c>
      <c r="B41" s="106">
        <v>43.967215269999997</v>
      </c>
      <c r="C41" s="106">
        <v>41.129716029999997</v>
      </c>
      <c r="D41" s="106">
        <v>50.472130870000001</v>
      </c>
      <c r="E41" s="106">
        <v>80.028851990000007</v>
      </c>
      <c r="F41" s="106">
        <v>83.115433870000004</v>
      </c>
      <c r="G41" s="106">
        <v>71.552672099999995</v>
      </c>
      <c r="H41" s="106">
        <v>66.446836649999995</v>
      </c>
      <c r="I41" s="106">
        <v>83.341340079999995</v>
      </c>
      <c r="J41" s="106">
        <v>71.956107470000006</v>
      </c>
      <c r="K41" s="106">
        <v>77.520764490000005</v>
      </c>
      <c r="L41" s="106">
        <v>67.367233170000006</v>
      </c>
      <c r="M41" s="107">
        <v>42.70265646</v>
      </c>
      <c r="N41" s="108">
        <v>779.60095845000001</v>
      </c>
      <c r="O41" s="110" t="s">
        <v>779</v>
      </c>
    </row>
    <row r="42" spans="1:15" ht="27">
      <c r="A42" s="100">
        <v>2009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/>
      <c r="N42" s="103"/>
      <c r="O42" s="104">
        <v>2009</v>
      </c>
    </row>
    <row r="43" spans="1:15" ht="27">
      <c r="A43" s="105" t="s">
        <v>775</v>
      </c>
      <c r="B43" s="106">
        <v>794</v>
      </c>
      <c r="C43" s="106">
        <v>728</v>
      </c>
      <c r="D43" s="106">
        <v>490</v>
      </c>
      <c r="E43" s="106">
        <v>824</v>
      </c>
      <c r="F43" s="106">
        <v>1011</v>
      </c>
      <c r="G43" s="106">
        <v>878</v>
      </c>
      <c r="H43" s="106">
        <v>808</v>
      </c>
      <c r="I43" s="106">
        <v>956</v>
      </c>
      <c r="J43" s="106">
        <v>1012</v>
      </c>
      <c r="K43" s="106">
        <v>1047</v>
      </c>
      <c r="L43" s="106">
        <v>763</v>
      </c>
      <c r="M43" s="107">
        <v>984</v>
      </c>
      <c r="N43" s="108">
        <v>10295</v>
      </c>
      <c r="O43" s="109" t="s">
        <v>776</v>
      </c>
    </row>
    <row r="44" spans="1:15" ht="27">
      <c r="A44" s="105" t="s">
        <v>777</v>
      </c>
      <c r="B44" s="106">
        <v>14118</v>
      </c>
      <c r="C44" s="106">
        <v>9799</v>
      </c>
      <c r="D44" s="106">
        <v>6843</v>
      </c>
      <c r="E44" s="106">
        <v>10141</v>
      </c>
      <c r="F44" s="106">
        <v>11418</v>
      </c>
      <c r="G44" s="106">
        <v>10168</v>
      </c>
      <c r="H44" s="106">
        <v>11359</v>
      </c>
      <c r="I44" s="106">
        <v>10967</v>
      </c>
      <c r="J44" s="106">
        <v>13094</v>
      </c>
      <c r="K44" s="106">
        <v>19855</v>
      </c>
      <c r="L44" s="106">
        <v>10255</v>
      </c>
      <c r="M44" s="107">
        <v>14464</v>
      </c>
      <c r="N44" s="108">
        <v>142481</v>
      </c>
      <c r="O44" s="110" t="s">
        <v>610</v>
      </c>
    </row>
    <row r="45" spans="1:15" ht="27.6" thickBot="1">
      <c r="A45" s="105" t="s">
        <v>778</v>
      </c>
      <c r="B45" s="106">
        <v>51.354999999999997</v>
      </c>
      <c r="C45" s="106">
        <v>38.148000000000003</v>
      </c>
      <c r="D45" s="106">
        <v>29.288</v>
      </c>
      <c r="E45" s="106">
        <v>38.314</v>
      </c>
      <c r="F45" s="106">
        <v>43.259</v>
      </c>
      <c r="G45" s="106">
        <v>38.51</v>
      </c>
      <c r="H45" s="106">
        <v>43.124000000000002</v>
      </c>
      <c r="I45" s="106">
        <v>41.969000000000001</v>
      </c>
      <c r="J45" s="106">
        <v>50.18</v>
      </c>
      <c r="K45" s="106">
        <v>53.597999999999999</v>
      </c>
      <c r="L45" s="106">
        <v>39.405000000000001</v>
      </c>
      <c r="M45" s="107">
        <v>55.067</v>
      </c>
      <c r="N45" s="108">
        <v>522.21699999999998</v>
      </c>
      <c r="O45" s="110" t="s">
        <v>779</v>
      </c>
    </row>
    <row r="46" spans="1:15" ht="27">
      <c r="A46" s="100">
        <v>2010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03"/>
      <c r="O46" s="104">
        <v>2010</v>
      </c>
    </row>
    <row r="47" spans="1:15" ht="27">
      <c r="A47" s="105" t="s">
        <v>775</v>
      </c>
      <c r="B47" s="106">
        <v>780</v>
      </c>
      <c r="C47" s="106">
        <v>704</v>
      </c>
      <c r="D47" s="106">
        <v>1077</v>
      </c>
      <c r="E47" s="106">
        <v>848</v>
      </c>
      <c r="F47" s="106">
        <v>925</v>
      </c>
      <c r="G47" s="106">
        <v>891</v>
      </c>
      <c r="H47" s="106">
        <v>1085</v>
      </c>
      <c r="I47" s="106">
        <v>1046</v>
      </c>
      <c r="J47" s="106">
        <v>677</v>
      </c>
      <c r="K47" s="106">
        <v>1016</v>
      </c>
      <c r="L47" s="106">
        <v>1057</v>
      </c>
      <c r="M47" s="107">
        <v>1001</v>
      </c>
      <c r="N47" s="108">
        <f>SUM(B47:M47)</f>
        <v>11107</v>
      </c>
      <c r="O47" s="109" t="s">
        <v>776</v>
      </c>
    </row>
    <row r="48" spans="1:15" ht="27">
      <c r="A48" s="105" t="s">
        <v>777</v>
      </c>
      <c r="B48" s="106">
        <v>11077.80191817</v>
      </c>
      <c r="C48" s="106">
        <v>9653.3940073400008</v>
      </c>
      <c r="D48" s="106">
        <v>15491.83338849</v>
      </c>
      <c r="E48" s="106">
        <v>14070.695260070001</v>
      </c>
      <c r="F48" s="106">
        <v>18862.909991</v>
      </c>
      <c r="G48" s="106">
        <v>15698.36610479</v>
      </c>
      <c r="H48" s="106">
        <v>24655.786613</v>
      </c>
      <c r="I48" s="106">
        <v>26004</v>
      </c>
      <c r="J48" s="106">
        <v>17539.477321750001</v>
      </c>
      <c r="K48" s="106">
        <v>29730.44420324</v>
      </c>
      <c r="L48" s="106">
        <v>32392.320395999999</v>
      </c>
      <c r="M48" s="107">
        <v>31886.057663</v>
      </c>
      <c r="N48" s="108">
        <f>SUM(B48:M48)</f>
        <v>247063.08686685003</v>
      </c>
      <c r="O48" s="110" t="s">
        <v>610</v>
      </c>
    </row>
    <row r="49" spans="1:15" ht="27">
      <c r="A49" s="105" t="s">
        <v>778</v>
      </c>
      <c r="B49" s="106">
        <v>42.388466819999998</v>
      </c>
      <c r="C49" s="106">
        <v>37.134151439999997</v>
      </c>
      <c r="D49" s="106">
        <v>59.492447730000002</v>
      </c>
      <c r="E49" s="106">
        <v>53.26983895</v>
      </c>
      <c r="F49" s="106">
        <v>70.347243930000005</v>
      </c>
      <c r="G49" s="106">
        <v>57.448459730000003</v>
      </c>
      <c r="H49" s="106">
        <v>87.187618409999999</v>
      </c>
      <c r="I49" s="106">
        <v>94.852999999999994</v>
      </c>
      <c r="J49" s="106">
        <v>61.294696219999999</v>
      </c>
      <c r="K49" s="106">
        <v>103.0940919</v>
      </c>
      <c r="L49" s="106">
        <v>114.5171477</v>
      </c>
      <c r="M49" s="107">
        <v>113.9601775</v>
      </c>
      <c r="N49" s="108">
        <f>SUM(B49:M49)</f>
        <v>894.98734033000005</v>
      </c>
      <c r="O49" s="110" t="s">
        <v>779</v>
      </c>
    </row>
    <row r="50" spans="1:15" ht="27">
      <c r="A50" s="111">
        <v>2011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  <c r="N50" s="108"/>
      <c r="O50" s="112">
        <v>2011</v>
      </c>
    </row>
    <row r="51" spans="1:15" ht="27">
      <c r="A51" s="105" t="s">
        <v>775</v>
      </c>
      <c r="B51" s="106">
        <v>766.53800000000001</v>
      </c>
      <c r="C51" s="106">
        <v>793.49099999999999</v>
      </c>
      <c r="D51" s="106">
        <v>1067.902</v>
      </c>
      <c r="E51" s="106">
        <v>694.154</v>
      </c>
      <c r="F51" s="106">
        <v>1124.386</v>
      </c>
      <c r="G51" s="106">
        <v>569.03</v>
      </c>
      <c r="H51" s="106">
        <v>973.75599999999997</v>
      </c>
      <c r="I51" s="106">
        <v>1003.831</v>
      </c>
      <c r="J51" s="106">
        <v>970.79200000000003</v>
      </c>
      <c r="K51" s="106">
        <v>879.63199999999995</v>
      </c>
      <c r="L51" s="106">
        <v>923.22500000000002</v>
      </c>
      <c r="M51" s="107">
        <v>1254.923</v>
      </c>
      <c r="N51" s="108">
        <f>SUM(B51:M51)</f>
        <v>11021.660000000002</v>
      </c>
      <c r="O51" s="109" t="s">
        <v>776</v>
      </c>
    </row>
    <row r="52" spans="1:15" ht="27">
      <c r="A52" s="105" t="s">
        <v>777</v>
      </c>
      <c r="B52" s="106">
        <v>26744.828213700002</v>
      </c>
      <c r="C52" s="106">
        <v>26698.784580619998</v>
      </c>
      <c r="D52" s="106">
        <v>34822.613949700004</v>
      </c>
      <c r="E52" s="106">
        <v>27425.927299900002</v>
      </c>
      <c r="F52" s="106">
        <v>45563.032311399998</v>
      </c>
      <c r="G52" s="106">
        <v>22156.179076659999</v>
      </c>
      <c r="H52" s="106">
        <v>39070.411722500001</v>
      </c>
      <c r="I52" s="106">
        <v>40240.652122</v>
      </c>
      <c r="J52" s="106">
        <v>38070.497372999998</v>
      </c>
      <c r="K52" s="106">
        <v>33537.745972999997</v>
      </c>
      <c r="L52" s="106">
        <v>23700.875790999999</v>
      </c>
      <c r="M52" s="107">
        <v>35090.008201440003</v>
      </c>
      <c r="N52" s="108">
        <f>SUM(B52:M52)</f>
        <v>393121.55661492003</v>
      </c>
      <c r="O52" s="110" t="s">
        <v>610</v>
      </c>
    </row>
    <row r="53" spans="1:15" ht="27">
      <c r="A53" s="105" t="s">
        <v>778</v>
      </c>
      <c r="B53" s="106">
        <v>95.075820239999999</v>
      </c>
      <c r="C53" s="106">
        <v>96.28470043999998</v>
      </c>
      <c r="D53" s="106">
        <v>121.06739195000002</v>
      </c>
      <c r="E53" s="106">
        <v>98.899885690000019</v>
      </c>
      <c r="F53" s="106">
        <v>168.02964529999994</v>
      </c>
      <c r="G53" s="106">
        <v>81.360513089999998</v>
      </c>
      <c r="H53" s="106">
        <v>143.03123341999998</v>
      </c>
      <c r="I53" s="106">
        <v>145.64642992</v>
      </c>
      <c r="J53" s="106">
        <v>136.80644460999997</v>
      </c>
      <c r="K53" s="106">
        <v>118.09897164999998</v>
      </c>
      <c r="L53" s="106">
        <v>83.076433769999994</v>
      </c>
      <c r="M53" s="107">
        <v>122.68804658000002</v>
      </c>
      <c r="N53" s="108">
        <f>SUM(B53:M53)</f>
        <v>1410.06551666</v>
      </c>
      <c r="O53" s="110" t="s">
        <v>779</v>
      </c>
    </row>
    <row r="54" spans="1:15" ht="27">
      <c r="A54" s="111">
        <v>2012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7"/>
      <c r="N54" s="108"/>
      <c r="O54" s="112">
        <v>2012</v>
      </c>
    </row>
    <row r="55" spans="1:15" ht="27">
      <c r="A55" s="105" t="s">
        <v>775</v>
      </c>
      <c r="B55" s="106">
        <v>656</v>
      </c>
      <c r="C55" s="106">
        <v>898</v>
      </c>
      <c r="D55" s="106">
        <v>1104</v>
      </c>
      <c r="E55" s="106">
        <v>1009</v>
      </c>
      <c r="F55" s="106">
        <v>865</v>
      </c>
      <c r="G55" s="106">
        <v>915</v>
      </c>
      <c r="H55" s="106">
        <v>957</v>
      </c>
      <c r="I55" s="106">
        <v>852</v>
      </c>
      <c r="J55" s="106">
        <v>873</v>
      </c>
      <c r="K55" s="106">
        <v>859</v>
      </c>
      <c r="L55" s="106">
        <v>1149</v>
      </c>
      <c r="M55" s="107">
        <v>1360</v>
      </c>
      <c r="N55" s="108">
        <f>SUM(B55:M55)</f>
        <v>11497</v>
      </c>
      <c r="O55" s="109" t="s">
        <v>776</v>
      </c>
    </row>
    <row r="56" spans="1:15" ht="27">
      <c r="A56" s="105" t="s">
        <v>777</v>
      </c>
      <c r="B56" s="106">
        <v>19131</v>
      </c>
      <c r="C56" s="106">
        <v>26348</v>
      </c>
      <c r="D56" s="106">
        <v>30986</v>
      </c>
      <c r="E56" s="106">
        <v>29620</v>
      </c>
      <c r="F56" s="106">
        <v>30908</v>
      </c>
      <c r="G56" s="106">
        <v>25840</v>
      </c>
      <c r="H56" s="106">
        <v>29818</v>
      </c>
      <c r="I56" s="106">
        <v>22348</v>
      </c>
      <c r="J56" s="106">
        <v>14384</v>
      </c>
      <c r="K56" s="106">
        <v>9791</v>
      </c>
      <c r="L56" s="106">
        <v>23879</v>
      </c>
      <c r="M56" s="107">
        <v>70239</v>
      </c>
      <c r="N56" s="108">
        <f>SUM(B56:M56)</f>
        <v>333292</v>
      </c>
      <c r="O56" s="110" t="s">
        <v>610</v>
      </c>
    </row>
    <row r="57" spans="1:15" ht="27">
      <c r="A57" s="105" t="s">
        <v>778</v>
      </c>
      <c r="B57" s="106">
        <v>66.5</v>
      </c>
      <c r="C57" s="106">
        <v>90.915999999999997</v>
      </c>
      <c r="D57" s="106">
        <v>106.009</v>
      </c>
      <c r="E57" s="106">
        <v>101.992</v>
      </c>
      <c r="F57" s="106">
        <v>106.468</v>
      </c>
      <c r="G57" s="106">
        <v>94.286000000000001</v>
      </c>
      <c r="H57" s="106">
        <v>95.385999999999996</v>
      </c>
      <c r="I57" s="106">
        <v>74.680999999999997</v>
      </c>
      <c r="J57" s="106">
        <v>47.874000000000002</v>
      </c>
      <c r="K57" s="106">
        <v>49.646000000000001</v>
      </c>
      <c r="L57" s="106">
        <v>74.453999999999994</v>
      </c>
      <c r="M57" s="107">
        <v>222.44499999999999</v>
      </c>
      <c r="N57" s="108">
        <f>SUM(B57:M57)</f>
        <v>1130.6569999999999</v>
      </c>
      <c r="O57" s="110" t="s">
        <v>779</v>
      </c>
    </row>
    <row r="58" spans="1:15" ht="27">
      <c r="A58" s="113">
        <v>2014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7"/>
      <c r="N58" s="114"/>
      <c r="O58" s="115">
        <v>2014</v>
      </c>
    </row>
    <row r="59" spans="1:15" ht="27">
      <c r="A59" s="116" t="s">
        <v>775</v>
      </c>
      <c r="B59" s="106">
        <v>971</v>
      </c>
      <c r="C59" s="106">
        <v>1225</v>
      </c>
      <c r="D59" s="106">
        <v>1127</v>
      </c>
      <c r="E59" s="106">
        <v>981</v>
      </c>
      <c r="F59" s="106">
        <v>1138</v>
      </c>
      <c r="G59" s="106">
        <v>889</v>
      </c>
      <c r="H59" s="106">
        <v>1193</v>
      </c>
      <c r="I59" s="106">
        <v>1141</v>
      </c>
      <c r="J59" s="106">
        <v>1130</v>
      </c>
      <c r="K59" s="106">
        <v>1076</v>
      </c>
      <c r="L59" s="106">
        <v>974</v>
      </c>
      <c r="M59" s="107">
        <v>1210</v>
      </c>
      <c r="N59" s="114">
        <f>SUM(B59:M59)</f>
        <v>13055</v>
      </c>
      <c r="O59" s="117" t="s">
        <v>776</v>
      </c>
    </row>
    <row r="60" spans="1:15" ht="27">
      <c r="A60" s="116" t="s">
        <v>777</v>
      </c>
      <c r="B60" s="106">
        <v>26706</v>
      </c>
      <c r="C60" s="106">
        <v>33055</v>
      </c>
      <c r="D60" s="106">
        <v>26942</v>
      </c>
      <c r="E60" s="106">
        <v>19900</v>
      </c>
      <c r="F60" s="106">
        <v>20229</v>
      </c>
      <c r="G60" s="106">
        <v>12932</v>
      </c>
      <c r="H60" s="106">
        <v>21189</v>
      </c>
      <c r="I60" s="106">
        <v>14267</v>
      </c>
      <c r="J60" s="106">
        <v>12873</v>
      </c>
      <c r="K60" s="106">
        <v>14382</v>
      </c>
      <c r="L60" s="106">
        <v>8345</v>
      </c>
      <c r="M60" s="107">
        <v>8199</v>
      </c>
      <c r="N60" s="114">
        <f>SUM(B60:M60)</f>
        <v>219019</v>
      </c>
      <c r="O60" s="118" t="s">
        <v>610</v>
      </c>
    </row>
    <row r="61" spans="1:15" ht="27">
      <c r="A61" s="116" t="s">
        <v>778</v>
      </c>
      <c r="B61" s="106">
        <v>89.441000000000003</v>
      </c>
      <c r="C61" s="106">
        <v>109.991</v>
      </c>
      <c r="D61" s="106">
        <v>90</v>
      </c>
      <c r="E61" s="106">
        <v>66.834000000000003</v>
      </c>
      <c r="F61" s="106">
        <v>67.86</v>
      </c>
      <c r="G61" s="106">
        <v>43.247999999999998</v>
      </c>
      <c r="H61" s="106">
        <v>70.801000000000002</v>
      </c>
      <c r="I61" s="106">
        <v>47.515999999999998</v>
      </c>
      <c r="J61" s="106">
        <v>42.817999999999998</v>
      </c>
      <c r="K61" s="106">
        <v>47.603000000000002</v>
      </c>
      <c r="L61" s="106">
        <v>27.361000000000001</v>
      </c>
      <c r="M61" s="107">
        <v>27.268000000000001</v>
      </c>
      <c r="N61" s="114">
        <f>SUM(B61:M61)</f>
        <v>730.74099999999999</v>
      </c>
      <c r="O61" s="118" t="s">
        <v>779</v>
      </c>
    </row>
    <row r="62" spans="1:15" ht="27">
      <c r="A62" s="113">
        <v>2015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7"/>
      <c r="N62" s="114"/>
      <c r="O62" s="115">
        <v>2015</v>
      </c>
    </row>
    <row r="63" spans="1:15" ht="27">
      <c r="A63" s="116" t="s">
        <v>775</v>
      </c>
      <c r="B63" s="106">
        <v>555</v>
      </c>
      <c r="C63" s="106">
        <v>1154</v>
      </c>
      <c r="D63" s="106">
        <v>817</v>
      </c>
      <c r="E63" s="106">
        <v>1104</v>
      </c>
      <c r="F63" s="106">
        <v>820</v>
      </c>
      <c r="G63" s="106">
        <v>1179</v>
      </c>
      <c r="H63" s="106">
        <v>926</v>
      </c>
      <c r="I63" s="106">
        <v>830</v>
      </c>
      <c r="J63" s="106">
        <v>787</v>
      </c>
      <c r="K63" s="106">
        <v>1132</v>
      </c>
      <c r="L63" s="106">
        <v>920</v>
      </c>
      <c r="M63" s="107">
        <v>1216</v>
      </c>
      <c r="N63" s="114">
        <f>SUM(B63:M63)</f>
        <v>11440</v>
      </c>
      <c r="O63" s="117" t="s">
        <v>776</v>
      </c>
    </row>
    <row r="64" spans="1:15" ht="27">
      <c r="A64" s="116" t="s">
        <v>777</v>
      </c>
      <c r="B64" s="106">
        <v>817</v>
      </c>
      <c r="C64" s="106">
        <v>1522</v>
      </c>
      <c r="D64" s="106">
        <v>1044</v>
      </c>
      <c r="E64" s="106">
        <v>1003</v>
      </c>
      <c r="F64" s="106">
        <v>821</v>
      </c>
      <c r="G64" s="106">
        <v>1085</v>
      </c>
      <c r="H64" s="106">
        <v>921</v>
      </c>
      <c r="I64" s="106">
        <v>851</v>
      </c>
      <c r="J64" s="106">
        <v>700</v>
      </c>
      <c r="K64" s="106">
        <v>991</v>
      </c>
      <c r="L64" s="106">
        <v>732</v>
      </c>
      <c r="M64" s="107">
        <v>921</v>
      </c>
      <c r="N64" s="114">
        <f>SUM(B64:M64)</f>
        <v>11408</v>
      </c>
      <c r="O64" s="118" t="s">
        <v>610</v>
      </c>
    </row>
    <row r="65" spans="1:15" ht="27">
      <c r="A65" s="116" t="s">
        <v>778</v>
      </c>
      <c r="B65" s="106">
        <v>25670</v>
      </c>
      <c r="C65" s="106">
        <v>47791</v>
      </c>
      <c r="D65" s="106">
        <v>32778</v>
      </c>
      <c r="E65" s="106">
        <v>31494</v>
      </c>
      <c r="F65" s="106">
        <v>25792</v>
      </c>
      <c r="G65" s="106">
        <v>34061</v>
      </c>
      <c r="H65" s="106">
        <v>28921</v>
      </c>
      <c r="I65" s="106">
        <v>26716</v>
      </c>
      <c r="J65" s="106">
        <v>21976</v>
      </c>
      <c r="K65" s="106">
        <v>31117</v>
      </c>
      <c r="L65" s="106">
        <v>23003</v>
      </c>
      <c r="M65" s="107">
        <v>28912</v>
      </c>
      <c r="N65" s="114">
        <f>SUM(B65:M65)</f>
        <v>358231</v>
      </c>
      <c r="O65" s="118" t="s">
        <v>779</v>
      </c>
    </row>
    <row r="66" spans="1:15" ht="27">
      <c r="A66" s="113">
        <v>2016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  <c r="N66" s="114"/>
      <c r="O66" s="115">
        <v>2016</v>
      </c>
    </row>
    <row r="67" spans="1:15" ht="27">
      <c r="A67" s="116" t="s">
        <v>775</v>
      </c>
      <c r="B67" s="106">
        <v>933.98500000000001</v>
      </c>
      <c r="C67" s="106">
        <v>986.55399999999997</v>
      </c>
      <c r="D67" s="106">
        <v>1152.192</v>
      </c>
      <c r="E67" s="106">
        <v>960.26700000000005</v>
      </c>
      <c r="F67" s="106">
        <v>1091.011</v>
      </c>
      <c r="G67" s="106">
        <v>1080.3240000000001</v>
      </c>
      <c r="H67" s="106">
        <v>1229.2149999999999</v>
      </c>
      <c r="I67" s="106">
        <v>1299.934</v>
      </c>
      <c r="J67" s="106">
        <v>998.46900000000005</v>
      </c>
      <c r="K67" s="106">
        <v>1252.412</v>
      </c>
      <c r="L67" s="106">
        <v>1000.102</v>
      </c>
      <c r="M67" s="107">
        <v>1290.2739999999999</v>
      </c>
      <c r="N67" s="114">
        <f>SUM(B67:M67)</f>
        <v>13274.739000000001</v>
      </c>
      <c r="O67" s="117" t="s">
        <v>776</v>
      </c>
    </row>
    <row r="68" spans="1:15" ht="27">
      <c r="A68" s="116" t="s">
        <v>777</v>
      </c>
      <c r="B68" s="106">
        <v>17849.342430000001</v>
      </c>
      <c r="C68" s="106">
        <v>18311.909079999998</v>
      </c>
      <c r="D68" s="106">
        <v>27345.564460000001</v>
      </c>
      <c r="E68" s="106">
        <v>31273.240399999999</v>
      </c>
      <c r="F68" s="106">
        <v>50146.154649999997</v>
      </c>
      <c r="G68" s="106">
        <v>46987.617049999993</v>
      </c>
      <c r="H68" s="106">
        <v>48533.688179999997</v>
      </c>
      <c r="I68" s="106">
        <v>46483.022659999995</v>
      </c>
      <c r="J68" s="106">
        <v>37222.086040000002</v>
      </c>
      <c r="K68" s="106">
        <v>48516.16461</v>
      </c>
      <c r="L68" s="106">
        <v>55238.087930000002</v>
      </c>
      <c r="M68" s="107">
        <v>151511.9731</v>
      </c>
      <c r="N68" s="114">
        <f>SUM(B68:M68)</f>
        <v>579418.85058999993</v>
      </c>
      <c r="O68" s="118" t="s">
        <v>610</v>
      </c>
    </row>
    <row r="69" spans="1:15" ht="27">
      <c r="A69" s="116" t="s">
        <v>778</v>
      </c>
      <c r="B69" s="106">
        <v>6035.7551426999999</v>
      </c>
      <c r="C69" s="106">
        <v>6213.7801081000007</v>
      </c>
      <c r="D69" s="106">
        <v>9397.0297710300001</v>
      </c>
      <c r="E69" s="106">
        <v>10913.735434790002</v>
      </c>
      <c r="F69" s="106">
        <v>17576.093056349997</v>
      </c>
      <c r="G69" s="106">
        <v>16545.279715649998</v>
      </c>
      <c r="H69" s="106">
        <v>17138.701306999999</v>
      </c>
      <c r="I69" s="106">
        <v>16434.66876733</v>
      </c>
      <c r="J69" s="106">
        <v>13185.17953795</v>
      </c>
      <c r="K69" s="106">
        <v>17210.624233759998</v>
      </c>
      <c r="L69" s="106">
        <v>19612.835500410001</v>
      </c>
      <c r="M69" s="107">
        <v>53752.83225811</v>
      </c>
      <c r="N69" s="114">
        <f>SUM(B69:M69)</f>
        <v>204016.51483318</v>
      </c>
      <c r="O69" s="118" t="s">
        <v>779</v>
      </c>
    </row>
    <row r="70" spans="1:15" ht="27">
      <c r="A70" s="113">
        <v>2017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7"/>
      <c r="N70" s="114"/>
      <c r="O70" s="115">
        <v>2017</v>
      </c>
    </row>
    <row r="71" spans="1:15" ht="27">
      <c r="A71" s="116" t="s">
        <v>775</v>
      </c>
      <c r="B71" s="106">
        <v>680.81299999999999</v>
      </c>
      <c r="C71" s="106">
        <v>1167.7090000000001</v>
      </c>
      <c r="D71" s="106">
        <v>1142</v>
      </c>
      <c r="E71" s="106">
        <v>901.30700000000002</v>
      </c>
      <c r="F71" s="106">
        <v>1070.8109999999999</v>
      </c>
      <c r="G71" s="106">
        <v>870.86</v>
      </c>
      <c r="H71" s="106">
        <v>995.69500000000005</v>
      </c>
      <c r="I71" s="106">
        <v>961.00099999999998</v>
      </c>
      <c r="J71" s="106">
        <v>801.54300000000001</v>
      </c>
      <c r="K71" s="106">
        <v>1133.181</v>
      </c>
      <c r="L71" s="106">
        <v>890.12699999999995</v>
      </c>
      <c r="M71" s="107">
        <v>1098.7950000000001</v>
      </c>
      <c r="N71" s="114">
        <f>SUM(B71:M71)</f>
        <v>11713.842000000001</v>
      </c>
      <c r="O71" s="117" t="s">
        <v>776</v>
      </c>
    </row>
    <row r="72" spans="1:15" ht="27">
      <c r="A72" s="116" t="s">
        <v>777</v>
      </c>
      <c r="B72" s="106">
        <v>35325.219530000002</v>
      </c>
      <c r="C72" s="106">
        <v>64384.312969999999</v>
      </c>
      <c r="D72" s="106">
        <v>60990.735860000001</v>
      </c>
      <c r="E72" s="106">
        <v>50001.972969999995</v>
      </c>
      <c r="F72" s="106">
        <v>56094.935440000001</v>
      </c>
      <c r="G72" s="106">
        <v>44299.568659999997</v>
      </c>
      <c r="H72" s="106">
        <v>27015.829379999999</v>
      </c>
      <c r="I72" s="106">
        <v>4030.0537300000001</v>
      </c>
      <c r="J72" s="106">
        <v>35717.697</v>
      </c>
      <c r="K72" s="106">
        <v>43542.115890000001</v>
      </c>
      <c r="L72" s="106">
        <v>47841.988069999999</v>
      </c>
      <c r="M72" s="107">
        <v>45425.570499999973</v>
      </c>
      <c r="N72" s="114">
        <f>SUM(B72:M72)</f>
        <v>514670</v>
      </c>
      <c r="O72" s="118" t="s">
        <v>610</v>
      </c>
    </row>
    <row r="73" spans="1:15" ht="27">
      <c r="A73" s="116" t="s">
        <v>778</v>
      </c>
      <c r="B73" s="106">
        <v>12563.41432584</v>
      </c>
      <c r="C73" s="106">
        <v>22920.17157418</v>
      </c>
      <c r="D73" s="106">
        <v>21747.466685599997</v>
      </c>
      <c r="E73" s="106">
        <v>17881.205553799999</v>
      </c>
      <c r="F73" s="106">
        <v>20069.646001740002</v>
      </c>
      <c r="G73" s="106">
        <v>15856.144610449999</v>
      </c>
      <c r="H73" s="106">
        <v>9661.6710611899998</v>
      </c>
      <c r="I73" s="106">
        <v>1441.0263122399999</v>
      </c>
      <c r="J73" s="106">
        <v>12642.27885316</v>
      </c>
      <c r="K73" s="106">
        <v>15416.956973169999</v>
      </c>
      <c r="L73" s="106">
        <v>16887.162395980002</v>
      </c>
      <c r="M73" s="107">
        <v>16006.855652650003</v>
      </c>
      <c r="N73" s="114">
        <f>SUM(B73:M73)</f>
        <v>183094</v>
      </c>
      <c r="O73" s="118" t="s">
        <v>779</v>
      </c>
    </row>
    <row r="74" spans="1:15" ht="27">
      <c r="A74" s="113">
        <v>2018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7"/>
      <c r="N74" s="114"/>
      <c r="O74" s="115">
        <v>2018</v>
      </c>
    </row>
    <row r="75" spans="1:15" ht="27">
      <c r="A75" s="116" t="s">
        <v>775</v>
      </c>
      <c r="B75" s="106">
        <v>475</v>
      </c>
      <c r="C75" s="106">
        <v>1207</v>
      </c>
      <c r="D75" s="106">
        <v>1199</v>
      </c>
      <c r="E75" s="106">
        <v>939</v>
      </c>
      <c r="F75" s="106">
        <v>1015</v>
      </c>
      <c r="G75" s="106">
        <v>983</v>
      </c>
      <c r="H75" s="106">
        <v>716</v>
      </c>
      <c r="I75" s="106">
        <v>909</v>
      </c>
      <c r="J75" s="106">
        <v>800</v>
      </c>
      <c r="K75" s="106">
        <v>836</v>
      </c>
      <c r="L75" s="106">
        <v>1051</v>
      </c>
      <c r="M75" s="107">
        <v>1140</v>
      </c>
      <c r="N75" s="114">
        <f>SUM(B75:M75)</f>
        <v>11270</v>
      </c>
      <c r="O75" s="117" t="s">
        <v>776</v>
      </c>
    </row>
    <row r="76" spans="1:15" ht="27">
      <c r="A76" s="116" t="s">
        <v>777</v>
      </c>
      <c r="B76" s="106">
        <v>857</v>
      </c>
      <c r="C76" s="106">
        <v>2057</v>
      </c>
      <c r="D76" s="106">
        <v>1645</v>
      </c>
      <c r="E76" s="106">
        <v>1527</v>
      </c>
      <c r="F76" s="106">
        <v>1392</v>
      </c>
      <c r="G76" s="106">
        <v>1307</v>
      </c>
      <c r="H76" s="106">
        <v>1322</v>
      </c>
      <c r="I76" s="106">
        <v>1537</v>
      </c>
      <c r="J76" s="106">
        <v>1118</v>
      </c>
      <c r="K76" s="106">
        <v>1502</v>
      </c>
      <c r="L76" s="106">
        <v>1856</v>
      </c>
      <c r="M76" s="107">
        <v>2248</v>
      </c>
      <c r="N76" s="114">
        <f>SUM(B76:M76)</f>
        <v>18368</v>
      </c>
      <c r="O76" s="118" t="s">
        <v>610</v>
      </c>
    </row>
    <row r="77" spans="1:15" ht="27">
      <c r="A77" s="116" t="s">
        <v>778</v>
      </c>
      <c r="B77" s="106">
        <v>24082</v>
      </c>
      <c r="C77" s="106">
        <v>57794</v>
      </c>
      <c r="D77" s="106">
        <v>46198</v>
      </c>
      <c r="E77" s="106">
        <v>42909</v>
      </c>
      <c r="F77" s="106">
        <v>39097</v>
      </c>
      <c r="G77" s="106">
        <v>36714</v>
      </c>
      <c r="H77" s="106">
        <v>37144</v>
      </c>
      <c r="I77" s="106">
        <v>43179</v>
      </c>
      <c r="J77" s="106">
        <v>31417</v>
      </c>
      <c r="K77" s="106">
        <v>42199</v>
      </c>
      <c r="L77" s="106">
        <v>52126</v>
      </c>
      <c r="M77" s="107">
        <v>63138</v>
      </c>
      <c r="N77" s="114">
        <f>SUM(B77:M77)</f>
        <v>515997</v>
      </c>
      <c r="O77" s="118" t="s">
        <v>779</v>
      </c>
    </row>
    <row r="78" spans="1:15" ht="27">
      <c r="A78" s="113">
        <v>2019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7"/>
      <c r="N78" s="114"/>
      <c r="O78" s="115">
        <v>2019</v>
      </c>
    </row>
    <row r="79" spans="1:15" ht="27">
      <c r="A79" s="116" t="s">
        <v>775</v>
      </c>
      <c r="B79" s="106">
        <v>912</v>
      </c>
      <c r="C79" s="106">
        <v>958</v>
      </c>
      <c r="D79" s="106">
        <v>832</v>
      </c>
      <c r="E79" s="106">
        <v>875</v>
      </c>
      <c r="F79" s="106">
        <v>1123</v>
      </c>
      <c r="G79" s="106">
        <v>930</v>
      </c>
      <c r="H79" s="106">
        <v>1102</v>
      </c>
      <c r="I79" s="106">
        <v>1020</v>
      </c>
      <c r="J79" s="106">
        <v>799</v>
      </c>
      <c r="K79" s="106">
        <v>1050</v>
      </c>
      <c r="L79" s="106">
        <v>1199</v>
      </c>
      <c r="M79" s="107">
        <v>1217</v>
      </c>
      <c r="N79" s="114">
        <f>SUM(B79:M79)</f>
        <v>12017</v>
      </c>
      <c r="O79" s="117" t="s">
        <v>776</v>
      </c>
    </row>
    <row r="80" spans="1:15" ht="27">
      <c r="A80" s="116" t="s">
        <v>777</v>
      </c>
      <c r="B80" s="106">
        <v>1917</v>
      </c>
      <c r="C80" s="106">
        <v>2358</v>
      </c>
      <c r="D80" s="106">
        <v>2348</v>
      </c>
      <c r="E80" s="106">
        <v>2577</v>
      </c>
      <c r="F80" s="106">
        <v>3561</v>
      </c>
      <c r="G80" s="106">
        <v>2506</v>
      </c>
      <c r="H80" s="106">
        <v>3150</v>
      </c>
      <c r="I80" s="106">
        <v>2809</v>
      </c>
      <c r="J80" s="106">
        <v>2313</v>
      </c>
      <c r="K80" s="106">
        <v>2786</v>
      </c>
      <c r="L80" s="106">
        <v>3066</v>
      </c>
      <c r="M80" s="107">
        <v>2882</v>
      </c>
      <c r="N80" s="114">
        <f>SUM(B80:M80)</f>
        <v>32273</v>
      </c>
      <c r="O80" s="118" t="s">
        <v>610</v>
      </c>
    </row>
    <row r="81" spans="1:15" ht="27">
      <c r="A81" s="116" t="s">
        <v>778</v>
      </c>
      <c r="B81" s="106">
        <v>52285</v>
      </c>
      <c r="C81" s="106">
        <v>64327</v>
      </c>
      <c r="D81" s="106">
        <v>64057</v>
      </c>
      <c r="E81" s="106">
        <v>70306</v>
      </c>
      <c r="F81" s="106">
        <v>97129</v>
      </c>
      <c r="G81" s="106">
        <v>68366</v>
      </c>
      <c r="H81" s="106">
        <v>85924</v>
      </c>
      <c r="I81" s="106">
        <v>76632</v>
      </c>
      <c r="J81" s="106">
        <v>63094</v>
      </c>
      <c r="K81" s="106">
        <v>76005</v>
      </c>
      <c r="L81" s="106">
        <v>83648</v>
      </c>
      <c r="M81" s="107">
        <v>78628</v>
      </c>
      <c r="N81" s="114">
        <f>SUM(B81:M81)</f>
        <v>880401</v>
      </c>
      <c r="O81" s="118" t="s">
        <v>779</v>
      </c>
    </row>
    <row r="82" spans="1:15" ht="27">
      <c r="A82" s="113">
        <v>2020</v>
      </c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7"/>
      <c r="N82" s="114"/>
      <c r="O82" s="115">
        <v>2020</v>
      </c>
    </row>
    <row r="83" spans="1:15" ht="26.4">
      <c r="A83" s="116" t="s">
        <v>775</v>
      </c>
      <c r="B83" s="106">
        <v>830</v>
      </c>
      <c r="C83" s="106">
        <v>903</v>
      </c>
      <c r="D83" s="106">
        <v>1166</v>
      </c>
      <c r="E83" s="106">
        <v>1119</v>
      </c>
      <c r="F83" s="106">
        <v>982</v>
      </c>
      <c r="G83" s="106">
        <v>1137</v>
      </c>
      <c r="H83" s="106">
        <v>1090</v>
      </c>
      <c r="I83" s="106">
        <v>1022</v>
      </c>
      <c r="J83" s="106">
        <v>1005</v>
      </c>
      <c r="K83" s="106">
        <v>1128</v>
      </c>
      <c r="L83" s="106">
        <v>1042</v>
      </c>
      <c r="M83" s="106">
        <v>1077</v>
      </c>
      <c r="N83" s="114">
        <f>SUM(B83:M83)</f>
        <v>12501</v>
      </c>
      <c r="O83" s="117" t="s">
        <v>776</v>
      </c>
    </row>
    <row r="84" spans="1:15" ht="26.4">
      <c r="A84" s="116" t="s">
        <v>777</v>
      </c>
      <c r="B84" s="106">
        <v>1870</v>
      </c>
      <c r="C84" s="106">
        <v>2482</v>
      </c>
      <c r="D84" s="106">
        <v>3176</v>
      </c>
      <c r="E84" s="106">
        <v>3534</v>
      </c>
      <c r="F84" s="106">
        <v>3137</v>
      </c>
      <c r="G84" s="106">
        <v>3862</v>
      </c>
      <c r="H84" s="106">
        <v>3872</v>
      </c>
      <c r="I84" s="106">
        <v>4148</v>
      </c>
      <c r="J84" s="106">
        <v>3787</v>
      </c>
      <c r="K84" s="106">
        <v>4489</v>
      </c>
      <c r="L84" s="106">
        <v>4076</v>
      </c>
      <c r="M84" s="106">
        <v>6773</v>
      </c>
      <c r="N84" s="114">
        <f>SUM(B84:M84)</f>
        <v>45206</v>
      </c>
      <c r="O84" s="118" t="s">
        <v>610</v>
      </c>
    </row>
    <row r="85" spans="1:15" ht="26.4">
      <c r="A85" s="116" t="s">
        <v>778</v>
      </c>
      <c r="B85" s="106">
        <v>50212</v>
      </c>
      <c r="C85" s="106">
        <v>66445</v>
      </c>
      <c r="D85" s="106">
        <v>85608</v>
      </c>
      <c r="E85" s="106">
        <v>95576</v>
      </c>
      <c r="F85" s="106">
        <v>84214</v>
      </c>
      <c r="G85" s="106">
        <v>103485</v>
      </c>
      <c r="H85" s="106">
        <v>103944</v>
      </c>
      <c r="I85" s="106">
        <v>111688</v>
      </c>
      <c r="J85" s="106">
        <v>102757</v>
      </c>
      <c r="K85" s="106">
        <v>122112</v>
      </c>
      <c r="L85" s="106">
        <v>110317</v>
      </c>
      <c r="M85" s="106">
        <v>184232</v>
      </c>
      <c r="N85" s="114">
        <f>SUM(B85:M85)</f>
        <v>1220590</v>
      </c>
      <c r="O85" s="118" t="s">
        <v>779</v>
      </c>
    </row>
    <row r="86" spans="1:15" ht="27">
      <c r="A86" s="119">
        <v>2021</v>
      </c>
      <c r="B86" s="120"/>
      <c r="C86" s="120"/>
      <c r="D86" s="120"/>
      <c r="E86" s="121"/>
      <c r="F86" s="121"/>
      <c r="G86" s="121"/>
      <c r="H86" s="121"/>
      <c r="I86" s="121"/>
      <c r="J86" s="121"/>
      <c r="K86" s="121"/>
      <c r="L86" s="121"/>
      <c r="M86" s="122"/>
      <c r="N86" s="123"/>
      <c r="O86" s="460">
        <v>2021</v>
      </c>
    </row>
    <row r="87" spans="1:15" ht="27">
      <c r="A87" s="124" t="s">
        <v>775</v>
      </c>
      <c r="B87" s="120">
        <v>857</v>
      </c>
      <c r="C87" s="120">
        <v>900</v>
      </c>
      <c r="D87" s="120">
        <v>1046</v>
      </c>
      <c r="E87" s="121">
        <v>1128</v>
      </c>
      <c r="F87" s="121">
        <v>1109</v>
      </c>
      <c r="G87" s="121">
        <v>967</v>
      </c>
      <c r="H87" s="121">
        <v>1083</v>
      </c>
      <c r="I87" s="121">
        <v>1123</v>
      </c>
      <c r="J87" s="121">
        <v>1205</v>
      </c>
      <c r="K87" s="121">
        <v>1131</v>
      </c>
      <c r="L87" s="121">
        <v>837</v>
      </c>
      <c r="M87" s="122">
        <v>1317</v>
      </c>
      <c r="N87" s="123">
        <v>12701</v>
      </c>
      <c r="O87" s="117" t="s">
        <v>776</v>
      </c>
    </row>
    <row r="88" spans="1:15" ht="27">
      <c r="A88" s="124" t="s">
        <v>777</v>
      </c>
      <c r="B88" s="120">
        <v>4344</v>
      </c>
      <c r="C88" s="120">
        <v>5107</v>
      </c>
      <c r="D88" s="120">
        <v>7155</v>
      </c>
      <c r="E88" s="121">
        <v>5882</v>
      </c>
      <c r="F88" s="121">
        <v>5253</v>
      </c>
      <c r="G88" s="121">
        <v>4162</v>
      </c>
      <c r="H88" s="121">
        <v>4410</v>
      </c>
      <c r="I88" s="121">
        <v>4554</v>
      </c>
      <c r="J88" s="121">
        <v>4774</v>
      </c>
      <c r="K88" s="121">
        <v>4227</v>
      </c>
      <c r="L88" s="121">
        <v>2941</v>
      </c>
      <c r="M88" s="122">
        <v>30795</v>
      </c>
      <c r="N88" s="123">
        <v>83604</v>
      </c>
      <c r="O88" s="118" t="s">
        <v>610</v>
      </c>
    </row>
    <row r="89" spans="1:15" ht="27">
      <c r="A89" s="124" t="s">
        <v>778</v>
      </c>
      <c r="B89" s="120">
        <v>119659</v>
      </c>
      <c r="C89" s="120">
        <v>142018</v>
      </c>
      <c r="D89" s="120">
        <v>199934</v>
      </c>
      <c r="E89" s="121">
        <v>163962</v>
      </c>
      <c r="F89" s="121">
        <v>146763</v>
      </c>
      <c r="G89" s="121">
        <v>115547</v>
      </c>
      <c r="H89" s="121">
        <v>122279</v>
      </c>
      <c r="I89" s="121">
        <v>126361</v>
      </c>
      <c r="J89" s="121">
        <v>131815</v>
      </c>
      <c r="K89" s="121">
        <v>99600</v>
      </c>
      <c r="L89" s="121">
        <v>75157</v>
      </c>
      <c r="M89" s="122">
        <v>154361</v>
      </c>
      <c r="N89" s="123">
        <v>1597456</v>
      </c>
      <c r="O89" s="118" t="s">
        <v>779</v>
      </c>
    </row>
    <row r="90" spans="1:15" ht="27">
      <c r="A90" s="119">
        <v>2022</v>
      </c>
      <c r="B90" s="120"/>
      <c r="C90" s="120"/>
      <c r="D90" s="120"/>
      <c r="E90" s="121"/>
      <c r="F90" s="121"/>
      <c r="G90" s="121"/>
      <c r="H90" s="121"/>
      <c r="I90" s="121"/>
      <c r="J90" s="121"/>
      <c r="K90" s="121"/>
      <c r="L90" s="121"/>
      <c r="M90" s="122"/>
      <c r="N90" s="123"/>
      <c r="O90" s="460">
        <v>2022</v>
      </c>
    </row>
    <row r="91" spans="1:15" ht="27">
      <c r="A91" s="124" t="s">
        <v>775</v>
      </c>
      <c r="B91" s="120"/>
      <c r="C91" s="120"/>
      <c r="D91" s="120"/>
      <c r="E91" s="121"/>
      <c r="F91" s="121"/>
      <c r="G91" s="121"/>
      <c r="H91" s="121"/>
      <c r="I91" s="121"/>
      <c r="J91" s="121"/>
      <c r="K91" s="121"/>
      <c r="L91" s="121"/>
      <c r="M91" s="122"/>
      <c r="N91" s="123"/>
      <c r="O91" s="461" t="s">
        <v>776</v>
      </c>
    </row>
    <row r="92" spans="1:15" ht="27">
      <c r="A92" s="124" t="s">
        <v>777</v>
      </c>
      <c r="B92" s="120"/>
      <c r="C92" s="120"/>
      <c r="D92" s="120"/>
      <c r="E92" s="121"/>
      <c r="F92" s="121"/>
      <c r="G92" s="121"/>
      <c r="H92" s="121"/>
      <c r="I92" s="121"/>
      <c r="J92" s="121"/>
      <c r="K92" s="121"/>
      <c r="L92" s="121"/>
      <c r="M92" s="122"/>
      <c r="N92" s="123"/>
      <c r="O92" s="462" t="s">
        <v>610</v>
      </c>
    </row>
    <row r="93" spans="1:15" ht="27">
      <c r="A93" s="124" t="s">
        <v>778</v>
      </c>
      <c r="B93" s="120"/>
      <c r="C93" s="120"/>
      <c r="D93" s="120"/>
      <c r="E93" s="121"/>
      <c r="F93" s="121"/>
      <c r="G93" s="121"/>
      <c r="H93" s="121"/>
      <c r="I93" s="121"/>
      <c r="J93" s="121"/>
      <c r="K93" s="121"/>
      <c r="L93" s="121"/>
      <c r="M93" s="122"/>
      <c r="N93" s="123"/>
      <c r="O93" s="462" t="s">
        <v>779</v>
      </c>
    </row>
    <row r="94" spans="1:15" ht="27">
      <c r="A94" s="119">
        <v>2023</v>
      </c>
      <c r="B94" s="120"/>
      <c r="C94" s="120"/>
      <c r="D94" s="120"/>
      <c r="E94" s="121"/>
      <c r="F94" s="121"/>
      <c r="G94" s="121"/>
      <c r="H94" s="121"/>
      <c r="I94" s="121"/>
      <c r="J94" s="121"/>
      <c r="K94" s="121"/>
      <c r="L94" s="121"/>
      <c r="M94" s="122"/>
      <c r="N94" s="123"/>
      <c r="O94" s="460">
        <v>2023</v>
      </c>
    </row>
    <row r="95" spans="1:15" ht="26.4">
      <c r="A95" s="124" t="s">
        <v>775</v>
      </c>
      <c r="B95" s="120">
        <v>1104</v>
      </c>
      <c r="C95" s="120">
        <v>1007</v>
      </c>
      <c r="D95" s="120">
        <v>1163</v>
      </c>
      <c r="E95" s="121">
        <v>1143</v>
      </c>
      <c r="F95" s="121">
        <v>1089</v>
      </c>
      <c r="G95" s="121">
        <v>1275</v>
      </c>
      <c r="H95" s="121">
        <v>1160</v>
      </c>
      <c r="I95" s="120">
        <v>1247</v>
      </c>
      <c r="J95" s="120">
        <v>1172</v>
      </c>
      <c r="K95" s="120">
        <v>1223</v>
      </c>
      <c r="L95" s="121">
        <v>1160</v>
      </c>
      <c r="M95" s="121">
        <v>1367</v>
      </c>
      <c r="N95" s="121">
        <v>14110</v>
      </c>
      <c r="O95" s="461" t="s">
        <v>776</v>
      </c>
    </row>
    <row r="96" spans="1:15" ht="26.4">
      <c r="A96" s="124" t="s">
        <v>777</v>
      </c>
      <c r="B96" s="120"/>
      <c r="C96" s="120"/>
      <c r="D96" s="120"/>
      <c r="E96" s="121"/>
      <c r="F96" s="121"/>
      <c r="G96" s="121"/>
      <c r="H96" s="121"/>
      <c r="I96" s="120"/>
      <c r="J96" s="120"/>
      <c r="K96" s="120"/>
      <c r="L96" s="121"/>
      <c r="M96" s="121"/>
      <c r="N96" s="121"/>
      <c r="O96" s="462" t="s">
        <v>610</v>
      </c>
    </row>
    <row r="97" spans="1:15" ht="26.4">
      <c r="A97" s="124" t="s">
        <v>778</v>
      </c>
      <c r="B97" s="120">
        <v>98675</v>
      </c>
      <c r="C97" s="120">
        <v>92627</v>
      </c>
      <c r="D97" s="120">
        <v>114558</v>
      </c>
      <c r="E97" s="121">
        <v>109898</v>
      </c>
      <c r="F97" s="121">
        <v>108360</v>
      </c>
      <c r="G97" s="121">
        <v>115285</v>
      </c>
      <c r="H97" s="121">
        <v>99403</v>
      </c>
      <c r="I97" s="120">
        <v>97344</v>
      </c>
      <c r="J97" s="120">
        <v>92603</v>
      </c>
      <c r="K97" s="120">
        <v>99959</v>
      </c>
      <c r="L97" s="121">
        <v>99278</v>
      </c>
      <c r="M97" s="121" t="s">
        <v>223</v>
      </c>
      <c r="N97" s="121" t="s">
        <v>223</v>
      </c>
      <c r="O97" s="462" t="s">
        <v>779</v>
      </c>
    </row>
    <row r="98" spans="1:15" ht="27">
      <c r="A98" s="459"/>
      <c r="B98" s="126"/>
      <c r="C98" s="126"/>
      <c r="D98" s="126"/>
      <c r="E98" s="127"/>
      <c r="F98" s="127"/>
      <c r="G98" s="127"/>
      <c r="H98" s="127"/>
      <c r="I98" s="127"/>
      <c r="J98" s="127"/>
      <c r="K98" s="127"/>
      <c r="L98" s="127"/>
      <c r="M98" s="128"/>
      <c r="N98" s="129"/>
      <c r="O98" s="463"/>
    </row>
    <row r="99" spans="1:15" ht="27">
      <c r="A99" s="125"/>
      <c r="B99" s="126"/>
      <c r="C99" s="126"/>
      <c r="D99" s="126"/>
      <c r="E99" s="127"/>
      <c r="F99" s="127"/>
      <c r="G99" s="127"/>
      <c r="H99" s="127"/>
      <c r="I99" s="127"/>
      <c r="J99" s="127"/>
      <c r="K99" s="127"/>
      <c r="L99" s="127"/>
      <c r="M99" s="128"/>
      <c r="N99" s="129"/>
      <c r="O99" s="130"/>
    </row>
    <row r="100" spans="1:15" ht="27">
      <c r="A100" s="131" t="s">
        <v>780</v>
      </c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3"/>
      <c r="M100" s="134"/>
      <c r="N100" s="135"/>
      <c r="O100" s="136" t="s">
        <v>781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/>
  </sheetPr>
  <dimension ref="A2:AE15"/>
  <sheetViews>
    <sheetView zoomScale="49" zoomScaleNormal="100" workbookViewId="0">
      <selection activeCell="AM6" sqref="AM6"/>
    </sheetView>
  </sheetViews>
  <sheetFormatPr baseColWidth="10" defaultRowHeight="14.4"/>
  <cols>
    <col min="1" max="1" width="35.6640625" customWidth="1"/>
    <col min="2" max="16" width="15.44140625" customWidth="1"/>
    <col min="28" max="28" width="16.44140625" customWidth="1"/>
    <col min="29" max="30" width="17.33203125" customWidth="1"/>
    <col min="31" max="31" width="60.109375" customWidth="1"/>
  </cols>
  <sheetData>
    <row r="2" spans="1:31" ht="27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AE2" s="138" t="s">
        <v>1567</v>
      </c>
    </row>
    <row r="3" spans="1:31" ht="26.4">
      <c r="A3" s="139" t="s">
        <v>1566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1:31" ht="26.4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</row>
    <row r="5" spans="1:31" ht="30">
      <c r="A5" s="446"/>
      <c r="B5" s="446">
        <v>1995</v>
      </c>
      <c r="C5" s="446">
        <v>1996</v>
      </c>
      <c r="D5" s="446">
        <v>1997</v>
      </c>
      <c r="E5" s="446">
        <v>1998</v>
      </c>
      <c r="F5" s="446">
        <v>1999</v>
      </c>
      <c r="G5" s="446">
        <v>2000</v>
      </c>
      <c r="H5" s="446">
        <v>2001</v>
      </c>
      <c r="I5" s="446">
        <v>2002</v>
      </c>
      <c r="J5" s="446">
        <v>2003</v>
      </c>
      <c r="K5" s="446">
        <v>2004</v>
      </c>
      <c r="L5" s="446">
        <v>2005</v>
      </c>
      <c r="M5" s="446">
        <v>2006</v>
      </c>
      <c r="N5" s="446">
        <v>2007</v>
      </c>
      <c r="O5" s="446">
        <v>2008</v>
      </c>
      <c r="P5" s="446">
        <v>2009</v>
      </c>
      <c r="Q5" s="446">
        <v>2010</v>
      </c>
      <c r="R5" s="446">
        <v>2011</v>
      </c>
      <c r="S5" s="446">
        <v>2012</v>
      </c>
      <c r="T5" s="446">
        <v>2013</v>
      </c>
      <c r="U5" s="446">
        <v>2014</v>
      </c>
      <c r="V5" s="446">
        <v>2015</v>
      </c>
      <c r="W5" s="446">
        <v>2016</v>
      </c>
      <c r="X5" s="446">
        <v>2017</v>
      </c>
      <c r="Y5" s="446">
        <v>2018</v>
      </c>
      <c r="Z5" s="446">
        <v>2019</v>
      </c>
      <c r="AA5" s="446">
        <v>2020</v>
      </c>
      <c r="AB5" s="446">
        <v>2021</v>
      </c>
      <c r="AC5" s="446">
        <v>2022</v>
      </c>
      <c r="AD5" s="446">
        <v>2023</v>
      </c>
      <c r="AE5" s="446"/>
    </row>
    <row r="6" spans="1:31" ht="26.4">
      <c r="A6" s="464" t="s">
        <v>782</v>
      </c>
      <c r="B6" s="464"/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5"/>
      <c r="R6" s="465"/>
      <c r="S6" s="465"/>
      <c r="T6" s="465"/>
      <c r="U6" s="465"/>
      <c r="V6" s="465"/>
      <c r="W6" s="465"/>
      <c r="X6" s="465"/>
      <c r="Y6" s="465"/>
      <c r="Z6" s="465"/>
      <c r="AA6" s="465"/>
      <c r="AB6" s="465"/>
      <c r="AC6" s="203"/>
      <c r="AD6" s="203"/>
      <c r="AE6" s="465" t="s">
        <v>783</v>
      </c>
    </row>
    <row r="7" spans="1:31" ht="26.4">
      <c r="A7" s="401" t="s">
        <v>784</v>
      </c>
      <c r="B7" s="466">
        <v>26562</v>
      </c>
      <c r="C7" s="466">
        <v>24439</v>
      </c>
      <c r="D7" s="466">
        <v>20063</v>
      </c>
      <c r="E7" s="466">
        <v>11834</v>
      </c>
      <c r="F7" s="466">
        <v>15966</v>
      </c>
      <c r="G7" s="466">
        <v>17817</v>
      </c>
      <c r="H7" s="466">
        <v>23943</v>
      </c>
      <c r="I7" s="466">
        <v>18955</v>
      </c>
      <c r="J7" s="466">
        <v>18746</v>
      </c>
      <c r="K7" s="466">
        <v>19907</v>
      </c>
      <c r="L7" s="466">
        <v>23381</v>
      </c>
      <c r="M7" s="466">
        <v>23550</v>
      </c>
      <c r="N7" s="466">
        <v>21814</v>
      </c>
      <c r="O7" s="466">
        <v>17920</v>
      </c>
      <c r="P7" s="466">
        <v>19687</v>
      </c>
      <c r="Q7" s="402">
        <v>24732</v>
      </c>
      <c r="R7" s="402">
        <v>17687</v>
      </c>
      <c r="S7" s="402">
        <v>21807</v>
      </c>
      <c r="T7" s="402">
        <v>23836</v>
      </c>
      <c r="U7" s="402">
        <v>17568</v>
      </c>
      <c r="V7" s="402">
        <v>21198</v>
      </c>
      <c r="W7" s="402">
        <v>20063</v>
      </c>
      <c r="X7" s="402">
        <v>18594</v>
      </c>
      <c r="Y7" s="402">
        <v>14335</v>
      </c>
      <c r="Z7" s="402">
        <v>21783</v>
      </c>
      <c r="AA7" s="402">
        <f>'[37]Export par type'!$D$5</f>
        <v>17122.666000000001</v>
      </c>
      <c r="AB7" s="402">
        <v>16235</v>
      </c>
      <c r="AC7" s="465" t="s">
        <v>897</v>
      </c>
      <c r="AD7" s="402">
        <v>15843</v>
      </c>
      <c r="AE7" s="402" t="s">
        <v>785</v>
      </c>
    </row>
    <row r="8" spans="1:31" ht="26.4">
      <c r="A8" s="401" t="s">
        <v>786</v>
      </c>
      <c r="B8" s="466">
        <v>106631</v>
      </c>
      <c r="C8" s="466">
        <v>91140</v>
      </c>
      <c r="D8" s="466">
        <v>74571</v>
      </c>
      <c r="E8" s="466">
        <v>37977</v>
      </c>
      <c r="F8" s="466">
        <v>43378</v>
      </c>
      <c r="G8" s="466">
        <v>43038</v>
      </c>
      <c r="H8" s="466">
        <v>55980</v>
      </c>
      <c r="I8" s="466">
        <v>48711</v>
      </c>
      <c r="J8" s="466">
        <v>58397</v>
      </c>
      <c r="K8" s="466">
        <v>71664</v>
      </c>
      <c r="L8" s="466">
        <v>78699</v>
      </c>
      <c r="M8" s="466">
        <v>90080</v>
      </c>
      <c r="N8" s="466">
        <v>85130</v>
      </c>
      <c r="O8" s="466">
        <v>95609</v>
      </c>
      <c r="P8" s="466">
        <v>70364</v>
      </c>
      <c r="Q8" s="402">
        <v>70139</v>
      </c>
      <c r="R8" s="402">
        <v>94385</v>
      </c>
      <c r="S8" s="402">
        <v>121929</v>
      </c>
      <c r="T8" s="402">
        <v>77414</v>
      </c>
      <c r="U8" s="402">
        <v>72478</v>
      </c>
      <c r="V8" s="402">
        <v>79578</v>
      </c>
      <c r="W8" s="402">
        <v>67797</v>
      </c>
      <c r="X8" s="402">
        <v>95193</v>
      </c>
      <c r="Y8" s="402">
        <v>82731</v>
      </c>
      <c r="Z8" s="402">
        <v>118441</v>
      </c>
      <c r="AA8" s="402">
        <f>'[37]Export par type'!$F$5</f>
        <v>67748.964000000007</v>
      </c>
      <c r="AB8" s="402">
        <v>78478</v>
      </c>
      <c r="AC8" s="402">
        <v>96749</v>
      </c>
      <c r="AD8" s="402">
        <v>74848</v>
      </c>
      <c r="AE8" s="402" t="s">
        <v>787</v>
      </c>
    </row>
    <row r="9" spans="1:31" ht="26.4">
      <c r="A9" s="464" t="s">
        <v>788</v>
      </c>
      <c r="B9" s="467"/>
      <c r="C9" s="467"/>
      <c r="D9" s="467"/>
      <c r="E9" s="467"/>
      <c r="F9" s="467"/>
      <c r="G9" s="467"/>
      <c r="H9" s="467"/>
      <c r="I9" s="467"/>
      <c r="J9" s="467"/>
      <c r="K9" s="467"/>
      <c r="L9" s="467"/>
      <c r="M9" s="468"/>
      <c r="N9" s="468"/>
      <c r="O9" s="468"/>
      <c r="P9" s="468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 t="s">
        <v>789</v>
      </c>
    </row>
    <row r="10" spans="1:31" ht="26.4">
      <c r="A10" s="401" t="s">
        <v>784</v>
      </c>
      <c r="B10" s="468">
        <v>16325</v>
      </c>
      <c r="C10" s="468">
        <v>17665</v>
      </c>
      <c r="D10" s="468">
        <v>14424</v>
      </c>
      <c r="E10" s="468">
        <v>15594</v>
      </c>
      <c r="F10" s="468">
        <v>17279</v>
      </c>
      <c r="G10" s="468">
        <v>21456</v>
      </c>
      <c r="H10" s="468">
        <v>24149</v>
      </c>
      <c r="I10" s="468">
        <v>21300</v>
      </c>
      <c r="J10" s="468">
        <v>15864</v>
      </c>
      <c r="K10" s="468">
        <v>19404</v>
      </c>
      <c r="L10" s="468">
        <v>19372</v>
      </c>
      <c r="M10" s="466">
        <v>18439</v>
      </c>
      <c r="N10" s="466">
        <v>22070</v>
      </c>
      <c r="O10" s="466">
        <v>19421</v>
      </c>
      <c r="P10" s="466">
        <v>37262</v>
      </c>
      <c r="Q10" s="402">
        <v>23417</v>
      </c>
      <c r="R10" s="402">
        <v>29941</v>
      </c>
      <c r="S10" s="402">
        <v>35002</v>
      </c>
      <c r="T10" s="402">
        <v>42923</v>
      </c>
      <c r="U10" s="402">
        <v>44988</v>
      </c>
      <c r="V10" s="402">
        <v>58921</v>
      </c>
      <c r="W10" s="402">
        <v>70786</v>
      </c>
      <c r="X10" s="402">
        <v>73062</v>
      </c>
      <c r="Y10" s="402">
        <v>97195</v>
      </c>
      <c r="Z10" s="402">
        <v>101612</v>
      </c>
      <c r="AA10" s="402">
        <f>'[37]Export par type'!$D$6</f>
        <v>309837.53899999999</v>
      </c>
      <c r="AB10" s="402">
        <v>146759</v>
      </c>
      <c r="AC10" s="402">
        <v>155290</v>
      </c>
      <c r="AD10" s="402">
        <v>156299</v>
      </c>
      <c r="AE10" s="402" t="s">
        <v>785</v>
      </c>
    </row>
    <row r="11" spans="1:31" ht="26.4">
      <c r="A11" s="401" t="s">
        <v>786</v>
      </c>
      <c r="B11" s="466">
        <v>65903</v>
      </c>
      <c r="C11" s="466">
        <v>68852</v>
      </c>
      <c r="D11" s="466">
        <v>56703</v>
      </c>
      <c r="E11" s="466">
        <v>44820</v>
      </c>
      <c r="F11" s="466">
        <v>44265</v>
      </c>
      <c r="G11" s="466">
        <v>47073</v>
      </c>
      <c r="H11" s="466">
        <v>59867</v>
      </c>
      <c r="I11" s="466">
        <v>69477</v>
      </c>
      <c r="J11" s="466">
        <v>55831</v>
      </c>
      <c r="K11" s="466">
        <v>80330</v>
      </c>
      <c r="L11" s="466">
        <v>64332</v>
      </c>
      <c r="M11" s="466">
        <v>67289</v>
      </c>
      <c r="N11" s="466">
        <v>112857</v>
      </c>
      <c r="O11" s="466">
        <v>123422</v>
      </c>
      <c r="P11" s="466">
        <v>152178</v>
      </c>
      <c r="Q11" s="402">
        <v>122798</v>
      </c>
      <c r="R11" s="402">
        <v>206156</v>
      </c>
      <c r="S11" s="402">
        <v>222152</v>
      </c>
      <c r="T11" s="402">
        <v>164240</v>
      </c>
      <c r="U11" s="402">
        <v>201560</v>
      </c>
      <c r="V11" s="402">
        <v>188486</v>
      </c>
      <c r="W11" s="402">
        <v>235401</v>
      </c>
      <c r="X11" s="402">
        <v>321189</v>
      </c>
      <c r="Y11" s="402">
        <v>415004</v>
      </c>
      <c r="Z11" s="402">
        <v>389117</v>
      </c>
      <c r="AA11" s="402">
        <f>'[37]Export par type'!$F$6</f>
        <v>473963.38299999997</v>
      </c>
      <c r="AB11" s="402">
        <v>380120</v>
      </c>
      <c r="AC11" s="402">
        <v>482461</v>
      </c>
      <c r="AD11" s="402">
        <v>372767</v>
      </c>
      <c r="AE11" s="402" t="s">
        <v>787</v>
      </c>
    </row>
    <row r="12" spans="1:31" ht="26.4">
      <c r="A12" s="464" t="s">
        <v>790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8"/>
      <c r="N12" s="468"/>
      <c r="O12" s="468"/>
      <c r="P12" s="468"/>
      <c r="Q12" s="402"/>
      <c r="R12" s="402"/>
      <c r="S12" s="402"/>
      <c r="T12" s="402"/>
      <c r="U12" s="402"/>
      <c r="V12" s="402"/>
      <c r="W12" s="402"/>
      <c r="X12" s="402"/>
      <c r="Y12" s="402"/>
      <c r="Z12" s="402"/>
      <c r="AA12" s="402"/>
      <c r="AB12" s="402"/>
      <c r="AC12" s="402"/>
      <c r="AD12" s="402"/>
      <c r="AE12" s="402" t="s">
        <v>4</v>
      </c>
    </row>
    <row r="13" spans="1:31" ht="26.4">
      <c r="A13" s="401" t="s">
        <v>784</v>
      </c>
      <c r="B13" s="466">
        <v>42887</v>
      </c>
      <c r="C13" s="466">
        <v>42104</v>
      </c>
      <c r="D13" s="466">
        <v>34487</v>
      </c>
      <c r="E13" s="466">
        <v>27428</v>
      </c>
      <c r="F13" s="466">
        <v>33245</v>
      </c>
      <c r="G13" s="466">
        <v>39273</v>
      </c>
      <c r="H13" s="466">
        <v>48092</v>
      </c>
      <c r="I13" s="466">
        <v>40255</v>
      </c>
      <c r="J13" s="466">
        <v>34610</v>
      </c>
      <c r="K13" s="466">
        <v>39311</v>
      </c>
      <c r="L13" s="466">
        <v>42753</v>
      </c>
      <c r="M13" s="466">
        <v>41989</v>
      </c>
      <c r="N13" s="466">
        <v>43884</v>
      </c>
      <c r="O13" s="466">
        <v>37341</v>
      </c>
      <c r="P13" s="466">
        <v>56949</v>
      </c>
      <c r="Q13" s="402">
        <v>48149</v>
      </c>
      <c r="R13" s="402">
        <v>47628</v>
      </c>
      <c r="S13" s="402">
        <v>56809</v>
      </c>
      <c r="T13" s="402">
        <v>66759</v>
      </c>
      <c r="U13" s="402">
        <v>62556</v>
      </c>
      <c r="V13" s="402">
        <v>80119</v>
      </c>
      <c r="W13" s="402">
        <v>90849</v>
      </c>
      <c r="X13" s="402">
        <v>91656</v>
      </c>
      <c r="Y13" s="402">
        <v>111530</v>
      </c>
      <c r="Z13" s="402">
        <v>123395</v>
      </c>
      <c r="AA13" s="402">
        <f>AA7+AA10</f>
        <v>326960.20500000002</v>
      </c>
      <c r="AB13" s="402">
        <v>162994</v>
      </c>
      <c r="AC13" s="402">
        <v>172012</v>
      </c>
      <c r="AD13" s="402">
        <v>172142</v>
      </c>
      <c r="AE13" s="402" t="s">
        <v>785</v>
      </c>
    </row>
    <row r="14" spans="1:31" ht="26.4">
      <c r="A14" s="401" t="s">
        <v>786</v>
      </c>
      <c r="B14" s="468">
        <v>172534</v>
      </c>
      <c r="C14" s="468">
        <v>159992</v>
      </c>
      <c r="D14" s="468">
        <v>131274</v>
      </c>
      <c r="E14" s="468">
        <v>82797</v>
      </c>
      <c r="F14" s="468">
        <v>87643</v>
      </c>
      <c r="G14" s="468">
        <v>90111</v>
      </c>
      <c r="H14" s="468">
        <v>115847</v>
      </c>
      <c r="I14" s="468">
        <v>118188</v>
      </c>
      <c r="J14" s="468">
        <v>114228</v>
      </c>
      <c r="K14" s="468">
        <v>151994</v>
      </c>
      <c r="L14" s="468">
        <v>143031</v>
      </c>
      <c r="M14" s="466">
        <v>157369</v>
      </c>
      <c r="N14" s="466">
        <v>197987</v>
      </c>
      <c r="O14" s="466">
        <v>219031</v>
      </c>
      <c r="P14" s="466">
        <v>222542</v>
      </c>
      <c r="Q14" s="402">
        <v>192937</v>
      </c>
      <c r="R14" s="402">
        <v>300541</v>
      </c>
      <c r="S14" s="402">
        <v>344081</v>
      </c>
      <c r="T14" s="402">
        <v>241654</v>
      </c>
      <c r="U14" s="402">
        <v>274038</v>
      </c>
      <c r="V14" s="402">
        <v>268064</v>
      </c>
      <c r="W14" s="402">
        <v>303198</v>
      </c>
      <c r="X14" s="402">
        <v>416382</v>
      </c>
      <c r="Y14" s="402">
        <v>497735</v>
      </c>
      <c r="Z14" s="402">
        <v>507558</v>
      </c>
      <c r="AA14" s="402">
        <f>AA8+AA11</f>
        <v>541712.34699999995</v>
      </c>
      <c r="AB14" s="402">
        <v>458598</v>
      </c>
      <c r="AC14" s="403">
        <v>579210</v>
      </c>
      <c r="AD14" s="402">
        <v>447615</v>
      </c>
      <c r="AE14" s="402" t="s">
        <v>787</v>
      </c>
    </row>
    <row r="15" spans="1:31" ht="26.4">
      <c r="A15" s="143" t="s">
        <v>791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/>
  </sheetPr>
  <dimension ref="A1:AE48"/>
  <sheetViews>
    <sheetView topLeftCell="M25" zoomScale="70" workbookViewId="0">
      <selection activeCell="AA30" sqref="AA30"/>
    </sheetView>
  </sheetViews>
  <sheetFormatPr baseColWidth="10" defaultRowHeight="14.4"/>
  <cols>
    <col min="1" max="1" width="20.88671875" customWidth="1"/>
    <col min="2" max="4" width="13.77734375" bestFit="1" customWidth="1"/>
    <col min="5" max="7" width="11.88671875" bestFit="1" customWidth="1"/>
    <col min="8" max="12" width="13.77734375" bestFit="1" customWidth="1"/>
    <col min="13" max="13" width="22.5546875" bestFit="1" customWidth="1"/>
    <col min="14" max="16" width="13.77734375" bestFit="1" customWidth="1"/>
    <col min="17" max="29" width="11.77734375" bestFit="1" customWidth="1"/>
    <col min="30" max="30" width="11.6640625" bestFit="1" customWidth="1"/>
    <col min="31" max="31" width="26.6640625" customWidth="1"/>
  </cols>
  <sheetData>
    <row r="1" spans="1:31">
      <c r="AE1" t="s">
        <v>1563</v>
      </c>
    </row>
    <row r="2" spans="1:31" ht="27">
      <c r="A2" s="148" t="s">
        <v>1562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0"/>
    </row>
    <row r="3" spans="1:31" ht="30">
      <c r="A3" s="446" t="s">
        <v>793</v>
      </c>
      <c r="B3" s="446">
        <v>1995</v>
      </c>
      <c r="C3" s="446">
        <v>1996</v>
      </c>
      <c r="D3" s="446">
        <v>1997</v>
      </c>
      <c r="E3" s="446">
        <v>1998</v>
      </c>
      <c r="F3" s="446">
        <v>1999</v>
      </c>
      <c r="G3" s="446">
        <v>2000</v>
      </c>
      <c r="H3" s="446">
        <v>2001</v>
      </c>
      <c r="I3" s="446">
        <v>2002</v>
      </c>
      <c r="J3" s="446">
        <v>2003</v>
      </c>
      <c r="K3" s="446">
        <v>2004</v>
      </c>
      <c r="L3" s="446">
        <v>2005</v>
      </c>
      <c r="M3" s="446">
        <v>2006</v>
      </c>
      <c r="N3" s="446">
        <v>2007</v>
      </c>
      <c r="O3" s="446">
        <v>2008</v>
      </c>
      <c r="P3" s="446">
        <v>2009</v>
      </c>
      <c r="Q3" s="446">
        <v>2010</v>
      </c>
      <c r="R3" s="446">
        <v>2011</v>
      </c>
      <c r="S3" s="446">
        <v>2012</v>
      </c>
      <c r="T3" s="446">
        <v>2013</v>
      </c>
      <c r="U3" s="446">
        <v>2014</v>
      </c>
      <c r="V3" s="446">
        <v>2015</v>
      </c>
      <c r="W3" s="446">
        <v>2016</v>
      </c>
      <c r="X3" s="446">
        <v>2017</v>
      </c>
      <c r="Y3" s="446">
        <v>2018</v>
      </c>
      <c r="Z3" s="446">
        <v>2019</v>
      </c>
      <c r="AA3" s="446">
        <v>2020</v>
      </c>
      <c r="AB3" s="446">
        <v>2021</v>
      </c>
      <c r="AC3" s="446">
        <v>2022</v>
      </c>
      <c r="AD3" s="446">
        <v>2023</v>
      </c>
      <c r="AE3" s="446" t="s">
        <v>794</v>
      </c>
    </row>
    <row r="4" spans="1:31" ht="26.4">
      <c r="A4" s="479" t="s">
        <v>48</v>
      </c>
      <c r="B4" s="479">
        <v>42887</v>
      </c>
      <c r="C4" s="479">
        <v>42104</v>
      </c>
      <c r="D4" s="479">
        <v>34487</v>
      </c>
      <c r="E4" s="479">
        <v>27428</v>
      </c>
      <c r="F4" s="479">
        <v>33245</v>
      </c>
      <c r="G4" s="479">
        <v>39273</v>
      </c>
      <c r="H4" s="479">
        <v>48092</v>
      </c>
      <c r="I4" s="479">
        <v>40255</v>
      </c>
      <c r="J4" s="479">
        <v>34610</v>
      </c>
      <c r="K4" s="469">
        <v>39311</v>
      </c>
      <c r="L4" s="469">
        <v>42753</v>
      </c>
      <c r="M4" s="469">
        <v>44073</v>
      </c>
      <c r="N4" s="469">
        <v>43884</v>
      </c>
      <c r="O4" s="469">
        <v>37341</v>
      </c>
      <c r="P4" s="469">
        <v>56949</v>
      </c>
      <c r="Q4" s="469">
        <v>48149</v>
      </c>
      <c r="R4" s="470">
        <v>47628</v>
      </c>
      <c r="S4" s="470">
        <v>56809</v>
      </c>
      <c r="T4" s="470">
        <v>66759</v>
      </c>
      <c r="U4" s="470">
        <v>62556</v>
      </c>
      <c r="V4" s="470">
        <v>80119</v>
      </c>
      <c r="W4" s="470">
        <v>90849</v>
      </c>
      <c r="X4" s="470">
        <v>91656</v>
      </c>
      <c r="Y4" s="470">
        <v>111530</v>
      </c>
      <c r="Z4" s="470">
        <v>123395</v>
      </c>
      <c r="AA4" s="470">
        <v>136887</v>
      </c>
      <c r="AB4" s="470">
        <v>162994</v>
      </c>
      <c r="AC4" s="470">
        <v>76520.2</v>
      </c>
      <c r="AD4" s="482">
        <v>172142</v>
      </c>
      <c r="AE4" s="480" t="s">
        <v>4</v>
      </c>
    </row>
    <row r="5" spans="1:31" ht="26.4">
      <c r="A5" s="163" t="s">
        <v>73</v>
      </c>
      <c r="B5" s="163">
        <v>8365</v>
      </c>
      <c r="C5" s="163">
        <v>12784</v>
      </c>
      <c r="D5" s="163">
        <v>9282</v>
      </c>
      <c r="E5" s="163">
        <v>7256</v>
      </c>
      <c r="F5" s="163">
        <v>5864</v>
      </c>
      <c r="G5" s="163">
        <v>8562</v>
      </c>
      <c r="H5" s="163">
        <v>10610</v>
      </c>
      <c r="I5" s="163">
        <v>10512</v>
      </c>
      <c r="J5" s="163">
        <v>7700</v>
      </c>
      <c r="K5" s="469">
        <v>7915</v>
      </c>
      <c r="L5" s="469">
        <v>7486</v>
      </c>
      <c r="M5" s="469">
        <v>6750</v>
      </c>
      <c r="N5" s="469">
        <v>8411</v>
      </c>
      <c r="O5" s="469">
        <v>3829</v>
      </c>
      <c r="P5" s="469">
        <v>4256</v>
      </c>
      <c r="Q5" s="469">
        <v>9537</v>
      </c>
      <c r="R5" s="470">
        <f>5811+2194</f>
        <v>8005</v>
      </c>
      <c r="S5" s="470">
        <f>4551+2410</f>
        <v>6961</v>
      </c>
      <c r="T5" s="470">
        <v>10163</v>
      </c>
      <c r="U5" s="470">
        <f>6382+2256</f>
        <v>8638</v>
      </c>
      <c r="V5" s="470">
        <f>7078+3809</f>
        <v>10887</v>
      </c>
      <c r="W5" s="470">
        <v>19888</v>
      </c>
      <c r="X5" s="470">
        <v>20002</v>
      </c>
      <c r="Y5" s="470">
        <v>27015</v>
      </c>
      <c r="Z5" s="470">
        <v>20767</v>
      </c>
      <c r="AA5" s="470">
        <v>21177</v>
      </c>
      <c r="AB5" s="470">
        <v>27393</v>
      </c>
      <c r="AC5" s="470">
        <v>23157</v>
      </c>
      <c r="AD5" s="482">
        <v>20129</v>
      </c>
      <c r="AE5" s="471" t="s">
        <v>795</v>
      </c>
    </row>
    <row r="6" spans="1:31" ht="26.4">
      <c r="A6" s="166" t="s">
        <v>71</v>
      </c>
      <c r="B6" s="166">
        <v>1250</v>
      </c>
      <c r="C6" s="166">
        <v>949</v>
      </c>
      <c r="D6" s="166">
        <v>1053</v>
      </c>
      <c r="E6" s="166">
        <v>407</v>
      </c>
      <c r="F6" s="166">
        <v>847</v>
      </c>
      <c r="G6" s="166">
        <v>2188</v>
      </c>
      <c r="H6" s="166">
        <v>3344</v>
      </c>
      <c r="I6" s="166">
        <v>4076</v>
      </c>
      <c r="J6" s="166">
        <v>5127</v>
      </c>
      <c r="K6" s="469">
        <v>5073</v>
      </c>
      <c r="L6" s="469">
        <v>6348</v>
      </c>
      <c r="M6" s="469">
        <v>5275</v>
      </c>
      <c r="N6" s="469">
        <v>6413</v>
      </c>
      <c r="O6" s="469">
        <v>4070</v>
      </c>
      <c r="P6" s="469">
        <v>4347</v>
      </c>
      <c r="Q6" s="469">
        <v>5405</v>
      </c>
      <c r="R6" s="470">
        <v>7213</v>
      </c>
      <c r="S6" s="470">
        <v>5041</v>
      </c>
      <c r="T6" s="470">
        <v>7749</v>
      </c>
      <c r="U6" s="470">
        <v>16579</v>
      </c>
      <c r="V6" s="470">
        <v>24581</v>
      </c>
      <c r="W6" s="470">
        <v>28880</v>
      </c>
      <c r="X6" s="470">
        <v>22069</v>
      </c>
      <c r="Y6" s="470">
        <v>42777</v>
      </c>
      <c r="Z6" s="470">
        <v>40002</v>
      </c>
      <c r="AA6" s="470">
        <v>69719</v>
      </c>
      <c r="AB6" s="470">
        <v>94101</v>
      </c>
      <c r="AC6" s="470"/>
      <c r="AD6" s="482">
        <v>98440</v>
      </c>
      <c r="AE6" s="472" t="s">
        <v>796</v>
      </c>
    </row>
    <row r="7" spans="1:31" ht="26.4">
      <c r="A7" s="166" t="s">
        <v>77</v>
      </c>
      <c r="B7" s="166">
        <v>110</v>
      </c>
      <c r="C7" s="166">
        <v>283</v>
      </c>
      <c r="D7" s="166">
        <v>637</v>
      </c>
      <c r="E7" s="166">
        <v>421</v>
      </c>
      <c r="F7" s="166">
        <v>354</v>
      </c>
      <c r="G7" s="166">
        <v>815</v>
      </c>
      <c r="H7" s="166">
        <v>1290</v>
      </c>
      <c r="I7" s="166">
        <v>1491</v>
      </c>
      <c r="J7" s="166">
        <v>1695</v>
      </c>
      <c r="K7" s="469">
        <v>1102</v>
      </c>
      <c r="L7" s="469">
        <v>1029</v>
      </c>
      <c r="M7" s="469">
        <v>1731</v>
      </c>
      <c r="N7" s="469">
        <v>1108</v>
      </c>
      <c r="O7" s="469">
        <v>441</v>
      </c>
      <c r="P7" s="469">
        <v>350</v>
      </c>
      <c r="Q7" s="469">
        <v>517</v>
      </c>
      <c r="R7" s="470">
        <v>698</v>
      </c>
      <c r="S7" s="470">
        <v>607</v>
      </c>
      <c r="T7" s="470">
        <v>759</v>
      </c>
      <c r="U7" s="470">
        <v>727</v>
      </c>
      <c r="V7" s="470">
        <v>1030</v>
      </c>
      <c r="W7" s="470">
        <v>915</v>
      </c>
      <c r="X7" s="470">
        <v>1063.203</v>
      </c>
      <c r="Y7" s="470">
        <v>680</v>
      </c>
      <c r="Z7" s="470">
        <v>1157</v>
      </c>
      <c r="AA7" s="470">
        <v>719</v>
      </c>
      <c r="AB7" s="470">
        <v>724</v>
      </c>
      <c r="AC7" s="470">
        <v>781</v>
      </c>
      <c r="AD7" s="483">
        <v>556</v>
      </c>
      <c r="AE7" s="472" t="s">
        <v>797</v>
      </c>
    </row>
    <row r="8" spans="1:31" ht="26.4">
      <c r="A8" s="166" t="s">
        <v>798</v>
      </c>
      <c r="B8" s="166"/>
      <c r="C8" s="166"/>
      <c r="D8" s="166"/>
      <c r="E8" s="166"/>
      <c r="F8" s="166"/>
      <c r="G8" s="166"/>
      <c r="H8" s="166"/>
      <c r="I8" s="166"/>
      <c r="J8" s="166"/>
      <c r="K8" s="310"/>
      <c r="L8" s="310"/>
      <c r="M8" s="310"/>
      <c r="N8" s="310"/>
      <c r="O8" s="310"/>
      <c r="P8" s="310"/>
      <c r="Q8" s="469">
        <v>5252</v>
      </c>
      <c r="R8" s="470">
        <v>5256</v>
      </c>
      <c r="S8" s="470">
        <v>3889</v>
      </c>
      <c r="T8" s="470">
        <v>7324</v>
      </c>
      <c r="U8" s="470">
        <v>3856</v>
      </c>
      <c r="V8" s="470">
        <v>3466</v>
      </c>
      <c r="W8" s="470">
        <v>4097</v>
      </c>
      <c r="X8" s="470">
        <v>3141</v>
      </c>
      <c r="Y8" s="470">
        <v>5833</v>
      </c>
      <c r="Z8" s="470">
        <v>7952</v>
      </c>
      <c r="AA8" s="470">
        <v>4698</v>
      </c>
      <c r="AB8" s="470">
        <v>8020</v>
      </c>
      <c r="AC8" s="470">
        <v>8796</v>
      </c>
      <c r="AD8" s="482">
        <v>16157</v>
      </c>
      <c r="AE8" s="471" t="s">
        <v>799</v>
      </c>
    </row>
    <row r="9" spans="1:31" ht="26.4">
      <c r="A9" s="166" t="s">
        <v>800</v>
      </c>
      <c r="B9" s="166"/>
      <c r="C9" s="166"/>
      <c r="D9" s="166"/>
      <c r="E9" s="166"/>
      <c r="F9" s="166"/>
      <c r="G9" s="166"/>
      <c r="H9" s="166"/>
      <c r="I9" s="166"/>
      <c r="J9" s="166"/>
      <c r="K9" s="310"/>
      <c r="L9" s="310"/>
      <c r="M9" s="310"/>
      <c r="N9" s="310"/>
      <c r="O9" s="310"/>
      <c r="P9" s="310"/>
      <c r="Q9" s="470" t="s">
        <v>10</v>
      </c>
      <c r="R9" s="470" t="s">
        <v>10</v>
      </c>
      <c r="S9" s="470" t="s">
        <v>10</v>
      </c>
      <c r="T9" s="470" t="s">
        <v>10</v>
      </c>
      <c r="U9" s="470" t="s">
        <v>10</v>
      </c>
      <c r="V9" s="470" t="s">
        <v>10</v>
      </c>
      <c r="W9" s="470" t="s">
        <v>10</v>
      </c>
      <c r="X9" s="470">
        <v>76</v>
      </c>
      <c r="Y9" s="470">
        <v>406</v>
      </c>
      <c r="Z9" s="470">
        <v>453</v>
      </c>
      <c r="AA9" s="470"/>
      <c r="AB9" s="470">
        <v>957</v>
      </c>
      <c r="AC9" s="470">
        <v>855.2</v>
      </c>
      <c r="AD9" s="483">
        <v>817</v>
      </c>
      <c r="AE9" s="471"/>
    </row>
    <row r="10" spans="1:31" ht="26.4">
      <c r="A10" s="163" t="s">
        <v>801</v>
      </c>
      <c r="B10" s="163">
        <v>33162</v>
      </c>
      <c r="C10" s="163">
        <v>28088</v>
      </c>
      <c r="D10" s="163">
        <v>23515</v>
      </c>
      <c r="E10" s="163">
        <v>19344</v>
      </c>
      <c r="F10" s="163">
        <v>26180</v>
      </c>
      <c r="G10" s="163">
        <v>27708</v>
      </c>
      <c r="H10" s="163">
        <v>32848</v>
      </c>
      <c r="I10" s="163">
        <v>24176</v>
      </c>
      <c r="J10" s="163">
        <v>20088</v>
      </c>
      <c r="K10" s="469">
        <v>25221</v>
      </c>
      <c r="L10" s="469">
        <v>27890</v>
      </c>
      <c r="M10" s="469">
        <v>30317</v>
      </c>
      <c r="N10" s="469">
        <v>27952</v>
      </c>
      <c r="O10" s="469">
        <v>29001</v>
      </c>
      <c r="P10" s="469">
        <v>47996</v>
      </c>
      <c r="Q10" s="469">
        <v>27438</v>
      </c>
      <c r="R10" s="470">
        <v>26456</v>
      </c>
      <c r="S10" s="470">
        <v>40311</v>
      </c>
      <c r="T10" s="470">
        <v>40764</v>
      </c>
      <c r="U10" s="470">
        <v>32756</v>
      </c>
      <c r="V10" s="470">
        <v>40155</v>
      </c>
      <c r="W10" s="470">
        <v>37069</v>
      </c>
      <c r="X10" s="470">
        <v>45305</v>
      </c>
      <c r="Y10" s="470">
        <v>34819</v>
      </c>
      <c r="Z10" s="470">
        <v>53064</v>
      </c>
      <c r="AA10" s="470">
        <v>40574</v>
      </c>
      <c r="AB10" s="470">
        <v>31799</v>
      </c>
      <c r="AC10" s="470"/>
      <c r="AD10" s="482">
        <v>36043</v>
      </c>
      <c r="AE10" s="471" t="s">
        <v>76</v>
      </c>
    </row>
    <row r="11" spans="1:31" ht="26.4">
      <c r="A11" s="473" t="s">
        <v>113</v>
      </c>
      <c r="B11" s="473">
        <v>26639</v>
      </c>
      <c r="C11" s="473">
        <v>20252</v>
      </c>
      <c r="D11" s="473">
        <v>18556</v>
      </c>
      <c r="E11" s="473">
        <v>13439</v>
      </c>
      <c r="F11" s="473">
        <v>17694</v>
      </c>
      <c r="G11" s="473">
        <v>17381</v>
      </c>
      <c r="H11" s="473">
        <v>21703</v>
      </c>
      <c r="I11" s="473">
        <v>18488</v>
      </c>
      <c r="J11" s="473">
        <v>15556</v>
      </c>
      <c r="K11" s="469">
        <v>20114</v>
      </c>
      <c r="L11" s="469">
        <v>21868</v>
      </c>
      <c r="M11" s="469">
        <v>25187</v>
      </c>
      <c r="N11" s="469">
        <v>22462</v>
      </c>
      <c r="O11" s="469">
        <v>23581</v>
      </c>
      <c r="P11" s="469">
        <v>41566</v>
      </c>
      <c r="Q11" s="469">
        <v>23446</v>
      </c>
      <c r="R11" s="474">
        <v>23556</v>
      </c>
      <c r="S11" s="470">
        <v>35381</v>
      </c>
      <c r="T11" s="470">
        <v>32732</v>
      </c>
      <c r="U11" s="470">
        <v>27708</v>
      </c>
      <c r="V11" s="470">
        <v>32903</v>
      </c>
      <c r="W11" s="470">
        <v>30892</v>
      </c>
      <c r="X11" s="470">
        <v>38549</v>
      </c>
      <c r="Y11" s="470">
        <v>29974</v>
      </c>
      <c r="Z11" s="470">
        <v>38826</v>
      </c>
      <c r="AA11" s="470">
        <v>31164</v>
      </c>
      <c r="AB11" s="470">
        <v>25210</v>
      </c>
      <c r="AC11" s="470">
        <v>38909</v>
      </c>
      <c r="AD11" s="482">
        <v>29701</v>
      </c>
      <c r="AE11" s="475" t="s">
        <v>802</v>
      </c>
    </row>
    <row r="12" spans="1:31" ht="26.4">
      <c r="A12" s="473" t="s">
        <v>115</v>
      </c>
      <c r="B12" s="473">
        <v>4445</v>
      </c>
      <c r="C12" s="473">
        <v>5365</v>
      </c>
      <c r="D12" s="473">
        <v>3613</v>
      </c>
      <c r="E12" s="473">
        <v>3753</v>
      </c>
      <c r="F12" s="473">
        <v>6090</v>
      </c>
      <c r="G12" s="473">
        <v>7062</v>
      </c>
      <c r="H12" s="473">
        <v>7332</v>
      </c>
      <c r="I12" s="473">
        <v>4113</v>
      </c>
      <c r="J12" s="473">
        <v>3854</v>
      </c>
      <c r="K12" s="469">
        <v>4524</v>
      </c>
      <c r="L12" s="469">
        <v>5252</v>
      </c>
      <c r="M12" s="469">
        <v>4671</v>
      </c>
      <c r="N12" s="469">
        <v>4748</v>
      </c>
      <c r="O12" s="469">
        <v>3874</v>
      </c>
      <c r="P12" s="469">
        <v>5384</v>
      </c>
      <c r="Q12" s="469">
        <v>3441</v>
      </c>
      <c r="R12" s="474">
        <v>2207</v>
      </c>
      <c r="S12" s="470">
        <v>4094</v>
      </c>
      <c r="T12" s="470">
        <v>5418</v>
      </c>
      <c r="U12" s="470">
        <v>2856</v>
      </c>
      <c r="V12" s="470">
        <v>3834</v>
      </c>
      <c r="W12" s="470">
        <v>2479</v>
      </c>
      <c r="X12" s="470">
        <v>2078</v>
      </c>
      <c r="Y12" s="470">
        <v>2130</v>
      </c>
      <c r="Z12" s="470">
        <v>3978</v>
      </c>
      <c r="AA12" s="470">
        <v>4716</v>
      </c>
      <c r="AB12" s="470">
        <v>2609</v>
      </c>
      <c r="AC12" s="470">
        <v>2079</v>
      </c>
      <c r="AD12" s="482">
        <v>3773</v>
      </c>
      <c r="AE12" s="476" t="s">
        <v>803</v>
      </c>
    </row>
    <row r="13" spans="1:31" ht="26.4">
      <c r="A13" s="473" t="s">
        <v>804</v>
      </c>
      <c r="B13" s="473">
        <v>2078</v>
      </c>
      <c r="C13" s="473">
        <v>2471</v>
      </c>
      <c r="D13" s="473">
        <v>1346</v>
      </c>
      <c r="E13" s="473">
        <v>2152</v>
      </c>
      <c r="F13" s="473">
        <v>2396</v>
      </c>
      <c r="G13" s="473">
        <v>3265</v>
      </c>
      <c r="H13" s="473">
        <v>3813</v>
      </c>
      <c r="I13" s="473">
        <v>1575</v>
      </c>
      <c r="J13" s="473">
        <v>678</v>
      </c>
      <c r="K13" s="469">
        <v>583</v>
      </c>
      <c r="L13" s="469">
        <v>770</v>
      </c>
      <c r="M13" s="469">
        <v>459</v>
      </c>
      <c r="N13" s="469">
        <v>742</v>
      </c>
      <c r="O13" s="469">
        <v>1546</v>
      </c>
      <c r="P13" s="469">
        <v>1046</v>
      </c>
      <c r="Q13" s="469">
        <v>551</v>
      </c>
      <c r="R13" s="474">
        <v>693</v>
      </c>
      <c r="S13" s="470">
        <v>836</v>
      </c>
      <c r="T13" s="470">
        <v>2614</v>
      </c>
      <c r="U13" s="470">
        <v>2192</v>
      </c>
      <c r="V13" s="470">
        <v>3418</v>
      </c>
      <c r="W13" s="470">
        <v>3698</v>
      </c>
      <c r="X13" s="470">
        <v>4678</v>
      </c>
      <c r="Y13" s="470">
        <v>2715</v>
      </c>
      <c r="Z13" s="470">
        <v>10260</v>
      </c>
      <c r="AA13" s="470">
        <v>36450</v>
      </c>
      <c r="AB13" s="470">
        <v>3980</v>
      </c>
      <c r="AC13" s="470">
        <v>1943</v>
      </c>
      <c r="AD13" s="482">
        <v>2569</v>
      </c>
      <c r="AE13" s="476" t="s">
        <v>805</v>
      </c>
    </row>
    <row r="14" spans="1:31" ht="26.4">
      <c r="A14" s="477" t="s">
        <v>1093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477"/>
      <c r="AB14" s="477"/>
      <c r="AC14" s="477"/>
      <c r="AD14" s="477"/>
      <c r="AE14" s="481" t="s">
        <v>1094</v>
      </c>
    </row>
    <row r="15" spans="1:31" ht="26.4">
      <c r="A15" s="479" t="s">
        <v>48</v>
      </c>
      <c r="B15" s="479">
        <v>172534</v>
      </c>
      <c r="C15" s="479">
        <v>159992</v>
      </c>
      <c r="D15" s="479">
        <v>131274</v>
      </c>
      <c r="E15" s="479">
        <v>82796</v>
      </c>
      <c r="F15" s="479">
        <v>87643</v>
      </c>
      <c r="G15" s="479">
        <v>90111</v>
      </c>
      <c r="H15" s="479">
        <v>115846</v>
      </c>
      <c r="I15" s="479">
        <v>118188</v>
      </c>
      <c r="J15" s="479">
        <v>114228</v>
      </c>
      <c r="K15" s="474">
        <v>151994</v>
      </c>
      <c r="L15" s="474">
        <v>143031</v>
      </c>
      <c r="M15" s="474">
        <v>268500</v>
      </c>
      <c r="N15" s="474">
        <v>197987</v>
      </c>
      <c r="O15" s="474">
        <v>219031</v>
      </c>
      <c r="P15" s="474">
        <v>222542</v>
      </c>
      <c r="Q15" s="474">
        <v>192937</v>
      </c>
      <c r="R15" s="474">
        <v>300541</v>
      </c>
      <c r="S15" s="474">
        <v>344081</v>
      </c>
      <c r="T15" s="474">
        <v>241654</v>
      </c>
      <c r="U15" s="474">
        <v>274038</v>
      </c>
      <c r="V15" s="474">
        <v>268064</v>
      </c>
      <c r="W15" s="474">
        <v>303198</v>
      </c>
      <c r="X15" s="474">
        <v>415647</v>
      </c>
      <c r="Y15" s="474">
        <v>497735</v>
      </c>
      <c r="Z15" s="474">
        <v>507557</v>
      </c>
      <c r="AA15" s="474">
        <v>345469</v>
      </c>
      <c r="AB15" s="474">
        <v>458598</v>
      </c>
      <c r="AC15" s="474">
        <v>613981</v>
      </c>
      <c r="AD15" s="482">
        <v>439432</v>
      </c>
      <c r="AE15" s="480" t="s">
        <v>4</v>
      </c>
    </row>
    <row r="16" spans="1:31" ht="26.4">
      <c r="A16" s="163" t="s">
        <v>73</v>
      </c>
      <c r="B16" s="163">
        <v>13112</v>
      </c>
      <c r="C16" s="163">
        <v>18841</v>
      </c>
      <c r="D16" s="163">
        <v>12257</v>
      </c>
      <c r="E16" s="163">
        <v>8869</v>
      </c>
      <c r="F16" s="163">
        <v>7981</v>
      </c>
      <c r="G16" s="163">
        <v>13194</v>
      </c>
      <c r="H16" s="163">
        <v>15338</v>
      </c>
      <c r="I16" s="163">
        <v>14029</v>
      </c>
      <c r="J16" s="163">
        <v>8668</v>
      </c>
      <c r="K16" s="469">
        <v>7814</v>
      </c>
      <c r="L16" s="469">
        <v>7150</v>
      </c>
      <c r="M16" s="469">
        <v>115846</v>
      </c>
      <c r="N16" s="469">
        <v>18659</v>
      </c>
      <c r="O16" s="469">
        <v>10723</v>
      </c>
      <c r="P16" s="469">
        <v>7765</v>
      </c>
      <c r="Q16" s="469">
        <v>13566</v>
      </c>
      <c r="R16" s="474">
        <v>15049</v>
      </c>
      <c r="S16" s="474">
        <f>11318+2768</f>
        <v>14086</v>
      </c>
      <c r="T16" s="474">
        <v>19512</v>
      </c>
      <c r="U16" s="474">
        <f>16240+5919</f>
        <v>22159</v>
      </c>
      <c r="V16" s="474">
        <f>12569+4630</f>
        <v>17199</v>
      </c>
      <c r="W16" s="474">
        <v>22227</v>
      </c>
      <c r="X16" s="474">
        <v>21641</v>
      </c>
      <c r="Y16" s="474">
        <v>26766</v>
      </c>
      <c r="Z16" s="474">
        <v>19155</v>
      </c>
      <c r="AA16" s="474">
        <v>18044</v>
      </c>
      <c r="AB16" s="474">
        <v>26603</v>
      </c>
      <c r="AC16" s="474">
        <v>21304</v>
      </c>
      <c r="AD16" s="482">
        <v>19231</v>
      </c>
      <c r="AE16" s="471" t="s">
        <v>795</v>
      </c>
    </row>
    <row r="17" spans="1:31" ht="26.4">
      <c r="A17" s="166" t="s">
        <v>71</v>
      </c>
      <c r="B17" s="166">
        <v>485</v>
      </c>
      <c r="C17" s="166">
        <v>488</v>
      </c>
      <c r="D17" s="166">
        <v>545</v>
      </c>
      <c r="E17" s="166">
        <v>208</v>
      </c>
      <c r="F17" s="166">
        <v>461</v>
      </c>
      <c r="G17" s="166">
        <v>1355</v>
      </c>
      <c r="H17" s="166">
        <v>1725</v>
      </c>
      <c r="I17" s="166">
        <v>1840</v>
      </c>
      <c r="J17" s="166">
        <v>2162</v>
      </c>
      <c r="K17" s="469">
        <v>2084</v>
      </c>
      <c r="L17" s="469">
        <v>2717</v>
      </c>
      <c r="M17" s="469">
        <v>8107</v>
      </c>
      <c r="N17" s="469">
        <v>4327</v>
      </c>
      <c r="O17" s="469">
        <v>2837</v>
      </c>
      <c r="P17" s="469">
        <v>2583</v>
      </c>
      <c r="Q17" s="469">
        <v>2829</v>
      </c>
      <c r="R17" s="474">
        <v>4749</v>
      </c>
      <c r="S17" s="474">
        <v>3354</v>
      </c>
      <c r="T17" s="474">
        <v>5788</v>
      </c>
      <c r="U17" s="474">
        <v>14592</v>
      </c>
      <c r="V17" s="474">
        <v>14967</v>
      </c>
      <c r="W17" s="474">
        <v>18172</v>
      </c>
      <c r="X17" s="474">
        <v>12888</v>
      </c>
      <c r="Y17" s="474">
        <v>28924</v>
      </c>
      <c r="Z17" s="474">
        <v>26666</v>
      </c>
      <c r="AA17" s="474">
        <v>48268</v>
      </c>
      <c r="AB17" s="474">
        <v>61939</v>
      </c>
      <c r="AC17" s="474">
        <v>95492</v>
      </c>
      <c r="AD17" s="482">
        <v>56231</v>
      </c>
      <c r="AE17" s="472" t="s">
        <v>796</v>
      </c>
    </row>
    <row r="18" spans="1:31" ht="26.4">
      <c r="A18" s="166" t="s">
        <v>77</v>
      </c>
      <c r="B18" s="166">
        <v>315</v>
      </c>
      <c r="C18" s="166">
        <v>883</v>
      </c>
      <c r="D18" s="166">
        <v>1448</v>
      </c>
      <c r="E18" s="166">
        <v>1249</v>
      </c>
      <c r="F18" s="166">
        <v>1074</v>
      </c>
      <c r="G18" s="166">
        <v>3732</v>
      </c>
      <c r="H18" s="166">
        <v>5521</v>
      </c>
      <c r="I18" s="166">
        <v>6451</v>
      </c>
      <c r="J18" s="166">
        <v>6039</v>
      </c>
      <c r="K18" s="469">
        <v>3926</v>
      </c>
      <c r="L18" s="469">
        <v>3606</v>
      </c>
      <c r="M18" s="469">
        <v>2345</v>
      </c>
      <c r="N18" s="469">
        <v>5645</v>
      </c>
      <c r="O18" s="469">
        <v>2686</v>
      </c>
      <c r="P18" s="469">
        <v>1770</v>
      </c>
      <c r="Q18" s="469">
        <v>2911</v>
      </c>
      <c r="R18" s="474">
        <v>5486</v>
      </c>
      <c r="S18" s="474">
        <v>4355</v>
      </c>
      <c r="T18" s="474">
        <v>4508</v>
      </c>
      <c r="U18" s="474">
        <v>4193</v>
      </c>
      <c r="V18" s="474">
        <v>4664</v>
      </c>
      <c r="W18" s="474">
        <v>4317</v>
      </c>
      <c r="X18" s="474">
        <v>4217</v>
      </c>
      <c r="Y18" s="474">
        <v>3369</v>
      </c>
      <c r="Z18" s="474">
        <v>4399</v>
      </c>
      <c r="AA18" s="474">
        <v>3582</v>
      </c>
      <c r="AB18" s="474">
        <v>3635</v>
      </c>
      <c r="AC18" s="474">
        <v>4061</v>
      </c>
      <c r="AD18" s="482">
        <v>3315</v>
      </c>
      <c r="AE18" s="478" t="s">
        <v>797</v>
      </c>
    </row>
    <row r="19" spans="1:31" ht="26.4">
      <c r="A19" s="166" t="s">
        <v>798</v>
      </c>
      <c r="B19" s="166"/>
      <c r="C19" s="166"/>
      <c r="D19" s="166"/>
      <c r="E19" s="166"/>
      <c r="F19" s="166"/>
      <c r="G19" s="166"/>
      <c r="H19" s="166"/>
      <c r="I19" s="166"/>
      <c r="J19" s="166"/>
      <c r="K19" s="469"/>
      <c r="L19" s="469"/>
      <c r="M19" s="469"/>
      <c r="N19" s="469"/>
      <c r="O19" s="469"/>
      <c r="P19" s="469"/>
      <c r="Q19" s="469">
        <v>4488</v>
      </c>
      <c r="R19" s="474">
        <v>11151</v>
      </c>
      <c r="S19" s="474">
        <v>7287</v>
      </c>
      <c r="T19" s="474">
        <v>12503</v>
      </c>
      <c r="U19" s="474">
        <v>5448</v>
      </c>
      <c r="V19" s="474">
        <v>2822</v>
      </c>
      <c r="W19" s="474">
        <v>3408</v>
      </c>
      <c r="X19" s="474">
        <v>2766</v>
      </c>
      <c r="Y19" s="474">
        <v>7341</v>
      </c>
      <c r="Z19" s="474">
        <v>10735</v>
      </c>
      <c r="AA19" s="474">
        <v>6264</v>
      </c>
      <c r="AB19" s="474">
        <v>11941</v>
      </c>
      <c r="AC19" s="474">
        <v>13041</v>
      </c>
      <c r="AD19" s="482">
        <v>28644</v>
      </c>
      <c r="AE19" s="471" t="s">
        <v>799</v>
      </c>
    </row>
    <row r="20" spans="1:31" ht="26.4">
      <c r="A20" s="163" t="s">
        <v>801</v>
      </c>
      <c r="B20" s="163">
        <v>158622</v>
      </c>
      <c r="C20" s="163">
        <v>139780</v>
      </c>
      <c r="D20" s="163">
        <v>117024</v>
      </c>
      <c r="E20" s="163">
        <v>72470</v>
      </c>
      <c r="F20" s="163">
        <v>78127</v>
      </c>
      <c r="G20" s="163">
        <v>71830</v>
      </c>
      <c r="H20" s="163">
        <v>93262</v>
      </c>
      <c r="I20" s="163">
        <v>95868</v>
      </c>
      <c r="J20" s="163">
        <v>97359</v>
      </c>
      <c r="K20" s="469">
        <v>138170</v>
      </c>
      <c r="L20" s="469">
        <v>129558</v>
      </c>
      <c r="M20" s="469">
        <v>142202</v>
      </c>
      <c r="N20" s="469">
        <v>169356</v>
      </c>
      <c r="O20" s="469">
        <v>202784</v>
      </c>
      <c r="P20" s="469">
        <v>210424</v>
      </c>
      <c r="Q20" s="469">
        <v>169143</v>
      </c>
      <c r="R20" s="474">
        <v>264106</v>
      </c>
      <c r="S20" s="474">
        <v>314999</v>
      </c>
      <c r="T20" s="474">
        <v>199343</v>
      </c>
      <c r="U20" s="474">
        <v>227646</v>
      </c>
      <c r="V20" s="474">
        <v>228412</v>
      </c>
      <c r="W20" s="474">
        <v>255074</v>
      </c>
      <c r="X20" s="474">
        <v>374135</v>
      </c>
      <c r="Y20" s="474">
        <v>427144</v>
      </c>
      <c r="Z20" s="474">
        <v>442118</v>
      </c>
      <c r="AA20" s="474">
        <v>269311</v>
      </c>
      <c r="AB20" s="474">
        <v>346412</v>
      </c>
      <c r="AC20" s="474"/>
      <c r="AD20" s="482">
        <v>332011</v>
      </c>
      <c r="AE20" s="471" t="s">
        <v>76</v>
      </c>
    </row>
    <row r="21" spans="1:31" ht="26.4">
      <c r="A21" s="473" t="s">
        <v>113</v>
      </c>
      <c r="B21" s="473">
        <v>137979</v>
      </c>
      <c r="C21" s="473">
        <v>114068</v>
      </c>
      <c r="D21" s="473">
        <v>99220</v>
      </c>
      <c r="E21" s="473">
        <v>52005</v>
      </c>
      <c r="F21" s="473">
        <v>56045</v>
      </c>
      <c r="G21" s="473">
        <v>45732</v>
      </c>
      <c r="H21" s="473">
        <v>65804</v>
      </c>
      <c r="I21" s="473">
        <v>81227</v>
      </c>
      <c r="J21" s="473">
        <v>84692</v>
      </c>
      <c r="K21" s="469">
        <v>125139</v>
      </c>
      <c r="L21" s="469">
        <v>114128</v>
      </c>
      <c r="M21" s="469">
        <v>129770</v>
      </c>
      <c r="N21" s="469">
        <v>147150</v>
      </c>
      <c r="O21" s="469">
        <v>173609</v>
      </c>
      <c r="P21" s="469">
        <v>192236</v>
      </c>
      <c r="Q21" s="469">
        <v>157724</v>
      </c>
      <c r="R21" s="474">
        <v>249405</v>
      </c>
      <c r="S21" s="474">
        <v>291375</v>
      </c>
      <c r="T21" s="474">
        <v>168653</v>
      </c>
      <c r="U21" s="474">
        <v>203043</v>
      </c>
      <c r="V21" s="474">
        <v>197989</v>
      </c>
      <c r="W21" s="474">
        <v>225984</v>
      </c>
      <c r="X21" s="474">
        <v>335531</v>
      </c>
      <c r="Y21" s="474">
        <v>394272</v>
      </c>
      <c r="Z21" s="474">
        <v>360930</v>
      </c>
      <c r="AA21" s="474">
        <v>229077</v>
      </c>
      <c r="AB21" s="474">
        <v>312978</v>
      </c>
      <c r="AC21" s="474">
        <v>460270</v>
      </c>
      <c r="AD21" s="482">
        <v>297626</v>
      </c>
      <c r="AE21" s="475" t="s">
        <v>802</v>
      </c>
    </row>
    <row r="22" spans="1:31" ht="26.4">
      <c r="A22" s="473" t="s">
        <v>115</v>
      </c>
      <c r="B22" s="473">
        <v>12605</v>
      </c>
      <c r="C22" s="473">
        <v>14410</v>
      </c>
      <c r="D22" s="473">
        <v>10171</v>
      </c>
      <c r="E22" s="473">
        <v>9439</v>
      </c>
      <c r="F22" s="473">
        <v>12092</v>
      </c>
      <c r="G22" s="473">
        <v>11957</v>
      </c>
      <c r="H22" s="473">
        <v>14106</v>
      </c>
      <c r="I22" s="473">
        <v>8437</v>
      </c>
      <c r="J22" s="473">
        <v>9670</v>
      </c>
      <c r="K22" s="469">
        <v>9944</v>
      </c>
      <c r="L22" s="469">
        <v>11014</v>
      </c>
      <c r="M22" s="469">
        <v>10082</v>
      </c>
      <c r="N22" s="469">
        <v>16219</v>
      </c>
      <c r="O22" s="469">
        <v>14301</v>
      </c>
      <c r="P22" s="469">
        <v>13623</v>
      </c>
      <c r="Q22" s="469">
        <v>9079</v>
      </c>
      <c r="R22" s="474">
        <v>9868</v>
      </c>
      <c r="S22" s="474">
        <v>17479</v>
      </c>
      <c r="T22" s="474">
        <v>15828</v>
      </c>
      <c r="U22" s="474">
        <v>9984</v>
      </c>
      <c r="V22" s="474">
        <v>10864</v>
      </c>
      <c r="W22" s="474">
        <v>7435</v>
      </c>
      <c r="X22" s="474">
        <v>8273</v>
      </c>
      <c r="Y22" s="474">
        <v>10858</v>
      </c>
      <c r="Z22" s="474">
        <v>15477</v>
      </c>
      <c r="AA22" s="474">
        <v>13965</v>
      </c>
      <c r="AB22" s="474">
        <v>8860</v>
      </c>
      <c r="AC22" s="474">
        <v>7268</v>
      </c>
      <c r="AD22" s="482">
        <v>15205</v>
      </c>
      <c r="AE22" s="476" t="s">
        <v>803</v>
      </c>
    </row>
    <row r="23" spans="1:31" ht="26.4">
      <c r="A23" s="473" t="s">
        <v>804</v>
      </c>
      <c r="B23" s="473">
        <v>8038</v>
      </c>
      <c r="C23" s="473">
        <v>11302</v>
      </c>
      <c r="D23" s="473">
        <v>7633</v>
      </c>
      <c r="E23" s="473">
        <v>11026</v>
      </c>
      <c r="F23" s="473">
        <v>9990</v>
      </c>
      <c r="G23" s="473">
        <v>14141</v>
      </c>
      <c r="H23" s="473">
        <v>13352</v>
      </c>
      <c r="I23" s="473">
        <v>6204</v>
      </c>
      <c r="J23" s="473">
        <v>2997</v>
      </c>
      <c r="K23" s="469">
        <v>3087</v>
      </c>
      <c r="L23" s="469">
        <v>4416</v>
      </c>
      <c r="M23" s="469">
        <v>2350</v>
      </c>
      <c r="N23" s="469">
        <v>5987</v>
      </c>
      <c r="O23" s="469">
        <v>14874</v>
      </c>
      <c r="P23" s="469">
        <v>4565</v>
      </c>
      <c r="Q23" s="469">
        <v>2340</v>
      </c>
      <c r="R23" s="474">
        <v>4833</v>
      </c>
      <c r="S23" s="474">
        <v>6145</v>
      </c>
      <c r="T23" s="474">
        <v>14862</v>
      </c>
      <c r="U23" s="474">
        <v>14619</v>
      </c>
      <c r="V23" s="474">
        <v>19559</v>
      </c>
      <c r="W23" s="474">
        <v>21655</v>
      </c>
      <c r="X23" s="474">
        <v>30331</v>
      </c>
      <c r="Y23" s="474">
        <v>22014</v>
      </c>
      <c r="Z23" s="474">
        <v>65711</v>
      </c>
      <c r="AA23" s="474">
        <v>26269</v>
      </c>
      <c r="AB23" s="474">
        <v>24574</v>
      </c>
      <c r="AC23" s="474">
        <v>12545</v>
      </c>
      <c r="AD23" s="482">
        <v>19180</v>
      </c>
      <c r="AE23" s="476" t="s">
        <v>118</v>
      </c>
    </row>
    <row r="24" spans="1:31" ht="27.6" thickBot="1">
      <c r="A24" s="15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4"/>
    </row>
    <row r="25" spans="1:31" ht="27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55" t="s">
        <v>806</v>
      </c>
    </row>
    <row r="26" spans="1:31" ht="27">
      <c r="A26" s="156" t="s">
        <v>807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49"/>
      <c r="R26" s="149"/>
      <c r="S26" s="149"/>
      <c r="T26" s="149"/>
      <c r="U26" s="149"/>
      <c r="V26" s="149"/>
      <c r="W26" s="157"/>
      <c r="X26" s="157"/>
      <c r="Y26" s="157"/>
      <c r="Z26" s="157"/>
      <c r="AA26" s="157"/>
      <c r="AB26" s="157"/>
      <c r="AC26" s="157"/>
      <c r="AD26" s="157"/>
      <c r="AE26" s="158"/>
    </row>
    <row r="27" spans="1:31" ht="27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58"/>
    </row>
    <row r="29" spans="1:31" ht="27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38" t="s">
        <v>1565</v>
      </c>
    </row>
    <row r="30" spans="1:31" ht="27">
      <c r="A30" s="145" t="s">
        <v>1564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59"/>
    </row>
    <row r="31" spans="1:31" ht="27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58"/>
    </row>
    <row r="32" spans="1:31" ht="30">
      <c r="A32" s="446" t="s">
        <v>808</v>
      </c>
      <c r="B32" s="446">
        <v>1995</v>
      </c>
      <c r="C32" s="446">
        <v>1996</v>
      </c>
      <c r="D32" s="446">
        <v>1997</v>
      </c>
      <c r="E32" s="446">
        <v>1998</v>
      </c>
      <c r="F32" s="446">
        <v>1999</v>
      </c>
      <c r="G32" s="446">
        <v>2000</v>
      </c>
      <c r="H32" s="446">
        <v>2001</v>
      </c>
      <c r="I32" s="446">
        <v>2002</v>
      </c>
      <c r="J32" s="446">
        <v>2003</v>
      </c>
      <c r="K32" s="446">
        <v>2004</v>
      </c>
      <c r="L32" s="446">
        <v>2005</v>
      </c>
      <c r="M32" s="446">
        <v>2006</v>
      </c>
      <c r="N32" s="446">
        <v>2007</v>
      </c>
      <c r="O32" s="446">
        <v>2008</v>
      </c>
      <c r="P32" s="446">
        <v>2009</v>
      </c>
      <c r="Q32" s="446">
        <v>2010</v>
      </c>
      <c r="R32" s="446">
        <v>2011</v>
      </c>
      <c r="S32" s="446">
        <v>2012</v>
      </c>
      <c r="T32" s="446">
        <v>2013</v>
      </c>
      <c r="U32" s="446">
        <v>2014</v>
      </c>
      <c r="V32" s="446">
        <v>2015</v>
      </c>
      <c r="W32" s="446">
        <v>2016</v>
      </c>
      <c r="X32" s="446">
        <v>2017</v>
      </c>
      <c r="Y32" s="446">
        <v>2018</v>
      </c>
      <c r="Z32" s="446">
        <v>2019</v>
      </c>
      <c r="AA32" s="446">
        <v>2020</v>
      </c>
      <c r="AB32" s="446">
        <v>2021</v>
      </c>
      <c r="AC32" s="446">
        <v>2022</v>
      </c>
      <c r="AD32" s="446">
        <v>2023</v>
      </c>
      <c r="AE32" s="446" t="s">
        <v>794</v>
      </c>
    </row>
    <row r="33" spans="1:31" ht="26.4">
      <c r="A33" s="486" t="s">
        <v>48</v>
      </c>
      <c r="B33" s="487">
        <f t="shared" ref="B33:P33" si="0">B34+B36+B38</f>
        <v>42887</v>
      </c>
      <c r="C33" s="487">
        <f t="shared" si="0"/>
        <v>42104</v>
      </c>
      <c r="D33" s="487">
        <f t="shared" si="0"/>
        <v>34487</v>
      </c>
      <c r="E33" s="487">
        <f t="shared" si="0"/>
        <v>27428</v>
      </c>
      <c r="F33" s="487">
        <f t="shared" si="0"/>
        <v>33245</v>
      </c>
      <c r="G33" s="487">
        <f t="shared" si="0"/>
        <v>39273</v>
      </c>
      <c r="H33" s="487">
        <f t="shared" si="0"/>
        <v>48092</v>
      </c>
      <c r="I33" s="487">
        <f t="shared" si="0"/>
        <v>40255</v>
      </c>
      <c r="J33" s="487">
        <f t="shared" si="0"/>
        <v>34610</v>
      </c>
      <c r="K33" s="487">
        <f t="shared" si="0"/>
        <v>39311</v>
      </c>
      <c r="L33" s="487">
        <f t="shared" si="0"/>
        <v>42753</v>
      </c>
      <c r="M33" s="469">
        <f t="shared" si="0"/>
        <v>43084</v>
      </c>
      <c r="N33" s="469">
        <f t="shared" si="0"/>
        <v>43884</v>
      </c>
      <c r="O33" s="469">
        <f t="shared" si="0"/>
        <v>37341</v>
      </c>
      <c r="P33" s="469">
        <f t="shared" si="0"/>
        <v>56949</v>
      </c>
      <c r="Q33" s="469">
        <v>42673</v>
      </c>
      <c r="R33" s="470">
        <v>47628</v>
      </c>
      <c r="S33" s="470">
        <v>56809</v>
      </c>
      <c r="T33" s="470">
        <v>66759</v>
      </c>
      <c r="U33" s="470">
        <v>62556</v>
      </c>
      <c r="V33" s="470">
        <v>80119</v>
      </c>
      <c r="W33" s="470">
        <v>90849</v>
      </c>
      <c r="X33" s="470">
        <v>91657</v>
      </c>
      <c r="Y33" s="470">
        <v>111530</v>
      </c>
      <c r="Z33" s="470">
        <v>123395</v>
      </c>
      <c r="AA33" s="470"/>
      <c r="AB33" s="470"/>
      <c r="AC33" s="470">
        <v>156149</v>
      </c>
      <c r="AD33" s="470">
        <v>152719</v>
      </c>
      <c r="AE33" s="480" t="s">
        <v>4</v>
      </c>
    </row>
    <row r="34" spans="1:31" ht="26.4">
      <c r="A34" s="489" t="s">
        <v>701</v>
      </c>
      <c r="B34" s="487">
        <v>20126</v>
      </c>
      <c r="C34" s="487">
        <v>22457</v>
      </c>
      <c r="D34" s="487">
        <v>18344</v>
      </c>
      <c r="E34" s="487">
        <v>15961</v>
      </c>
      <c r="F34" s="487">
        <v>16789</v>
      </c>
      <c r="G34" s="487">
        <v>22548</v>
      </c>
      <c r="H34" s="487">
        <v>32707</v>
      </c>
      <c r="I34" s="487">
        <v>26599</v>
      </c>
      <c r="J34" s="487">
        <v>24453</v>
      </c>
      <c r="K34" s="487">
        <v>20932</v>
      </c>
      <c r="L34" s="487">
        <v>20353</v>
      </c>
      <c r="M34" s="469">
        <v>20278</v>
      </c>
      <c r="N34" s="469">
        <v>21061</v>
      </c>
      <c r="O34" s="469">
        <v>14234</v>
      </c>
      <c r="P34" s="469">
        <v>25440</v>
      </c>
      <c r="Q34" s="469">
        <v>16593</v>
      </c>
      <c r="R34" s="470">
        <v>21163</v>
      </c>
      <c r="S34" s="470">
        <v>20709</v>
      </c>
      <c r="T34" s="470">
        <v>20374</v>
      </c>
      <c r="U34" s="470">
        <v>24890</v>
      </c>
      <c r="V34" s="470">
        <v>26858</v>
      </c>
      <c r="W34" s="470">
        <v>28157</v>
      </c>
      <c r="X34" s="470">
        <v>33451</v>
      </c>
      <c r="Y34" s="470">
        <v>30311</v>
      </c>
      <c r="Z34" s="470">
        <v>40875</v>
      </c>
      <c r="AA34" s="470">
        <v>30734</v>
      </c>
      <c r="AB34" s="470">
        <v>30912</v>
      </c>
      <c r="AC34" s="470">
        <v>34155</v>
      </c>
      <c r="AD34" s="470">
        <v>29813</v>
      </c>
      <c r="AE34" s="490" t="s">
        <v>702</v>
      </c>
    </row>
    <row r="35" spans="1:31" ht="26.4">
      <c r="A35" s="491" t="s">
        <v>809</v>
      </c>
      <c r="B35" s="492">
        <f t="shared" ref="B35:K35" ca="1" si="1">+B34/B$37</f>
        <v>0.46927973511786786</v>
      </c>
      <c r="C35" s="492">
        <f t="shared" ca="1" si="1"/>
        <v>0.53336975109253282</v>
      </c>
      <c r="D35" s="492">
        <f t="shared" ca="1" si="1"/>
        <v>0.53191057499927508</v>
      </c>
      <c r="E35" s="492">
        <f t="shared" ca="1" si="1"/>
        <v>0.58192358174128622</v>
      </c>
      <c r="F35" s="492">
        <f t="shared" ca="1" si="1"/>
        <v>0.50500827192058961</v>
      </c>
      <c r="G35" s="492">
        <f t="shared" ca="1" si="1"/>
        <v>0.57413490184095939</v>
      </c>
      <c r="H35" s="492">
        <f t="shared" ca="1" si="1"/>
        <v>0.68009232304749234</v>
      </c>
      <c r="I35" s="492">
        <f t="shared" ca="1" si="1"/>
        <v>0.66076263818159231</v>
      </c>
      <c r="J35" s="492">
        <f t="shared" ca="1" si="1"/>
        <v>0.70652990465183474</v>
      </c>
      <c r="K35" s="492">
        <f t="shared" ca="1" si="1"/>
        <v>0.53247182722393227</v>
      </c>
      <c r="L35" s="493">
        <f ca="1">+L34/L$37</f>
        <v>0</v>
      </c>
      <c r="M35" s="494">
        <v>0.47066196267756011</v>
      </c>
      <c r="N35" s="494">
        <v>0.47992434600309908</v>
      </c>
      <c r="O35" s="494">
        <v>0.38119999999999998</v>
      </c>
      <c r="P35" s="494">
        <v>0.44669999999999999</v>
      </c>
      <c r="Q35" s="494">
        <v>0.34460000000000002</v>
      </c>
      <c r="R35" s="495">
        <f>R34/$R$33</f>
        <v>0.444339464180734</v>
      </c>
      <c r="S35" s="495">
        <f>S34/$S$33</f>
        <v>0.36453730922917144</v>
      </c>
      <c r="T35" s="495">
        <f>T34/$T$33</f>
        <v>0.30518731556793843</v>
      </c>
      <c r="U35" s="495">
        <f>U34/$U$33</f>
        <v>0.39788349638723702</v>
      </c>
      <c r="V35" s="495">
        <f>V34/$V$33</f>
        <v>0.33522635080318025</v>
      </c>
      <c r="W35" s="495">
        <f>W34/$W$33</f>
        <v>0.30993186496274039</v>
      </c>
      <c r="X35" s="495">
        <f>X34/$W$33</f>
        <v>0.36820438309722725</v>
      </c>
      <c r="Y35" s="495">
        <v>0.27179999999999999</v>
      </c>
      <c r="Z35" s="495">
        <v>0.33129999999999998</v>
      </c>
      <c r="AA35" s="495"/>
      <c r="AB35" s="495"/>
      <c r="AC35" s="497">
        <v>0.19900000000000001</v>
      </c>
      <c r="AD35" s="497">
        <v>0.19500000000000001</v>
      </c>
      <c r="AE35" s="476" t="s">
        <v>810</v>
      </c>
    </row>
    <row r="36" spans="1:31" ht="26.4">
      <c r="A36" s="489" t="s">
        <v>673</v>
      </c>
      <c r="B36" s="487">
        <v>21554</v>
      </c>
      <c r="C36" s="487">
        <v>18707</v>
      </c>
      <c r="D36" s="487">
        <v>15188</v>
      </c>
      <c r="E36" s="487">
        <v>11060</v>
      </c>
      <c r="F36" s="487">
        <v>15701</v>
      </c>
      <c r="G36" s="487">
        <v>14537</v>
      </c>
      <c r="H36" s="487">
        <v>12041</v>
      </c>
      <c r="I36" s="487">
        <v>9580</v>
      </c>
      <c r="J36" s="487">
        <v>7022</v>
      </c>
      <c r="K36" s="487">
        <v>13976</v>
      </c>
      <c r="L36" s="487">
        <v>16078</v>
      </c>
      <c r="M36" s="469">
        <v>17566</v>
      </c>
      <c r="N36" s="469">
        <v>16396</v>
      </c>
      <c r="O36" s="469">
        <v>19224</v>
      </c>
      <c r="P36" s="469">
        <v>27401</v>
      </c>
      <c r="Q36" s="469">
        <v>16538</v>
      </c>
      <c r="R36" s="470">
        <v>14983</v>
      </c>
      <c r="S36" s="470">
        <v>23162</v>
      </c>
      <c r="T36" s="470">
        <v>19531</v>
      </c>
      <c r="U36" s="470">
        <v>12290</v>
      </c>
      <c r="V36" s="470">
        <v>13934</v>
      </c>
      <c r="W36" s="470">
        <v>13879</v>
      </c>
      <c r="X36" s="470">
        <v>14503</v>
      </c>
      <c r="Y36" s="470">
        <v>9661</v>
      </c>
      <c r="Z36" s="470">
        <v>12930</v>
      </c>
      <c r="AA36" s="470">
        <v>10041</v>
      </c>
      <c r="AB36" s="470">
        <v>5638</v>
      </c>
      <c r="AC36" s="470">
        <v>11370</v>
      </c>
      <c r="AD36" s="470">
        <v>11944</v>
      </c>
      <c r="AE36" s="490" t="s">
        <v>674</v>
      </c>
    </row>
    <row r="37" spans="1:31" ht="26.4">
      <c r="A37" s="491" t="s">
        <v>809</v>
      </c>
      <c r="B37" s="492">
        <f t="shared" ref="B37:L37" ca="1" si="2">+B36/B$37</f>
        <v>0.50257653834495297</v>
      </c>
      <c r="C37" s="492">
        <f t="shared" ca="1" si="2"/>
        <v>0.44430457913737414</v>
      </c>
      <c r="D37" s="492">
        <f t="shared" ca="1" si="2"/>
        <v>0.44039783106677877</v>
      </c>
      <c r="E37" s="492">
        <f t="shared" ca="1" si="2"/>
        <v>0.40323756744932188</v>
      </c>
      <c r="F37" s="492">
        <f t="shared" ca="1" si="2"/>
        <v>0.47228154609715745</v>
      </c>
      <c r="G37" s="492">
        <f t="shared" ca="1" si="2"/>
        <v>0.37015252208896698</v>
      </c>
      <c r="H37" s="492">
        <f t="shared" ca="1" si="2"/>
        <v>0.2503742826249688</v>
      </c>
      <c r="I37" s="492">
        <f t="shared" ca="1" si="2"/>
        <v>0.23798285927214011</v>
      </c>
      <c r="J37" s="492">
        <f t="shared" ca="1" si="2"/>
        <v>0.20288933834151979</v>
      </c>
      <c r="K37" s="492">
        <f t="shared" ca="1" si="2"/>
        <v>0.35552389916308413</v>
      </c>
      <c r="L37" s="493">
        <f t="shared" ca="1" si="2"/>
        <v>0.37606717657240429</v>
      </c>
      <c r="M37" s="494">
        <v>0.40799999999999997</v>
      </c>
      <c r="N37" s="494">
        <v>0.37362136541791996</v>
      </c>
      <c r="O37" s="494">
        <v>0.51480000000000004</v>
      </c>
      <c r="P37" s="494">
        <v>0.48110000000000003</v>
      </c>
      <c r="Q37" s="494">
        <v>0.34350000000000003</v>
      </c>
      <c r="R37" s="495">
        <f>R36/$R$33</f>
        <v>0.3145838582346519</v>
      </c>
      <c r="S37" s="495">
        <f>S36/$S$33</f>
        <v>0.40771708708127236</v>
      </c>
      <c r="T37" s="495">
        <f>T36/$T$33</f>
        <v>0.29255980467053133</v>
      </c>
      <c r="U37" s="495">
        <f>U36/$U$33</f>
        <v>0.19646396828441717</v>
      </c>
      <c r="V37" s="495">
        <f>V36/$V$33</f>
        <v>0.17391629950448709</v>
      </c>
      <c r="W37" s="495">
        <f>W36/$W$33</f>
        <v>0.15276998095741284</v>
      </c>
      <c r="X37" s="495">
        <f>X36/$W$33</f>
        <v>0.15963852106242227</v>
      </c>
      <c r="Y37" s="495" t="s">
        <v>811</v>
      </c>
      <c r="Z37" s="495">
        <v>0.1048</v>
      </c>
      <c r="AA37" s="495"/>
      <c r="AB37" s="495"/>
      <c r="AC37" s="497">
        <v>6.6000000000000003E-2</v>
      </c>
      <c r="AD37" s="497">
        <v>7.8E-2</v>
      </c>
      <c r="AE37" s="476" t="s">
        <v>810</v>
      </c>
    </row>
    <row r="38" spans="1:31" ht="26.4">
      <c r="A38" s="489" t="s">
        <v>654</v>
      </c>
      <c r="B38" s="487">
        <v>1207</v>
      </c>
      <c r="C38" s="487">
        <v>940</v>
      </c>
      <c r="D38" s="487">
        <v>955</v>
      </c>
      <c r="E38" s="487">
        <v>407</v>
      </c>
      <c r="F38" s="487">
        <v>755</v>
      </c>
      <c r="G38" s="487">
        <v>2188</v>
      </c>
      <c r="H38" s="487">
        <v>3344</v>
      </c>
      <c r="I38" s="487">
        <v>4076</v>
      </c>
      <c r="J38" s="487">
        <v>3135</v>
      </c>
      <c r="K38" s="487">
        <v>4403</v>
      </c>
      <c r="L38" s="487">
        <v>6322</v>
      </c>
      <c r="M38" s="469">
        <v>5240</v>
      </c>
      <c r="N38" s="469">
        <v>6427</v>
      </c>
      <c r="O38" s="469">
        <v>3883</v>
      </c>
      <c r="P38" s="469">
        <v>4108</v>
      </c>
      <c r="Q38" s="469">
        <v>9542</v>
      </c>
      <c r="R38" s="470">
        <v>5735</v>
      </c>
      <c r="S38" s="470">
        <v>4902</v>
      </c>
      <c r="T38" s="470">
        <v>6660</v>
      </c>
      <c r="U38" s="470">
        <v>9619</v>
      </c>
      <c r="V38" s="470">
        <v>26775</v>
      </c>
      <c r="W38" s="470">
        <v>34027</v>
      </c>
      <c r="X38" s="470">
        <v>32642</v>
      </c>
      <c r="Y38" s="470">
        <v>60384</v>
      </c>
      <c r="Z38" s="470">
        <v>52385</v>
      </c>
      <c r="AA38" s="470">
        <v>83265</v>
      </c>
      <c r="AB38" s="470">
        <v>112735</v>
      </c>
      <c r="AC38" s="470">
        <v>110624</v>
      </c>
      <c r="AD38" s="470">
        <v>110962</v>
      </c>
      <c r="AE38" s="490" t="s">
        <v>655</v>
      </c>
    </row>
    <row r="39" spans="1:31" ht="26.4">
      <c r="A39" s="473" t="s">
        <v>809</v>
      </c>
      <c r="B39" s="492">
        <f t="shared" ref="B39:L39" ca="1" si="3">+B38/B$37</f>
        <v>2.8143726537179097E-2</v>
      </c>
      <c r="C39" s="492">
        <f t="shared" ca="1" si="3"/>
        <v>2.2325669770093103E-2</v>
      </c>
      <c r="D39" s="492">
        <f t="shared" ca="1" si="3"/>
        <v>2.7691593933946126E-2</v>
      </c>
      <c r="E39" s="492">
        <f t="shared" ca="1" si="3"/>
        <v>1.4838850809391861E-2</v>
      </c>
      <c r="F39" s="492">
        <f t="shared" ca="1" si="3"/>
        <v>2.2710181982252969E-2</v>
      </c>
      <c r="G39" s="492">
        <f t="shared" ca="1" si="3"/>
        <v>5.5712576070073586E-2</v>
      </c>
      <c r="H39" s="492">
        <f t="shared" ca="1" si="3"/>
        <v>6.9533394327538883E-2</v>
      </c>
      <c r="I39" s="492">
        <f t="shared" ca="1" si="3"/>
        <v>0.10125450254626754</v>
      </c>
      <c r="J39" s="492">
        <f t="shared" ca="1" si="3"/>
        <v>9.0580757006645474E-2</v>
      </c>
      <c r="K39" s="492">
        <f t="shared" ca="1" si="3"/>
        <v>0.11200427361298364</v>
      </c>
      <c r="L39" s="493">
        <f t="shared" ca="1" si="3"/>
        <v>0.14787266390662643</v>
      </c>
      <c r="M39" s="494">
        <v>0.122</v>
      </c>
      <c r="N39" s="494">
        <v>0.14645428857898096</v>
      </c>
      <c r="O39" s="494">
        <v>0.104</v>
      </c>
      <c r="P39" s="494">
        <v>7.2099999999999997E-2</v>
      </c>
      <c r="Q39" s="494">
        <v>0.19819999999999999</v>
      </c>
      <c r="R39" s="495">
        <f>R38/$R$33</f>
        <v>0.12041236247585455</v>
      </c>
      <c r="S39" s="495">
        <f>S38/$S$33</f>
        <v>8.628914432572303E-2</v>
      </c>
      <c r="T39" s="495">
        <f>T38/$T$33</f>
        <v>9.9761829865636101E-2</v>
      </c>
      <c r="U39" s="495">
        <f>U38/$U$33</f>
        <v>0.15376622546198607</v>
      </c>
      <c r="V39" s="495">
        <f>V38/$V$33</f>
        <v>0.33419039179220911</v>
      </c>
      <c r="W39" s="495">
        <f>W38/$W$33</f>
        <v>0.3745445739633898</v>
      </c>
      <c r="X39" s="495">
        <f>X38/$W$33</f>
        <v>0.35929949696749552</v>
      </c>
      <c r="Y39" s="495" t="s">
        <v>812</v>
      </c>
      <c r="Z39" s="495">
        <v>0.42449999999999999</v>
      </c>
      <c r="AA39" s="495"/>
      <c r="AB39" s="495"/>
      <c r="AC39" s="497">
        <v>0.64300000000000002</v>
      </c>
      <c r="AD39" s="497">
        <v>0.72699999999999998</v>
      </c>
      <c r="AE39" s="496" t="s">
        <v>810</v>
      </c>
    </row>
    <row r="40" spans="1:31" ht="26.4">
      <c r="A40" s="484" t="s">
        <v>1095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485" t="s">
        <v>1094</v>
      </c>
    </row>
    <row r="41" spans="1:31" ht="26.4">
      <c r="A41" s="486" t="s">
        <v>48</v>
      </c>
      <c r="B41" s="487">
        <f t="shared" ref="B41:P41" si="4">B42+B44+B46</f>
        <v>172534</v>
      </c>
      <c r="C41" s="487">
        <f>C42+C44+C46</f>
        <v>159992</v>
      </c>
      <c r="D41" s="487">
        <f t="shared" si="4"/>
        <v>131274</v>
      </c>
      <c r="E41" s="487">
        <f t="shared" si="4"/>
        <v>82797</v>
      </c>
      <c r="F41" s="487">
        <f t="shared" si="4"/>
        <v>87643</v>
      </c>
      <c r="G41" s="487">
        <f t="shared" si="4"/>
        <v>90111</v>
      </c>
      <c r="H41" s="487">
        <f t="shared" si="4"/>
        <v>115847</v>
      </c>
      <c r="I41" s="487">
        <f t="shared" si="4"/>
        <v>118188</v>
      </c>
      <c r="J41" s="487">
        <f t="shared" si="4"/>
        <v>114228</v>
      </c>
      <c r="K41" s="487">
        <f t="shared" si="4"/>
        <v>151994</v>
      </c>
      <c r="L41" s="487">
        <f t="shared" si="4"/>
        <v>143031</v>
      </c>
      <c r="M41" s="469">
        <f t="shared" si="4"/>
        <v>160289</v>
      </c>
      <c r="N41" s="469">
        <f t="shared" si="4"/>
        <v>197987</v>
      </c>
      <c r="O41" s="469">
        <f t="shared" si="4"/>
        <v>219031</v>
      </c>
      <c r="P41" s="469">
        <f t="shared" si="4"/>
        <v>222542</v>
      </c>
      <c r="Q41" s="469">
        <v>186645</v>
      </c>
      <c r="R41" s="470">
        <v>300541</v>
      </c>
      <c r="S41" s="470">
        <v>344081</v>
      </c>
      <c r="T41" s="470">
        <v>241654</v>
      </c>
      <c r="U41" s="470">
        <v>274038</v>
      </c>
      <c r="V41" s="470">
        <v>268064</v>
      </c>
      <c r="W41" s="470">
        <v>303198</v>
      </c>
      <c r="X41" s="470">
        <v>416382</v>
      </c>
      <c r="Y41" s="470">
        <v>497735</v>
      </c>
      <c r="Z41" s="470">
        <v>507558</v>
      </c>
      <c r="AA41" s="470"/>
      <c r="AB41" s="470"/>
      <c r="AC41" s="470">
        <v>523315</v>
      </c>
      <c r="AD41" s="470">
        <v>408708</v>
      </c>
      <c r="AE41" s="488" t="s">
        <v>4</v>
      </c>
    </row>
    <row r="42" spans="1:31" ht="26.4">
      <c r="A42" s="489" t="s">
        <v>701</v>
      </c>
      <c r="B42" s="487">
        <v>53200</v>
      </c>
      <c r="C42" s="487">
        <v>49412</v>
      </c>
      <c r="D42" s="487">
        <v>45900</v>
      </c>
      <c r="E42" s="487">
        <v>37043</v>
      </c>
      <c r="F42" s="487">
        <v>36712</v>
      </c>
      <c r="G42" s="487">
        <v>46819</v>
      </c>
      <c r="H42" s="487">
        <v>76680</v>
      </c>
      <c r="I42" s="487">
        <v>71604</v>
      </c>
      <c r="J42" s="487">
        <v>74386</v>
      </c>
      <c r="K42" s="487">
        <v>59693</v>
      </c>
      <c r="L42" s="487">
        <v>53604</v>
      </c>
      <c r="M42" s="469">
        <v>68400</v>
      </c>
      <c r="N42" s="469">
        <v>85559</v>
      </c>
      <c r="O42" s="469">
        <v>74544</v>
      </c>
      <c r="P42" s="469">
        <v>87722</v>
      </c>
      <c r="Q42" s="469">
        <v>62881</v>
      </c>
      <c r="R42" s="470">
        <v>118431</v>
      </c>
      <c r="S42" s="470">
        <v>114853</v>
      </c>
      <c r="T42" s="470">
        <v>75502</v>
      </c>
      <c r="U42" s="470">
        <v>140630</v>
      </c>
      <c r="V42" s="470">
        <v>133569</v>
      </c>
      <c r="W42" s="470">
        <v>143244</v>
      </c>
      <c r="X42" s="470">
        <v>239890</v>
      </c>
      <c r="Y42" s="470">
        <v>294197</v>
      </c>
      <c r="Z42" s="470">
        <v>306981</v>
      </c>
      <c r="AA42" s="470">
        <v>186278</v>
      </c>
      <c r="AB42" s="470">
        <v>277579</v>
      </c>
      <c r="AC42" s="470">
        <v>342959</v>
      </c>
      <c r="AD42" s="470">
        <v>245634</v>
      </c>
      <c r="AE42" s="490" t="s">
        <v>702</v>
      </c>
    </row>
    <row r="43" spans="1:31" ht="26.4">
      <c r="A43" s="491" t="s">
        <v>809</v>
      </c>
      <c r="B43" s="492">
        <f t="shared" ref="B43:L43" ca="1" si="5">+B42/B$47</f>
        <v>0.30834502185076562</v>
      </c>
      <c r="C43" s="492">
        <f ca="1">+C42/C$47</f>
        <v>0.30884044202210109</v>
      </c>
      <c r="D43" s="492">
        <f t="shared" ca="1" si="5"/>
        <v>0.34965034965034963</v>
      </c>
      <c r="E43" s="492">
        <f t="shared" ca="1" si="5"/>
        <v>0.44739543703274276</v>
      </c>
      <c r="F43" s="492">
        <f t="shared" ca="1" si="5"/>
        <v>0.41888114281802313</v>
      </c>
      <c r="G43" s="492">
        <f t="shared" ca="1" si="5"/>
        <v>0.51957030773157553</v>
      </c>
      <c r="H43" s="492">
        <f t="shared" ca="1" si="5"/>
        <v>0.66190751594775865</v>
      </c>
      <c r="I43" s="492">
        <f t="shared" ca="1" si="5"/>
        <v>0.60584830947304291</v>
      </c>
      <c r="J43" s="492">
        <f t="shared" ca="1" si="5"/>
        <v>0.6512063592114018</v>
      </c>
      <c r="K43" s="492">
        <f t="shared" ca="1" si="5"/>
        <v>0.39273260786609998</v>
      </c>
      <c r="L43" s="493">
        <f t="shared" ca="1" si="5"/>
        <v>0.37477190259454246</v>
      </c>
      <c r="M43" s="494">
        <f>+M42/M$39</f>
        <v>560655.73770491802</v>
      </c>
      <c r="N43" s="494">
        <v>0.43214453474218006</v>
      </c>
      <c r="O43" s="494">
        <v>0.34029999999999999</v>
      </c>
      <c r="P43" s="494">
        <v>0.39419999999999999</v>
      </c>
      <c r="Q43" s="494">
        <v>0.32590000000000002</v>
      </c>
      <c r="R43" s="495">
        <f>R42/$R$41</f>
        <v>0.39405937958548087</v>
      </c>
      <c r="S43" s="495">
        <f>S42/$S$41</f>
        <v>0.33379640259125032</v>
      </c>
      <c r="T43" s="495">
        <f>T42/$T$41</f>
        <v>0.31243844504953361</v>
      </c>
      <c r="U43" s="495">
        <f>U42/$U$41</f>
        <v>0.5131770046489903</v>
      </c>
      <c r="V43" s="495">
        <f>V42/$V$41</f>
        <v>0.49827280052524769</v>
      </c>
      <c r="W43" s="495">
        <f>W42/$W$41</f>
        <v>0.47244374962895536</v>
      </c>
      <c r="X43" s="495">
        <f>X42/$W$41</f>
        <v>0.79119915039017408</v>
      </c>
      <c r="Y43" s="495">
        <v>0.59109999999999996</v>
      </c>
      <c r="Z43" s="495">
        <v>0.6048</v>
      </c>
      <c r="AA43" s="495"/>
      <c r="AB43" s="495"/>
      <c r="AC43" s="495">
        <v>0.59199999999999997</v>
      </c>
      <c r="AD43" s="495">
        <v>0.60099999999999998</v>
      </c>
      <c r="AE43" s="476" t="s">
        <v>810</v>
      </c>
    </row>
    <row r="44" spans="1:31" ht="26.4">
      <c r="A44" s="489" t="s">
        <v>673</v>
      </c>
      <c r="B44" s="487">
        <v>118866</v>
      </c>
      <c r="C44" s="487">
        <v>110099</v>
      </c>
      <c r="D44" s="487">
        <v>84883</v>
      </c>
      <c r="E44" s="487">
        <v>45547</v>
      </c>
      <c r="F44" s="487">
        <v>50506</v>
      </c>
      <c r="G44" s="487">
        <v>41938</v>
      </c>
      <c r="H44" s="487">
        <v>37442</v>
      </c>
      <c r="I44" s="487">
        <v>44744</v>
      </c>
      <c r="J44" s="487">
        <v>38560</v>
      </c>
      <c r="K44" s="487">
        <v>90482</v>
      </c>
      <c r="L44" s="487">
        <v>86741</v>
      </c>
      <c r="M44" s="469">
        <v>89627</v>
      </c>
      <c r="N44" s="469">
        <v>108166</v>
      </c>
      <c r="O44" s="469">
        <v>141823</v>
      </c>
      <c r="P44" s="469">
        <v>132402</v>
      </c>
      <c r="Q44" s="469">
        <v>116652</v>
      </c>
      <c r="R44" s="470">
        <v>162030</v>
      </c>
      <c r="S44" s="470">
        <v>193231</v>
      </c>
      <c r="T44" s="470">
        <v>105571</v>
      </c>
      <c r="U44" s="470">
        <v>89694</v>
      </c>
      <c r="V44" s="470">
        <v>81898</v>
      </c>
      <c r="W44" s="470">
        <v>98192</v>
      </c>
      <c r="X44" s="470">
        <v>116224</v>
      </c>
      <c r="Y44" s="470">
        <v>117728</v>
      </c>
      <c r="Z44" s="470">
        <v>111107</v>
      </c>
      <c r="AA44" s="470">
        <v>72033</v>
      </c>
      <c r="AB44" s="470">
        <v>68121</v>
      </c>
      <c r="AC44" s="470">
        <v>118141</v>
      </c>
      <c r="AD44" s="470">
        <v>97742</v>
      </c>
      <c r="AE44" s="490" t="s">
        <v>674</v>
      </c>
    </row>
    <row r="45" spans="1:31" ht="26.4">
      <c r="A45" s="491" t="s">
        <v>809</v>
      </c>
      <c r="B45" s="492">
        <f t="shared" ref="B45:L45" ca="1" si="6">+B44/B$47</f>
        <v>0.68894246931039682</v>
      </c>
      <c r="C45" s="492">
        <f ca="1">+C44/C$47</f>
        <v>0.68815315765788287</v>
      </c>
      <c r="D45" s="492">
        <f t="shared" ca="1" si="6"/>
        <v>0.64660938190349959</v>
      </c>
      <c r="E45" s="492">
        <f t="shared" ca="1" si="6"/>
        <v>0.55010447238426508</v>
      </c>
      <c r="F45" s="492">
        <f t="shared" ca="1" si="6"/>
        <v>0.57626963933229125</v>
      </c>
      <c r="G45" s="492">
        <f t="shared" ca="1" si="6"/>
        <v>0.46540377978271241</v>
      </c>
      <c r="H45" s="492">
        <f t="shared" ca="1" si="6"/>
        <v>0.3232021545659361</v>
      </c>
      <c r="I45" s="492">
        <f t="shared" ca="1" si="6"/>
        <v>0.37858327410566217</v>
      </c>
      <c r="J45" s="492">
        <f t="shared" ca="1" si="6"/>
        <v>0.33757047308890992</v>
      </c>
      <c r="K45" s="492">
        <f t="shared" ca="1" si="6"/>
        <v>0.59529981446636049</v>
      </c>
      <c r="L45" s="492">
        <f t="shared" ca="1" si="6"/>
        <v>0.60644895162587131</v>
      </c>
      <c r="M45" s="494">
        <f>+M44/M$39</f>
        <v>734647.5409836066</v>
      </c>
      <c r="N45" s="494">
        <v>0.54632879936561496</v>
      </c>
      <c r="O45" s="494">
        <v>0.64749999999999996</v>
      </c>
      <c r="P45" s="494">
        <v>0.59499999999999997</v>
      </c>
      <c r="Q45" s="494">
        <v>0.60460000000000003</v>
      </c>
      <c r="R45" s="495">
        <f>R44/$R$41</f>
        <v>0.53912777291617453</v>
      </c>
      <c r="S45" s="495">
        <f>S44/$S$41</f>
        <v>0.56158578939261394</v>
      </c>
      <c r="T45" s="495">
        <f>T44/$T$41</f>
        <v>0.43686841517210556</v>
      </c>
      <c r="U45" s="495">
        <f>U44/$U$41</f>
        <v>0.32730497230311123</v>
      </c>
      <c r="V45" s="495">
        <f>V44/$V$41</f>
        <v>0.30551659305240542</v>
      </c>
      <c r="W45" s="495">
        <f>W44/$W$41</f>
        <v>0.3238543789866688</v>
      </c>
      <c r="X45" s="495">
        <f>X44/$W$41</f>
        <v>0.38332706680123219</v>
      </c>
      <c r="Y45" s="495" t="s">
        <v>813</v>
      </c>
      <c r="Z45" s="495">
        <v>0.21890000000000001</v>
      </c>
      <c r="AA45" s="495"/>
      <c r="AB45" s="495"/>
      <c r="AC45" s="495">
        <v>0.20399999999999999</v>
      </c>
      <c r="AD45" s="495">
        <v>0.23899999999999999</v>
      </c>
      <c r="AE45" s="476" t="s">
        <v>810</v>
      </c>
    </row>
    <row r="46" spans="1:31" ht="26.4">
      <c r="A46" s="489" t="s">
        <v>654</v>
      </c>
      <c r="B46" s="487">
        <v>468</v>
      </c>
      <c r="C46" s="487">
        <v>481</v>
      </c>
      <c r="D46" s="487">
        <v>491</v>
      </c>
      <c r="E46" s="487">
        <v>207</v>
      </c>
      <c r="F46" s="487">
        <v>425</v>
      </c>
      <c r="G46" s="487">
        <v>1354</v>
      </c>
      <c r="H46" s="487">
        <v>1725</v>
      </c>
      <c r="I46" s="487">
        <v>1840</v>
      </c>
      <c r="J46" s="487">
        <v>1282</v>
      </c>
      <c r="K46" s="487">
        <v>1819</v>
      </c>
      <c r="L46" s="487">
        <v>2686</v>
      </c>
      <c r="M46" s="469">
        <v>2262</v>
      </c>
      <c r="N46" s="469">
        <v>4262</v>
      </c>
      <c r="O46" s="469">
        <v>2664</v>
      </c>
      <c r="P46" s="469">
        <v>2418</v>
      </c>
      <c r="Q46" s="469">
        <v>7112</v>
      </c>
      <c r="R46" s="470">
        <v>5902</v>
      </c>
      <c r="S46" s="470">
        <v>5794</v>
      </c>
      <c r="T46" s="470">
        <v>5900</v>
      </c>
      <c r="U46" s="470">
        <v>8683</v>
      </c>
      <c r="V46" s="470">
        <v>15945</v>
      </c>
      <c r="W46" s="470">
        <v>18717</v>
      </c>
      <c r="X46" s="470">
        <v>18435</v>
      </c>
      <c r="Y46" s="470">
        <v>41046</v>
      </c>
      <c r="Z46" s="470">
        <v>34301</v>
      </c>
      <c r="AA46" s="470">
        <v>56319</v>
      </c>
      <c r="AB46" s="470">
        <v>73883</v>
      </c>
      <c r="AC46" s="470">
        <v>62215</v>
      </c>
      <c r="AD46" s="470">
        <v>65332</v>
      </c>
      <c r="AE46" s="490" t="s">
        <v>655</v>
      </c>
    </row>
    <row r="47" spans="1:31" ht="26.4">
      <c r="A47" s="491" t="s">
        <v>809</v>
      </c>
      <c r="B47" s="492">
        <f t="shared" ref="B47:L47" ca="1" si="7">+B46/B$47</f>
        <v>2.7125088388375625E-3</v>
      </c>
      <c r="C47" s="492">
        <f t="shared" ca="1" si="7"/>
        <v>3.0064003200160009E-3</v>
      </c>
      <c r="D47" s="492">
        <f t="shared" ca="1" si="7"/>
        <v>3.7402684461507992E-3</v>
      </c>
      <c r="E47" s="492">
        <f t="shared" ca="1" si="7"/>
        <v>2.5000905829921376E-3</v>
      </c>
      <c r="F47" s="492">
        <f t="shared" ca="1" si="7"/>
        <v>4.8492178496856563E-3</v>
      </c>
      <c r="G47" s="492">
        <f t="shared" ca="1" si="7"/>
        <v>1.5025912485712067E-2</v>
      </c>
      <c r="H47" s="492">
        <f t="shared" ca="1" si="7"/>
        <v>1.4890329486305212E-2</v>
      </c>
      <c r="I47" s="492">
        <f t="shared" ca="1" si="7"/>
        <v>1.5568416421294886E-2</v>
      </c>
      <c r="J47" s="492">
        <f t="shared" ca="1" si="7"/>
        <v>1.1223167699688343E-2</v>
      </c>
      <c r="K47" s="492">
        <f t="shared" ca="1" si="7"/>
        <v>1.1967577667539508E-2</v>
      </c>
      <c r="L47" s="492">
        <f t="shared" ca="1" si="7"/>
        <v>1.8779145779586243E-2</v>
      </c>
      <c r="M47" s="494">
        <f>+M46/M$39</f>
        <v>18540.983606557376</v>
      </c>
      <c r="N47" s="494">
        <v>2.1526665892205043E-2</v>
      </c>
      <c r="O47" s="494">
        <v>1.2200000000000001E-2</v>
      </c>
      <c r="P47" s="494">
        <v>1.09E-2</v>
      </c>
      <c r="Q47" s="494">
        <v>3.6900000000000002E-2</v>
      </c>
      <c r="R47" s="495">
        <f>R46/$R$41</f>
        <v>1.9637919618288355E-2</v>
      </c>
      <c r="S47" s="495">
        <f>S46/$S$41</f>
        <v>1.6839058245006262E-2</v>
      </c>
      <c r="T47" s="495">
        <f>T46/$T$41</f>
        <v>2.4415072790022099E-2</v>
      </c>
      <c r="U47" s="495">
        <f>U46/$U$41</f>
        <v>3.1685386698195143E-2</v>
      </c>
      <c r="V47" s="495">
        <f>V46/$V$41</f>
        <v>5.9482063984720064E-2</v>
      </c>
      <c r="W47" s="495">
        <f>W46/$W$41</f>
        <v>6.1731937545762172E-2</v>
      </c>
      <c r="X47" s="495">
        <f>X46/$W$41</f>
        <v>6.0801852254962103E-2</v>
      </c>
      <c r="Y47" s="495" t="s">
        <v>814</v>
      </c>
      <c r="Z47" s="495">
        <v>6.7599999999999993E-2</v>
      </c>
      <c r="AA47" s="495"/>
      <c r="AB47" s="495"/>
      <c r="AC47" s="495">
        <v>0.107</v>
      </c>
      <c r="AD47" s="495">
        <v>0.16</v>
      </c>
      <c r="AE47" s="496" t="s">
        <v>810</v>
      </c>
    </row>
    <row r="48" spans="1:31" ht="26.4">
      <c r="A48" s="143" t="s">
        <v>791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44" t="s">
        <v>792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O232"/>
  <sheetViews>
    <sheetView zoomScale="62" workbookViewId="0">
      <selection activeCell="U6" sqref="U6"/>
    </sheetView>
  </sheetViews>
  <sheetFormatPr baseColWidth="10" defaultRowHeight="14.4"/>
  <cols>
    <col min="1" max="1" width="26.109375" customWidth="1"/>
    <col min="15" max="15" width="30.88671875" customWidth="1"/>
  </cols>
  <sheetData>
    <row r="1" spans="1:15" ht="27">
      <c r="A1" s="145"/>
      <c r="B1" s="170"/>
      <c r="C1" s="170"/>
      <c r="D1" s="170"/>
      <c r="E1" s="170"/>
      <c r="F1" s="170"/>
      <c r="G1" s="170"/>
      <c r="H1" s="170"/>
      <c r="I1" s="167"/>
      <c r="J1" s="167"/>
      <c r="K1" s="149"/>
      <c r="L1" s="149"/>
      <c r="M1" s="158"/>
      <c r="N1" s="168"/>
      <c r="O1" s="169" t="s">
        <v>1561</v>
      </c>
    </row>
    <row r="2" spans="1:15" ht="27">
      <c r="A2" s="145" t="s">
        <v>1560</v>
      </c>
      <c r="B2" s="167"/>
      <c r="C2" s="167"/>
      <c r="D2" s="171"/>
      <c r="E2" s="171"/>
      <c r="F2" s="171"/>
      <c r="G2" s="171"/>
      <c r="H2" s="171"/>
      <c r="I2" s="171"/>
      <c r="J2" s="171"/>
      <c r="K2" s="149"/>
      <c r="L2" s="149"/>
      <c r="M2" s="158"/>
      <c r="N2" s="168"/>
      <c r="O2" s="169"/>
    </row>
    <row r="4" spans="1:15" ht="30">
      <c r="A4" s="841" t="s">
        <v>1098</v>
      </c>
      <c r="B4" s="446" t="s">
        <v>163</v>
      </c>
      <c r="C4" s="446" t="s">
        <v>165</v>
      </c>
      <c r="D4" s="446" t="s">
        <v>167</v>
      </c>
      <c r="E4" s="446" t="s">
        <v>169</v>
      </c>
      <c r="F4" s="446" t="s">
        <v>171</v>
      </c>
      <c r="G4" s="446" t="s">
        <v>173</v>
      </c>
      <c r="H4" s="446" t="s">
        <v>175</v>
      </c>
      <c r="I4" s="446" t="s">
        <v>177</v>
      </c>
      <c r="J4" s="446" t="s">
        <v>815</v>
      </c>
      <c r="K4" s="446" t="s">
        <v>181</v>
      </c>
      <c r="L4" s="446" t="s">
        <v>816</v>
      </c>
      <c r="M4" s="446" t="s">
        <v>817</v>
      </c>
      <c r="N4" s="446" t="s">
        <v>48</v>
      </c>
      <c r="O4" s="841" t="s">
        <v>1097</v>
      </c>
    </row>
    <row r="5" spans="1:15" ht="30">
      <c r="A5" s="842"/>
      <c r="B5" s="446" t="s">
        <v>244</v>
      </c>
      <c r="C5" s="446" t="s">
        <v>245</v>
      </c>
      <c r="D5" s="446" t="s">
        <v>246</v>
      </c>
      <c r="E5" s="446" t="s">
        <v>247</v>
      </c>
      <c r="F5" s="446" t="s">
        <v>172</v>
      </c>
      <c r="G5" s="446" t="s">
        <v>248</v>
      </c>
      <c r="H5" s="446" t="s">
        <v>249</v>
      </c>
      <c r="I5" s="446" t="s">
        <v>250</v>
      </c>
      <c r="J5" s="446" t="s">
        <v>180</v>
      </c>
      <c r="K5" s="446" t="s">
        <v>182</v>
      </c>
      <c r="L5" s="446" t="s">
        <v>184</v>
      </c>
      <c r="M5" s="446" t="s">
        <v>186</v>
      </c>
      <c r="N5" s="446" t="s">
        <v>4</v>
      </c>
      <c r="O5" s="842"/>
    </row>
    <row r="6" spans="1:15" ht="26.4">
      <c r="A6" s="479">
        <v>1999</v>
      </c>
      <c r="B6" s="500">
        <f t="shared" ref="B6:N6" si="0">SUM(B7:B9)</f>
        <v>725</v>
      </c>
      <c r="C6" s="500">
        <f t="shared" si="0"/>
        <v>6236</v>
      </c>
      <c r="D6" s="500">
        <f t="shared" si="0"/>
        <v>2007</v>
      </c>
      <c r="E6" s="500">
        <f t="shared" si="0"/>
        <v>4959</v>
      </c>
      <c r="F6" s="500">
        <f t="shared" si="0"/>
        <v>2159</v>
      </c>
      <c r="G6" s="500">
        <f t="shared" si="0"/>
        <v>3093</v>
      </c>
      <c r="H6" s="500">
        <f t="shared" si="0"/>
        <v>1633</v>
      </c>
      <c r="I6" s="500">
        <f t="shared" si="0"/>
        <v>2835</v>
      </c>
      <c r="J6" s="500">
        <f t="shared" si="0"/>
        <v>1723</v>
      </c>
      <c r="K6" s="500">
        <f t="shared" si="0"/>
        <v>5959</v>
      </c>
      <c r="L6" s="500">
        <f t="shared" si="0"/>
        <v>1050</v>
      </c>
      <c r="M6" s="500">
        <f t="shared" si="0"/>
        <v>866</v>
      </c>
      <c r="N6" s="500">
        <f t="shared" si="0"/>
        <v>33245</v>
      </c>
      <c r="O6" s="505">
        <v>1999</v>
      </c>
    </row>
    <row r="7" spans="1:15" ht="26.4">
      <c r="A7" s="163" t="s">
        <v>818</v>
      </c>
      <c r="B7" s="500">
        <v>499</v>
      </c>
      <c r="C7" s="500">
        <v>2376</v>
      </c>
      <c r="D7" s="500">
        <v>239</v>
      </c>
      <c r="E7" s="500">
        <v>3241</v>
      </c>
      <c r="F7" s="500">
        <v>1111</v>
      </c>
      <c r="G7" s="500">
        <v>1080</v>
      </c>
      <c r="H7" s="500">
        <v>123</v>
      </c>
      <c r="I7" s="500">
        <v>1759</v>
      </c>
      <c r="J7" s="500"/>
      <c r="K7" s="500">
        <v>5001</v>
      </c>
      <c r="L7" s="500">
        <v>253</v>
      </c>
      <c r="M7" s="500">
        <v>19</v>
      </c>
      <c r="N7" s="500">
        <f>SUM(B7:M7)</f>
        <v>15701</v>
      </c>
      <c r="O7" s="471" t="s">
        <v>674</v>
      </c>
    </row>
    <row r="8" spans="1:15" ht="26.4">
      <c r="A8" s="166" t="s">
        <v>819</v>
      </c>
      <c r="B8" s="500">
        <v>217</v>
      </c>
      <c r="C8" s="500">
        <v>3793</v>
      </c>
      <c r="D8" s="500">
        <v>1741</v>
      </c>
      <c r="E8" s="500">
        <v>1608</v>
      </c>
      <c r="F8" s="500">
        <v>969</v>
      </c>
      <c r="G8" s="500">
        <v>1903</v>
      </c>
      <c r="H8" s="500">
        <v>1415</v>
      </c>
      <c r="I8" s="500">
        <v>1040</v>
      </c>
      <c r="J8" s="500">
        <v>1536</v>
      </c>
      <c r="K8" s="500">
        <v>933</v>
      </c>
      <c r="L8" s="500">
        <v>794</v>
      </c>
      <c r="M8" s="500">
        <v>840</v>
      </c>
      <c r="N8" s="500">
        <f>SUM(B8:M8)</f>
        <v>16789</v>
      </c>
      <c r="O8" s="472" t="s">
        <v>820</v>
      </c>
    </row>
    <row r="9" spans="1:15" ht="26.4">
      <c r="A9" s="166" t="s">
        <v>821</v>
      </c>
      <c r="B9" s="500">
        <v>9</v>
      </c>
      <c r="C9" s="500">
        <v>67</v>
      </c>
      <c r="D9" s="500">
        <v>27</v>
      </c>
      <c r="E9" s="500">
        <v>110</v>
      </c>
      <c r="F9" s="500">
        <v>79</v>
      </c>
      <c r="G9" s="500">
        <v>110</v>
      </c>
      <c r="H9" s="500">
        <v>95</v>
      </c>
      <c r="I9" s="500">
        <v>36</v>
      </c>
      <c r="J9" s="500">
        <v>187</v>
      </c>
      <c r="K9" s="500">
        <v>25</v>
      </c>
      <c r="L9" s="500">
        <v>3</v>
      </c>
      <c r="M9" s="500">
        <v>7</v>
      </c>
      <c r="N9" s="500">
        <f>SUM(B9:M9)</f>
        <v>755</v>
      </c>
      <c r="O9" s="478" t="s">
        <v>655</v>
      </c>
    </row>
    <row r="10" spans="1:15" ht="26.4">
      <c r="A10" s="479">
        <v>2000</v>
      </c>
      <c r="B10" s="500">
        <f t="shared" ref="B10:N10" si="1">SUM(B11:B13)</f>
        <v>1701</v>
      </c>
      <c r="C10" s="500">
        <f t="shared" si="1"/>
        <v>4397</v>
      </c>
      <c r="D10" s="500">
        <f t="shared" si="1"/>
        <v>5764</v>
      </c>
      <c r="E10" s="500">
        <f t="shared" si="1"/>
        <v>2415</v>
      </c>
      <c r="F10" s="500">
        <f t="shared" si="1"/>
        <v>4264</v>
      </c>
      <c r="G10" s="500">
        <f t="shared" si="1"/>
        <v>2311</v>
      </c>
      <c r="H10" s="500">
        <f t="shared" si="1"/>
        <v>5790</v>
      </c>
      <c r="I10" s="500">
        <f t="shared" si="1"/>
        <v>4317</v>
      </c>
      <c r="J10" s="500">
        <f t="shared" si="1"/>
        <v>5569</v>
      </c>
      <c r="K10" s="500">
        <f t="shared" si="1"/>
        <v>1083</v>
      </c>
      <c r="L10" s="500">
        <f t="shared" si="1"/>
        <v>166</v>
      </c>
      <c r="M10" s="500">
        <f t="shared" si="1"/>
        <v>1496</v>
      </c>
      <c r="N10" s="500">
        <f t="shared" si="1"/>
        <v>39273</v>
      </c>
      <c r="O10" s="505">
        <v>2000</v>
      </c>
    </row>
    <row r="11" spans="1:15" ht="26.4">
      <c r="A11" s="163" t="s">
        <v>818</v>
      </c>
      <c r="B11" s="500">
        <v>0</v>
      </c>
      <c r="C11" s="500">
        <v>184</v>
      </c>
      <c r="D11" s="500">
        <v>2754</v>
      </c>
      <c r="E11" s="500">
        <v>274</v>
      </c>
      <c r="F11" s="500">
        <v>2561</v>
      </c>
      <c r="G11" s="500">
        <v>572</v>
      </c>
      <c r="H11" s="500">
        <v>2336</v>
      </c>
      <c r="I11" s="500">
        <v>2222</v>
      </c>
      <c r="J11" s="500">
        <v>3310</v>
      </c>
      <c r="K11" s="500">
        <v>0</v>
      </c>
      <c r="L11" s="500">
        <v>0</v>
      </c>
      <c r="M11" s="500">
        <v>324</v>
      </c>
      <c r="N11" s="500">
        <f>SUM(B11:M11)</f>
        <v>14537</v>
      </c>
      <c r="O11" s="471" t="s">
        <v>674</v>
      </c>
    </row>
    <row r="12" spans="1:15" ht="26.4">
      <c r="A12" s="166" t="s">
        <v>819</v>
      </c>
      <c r="B12" s="500">
        <v>1617</v>
      </c>
      <c r="C12" s="500">
        <v>3967</v>
      </c>
      <c r="D12" s="500">
        <v>2783</v>
      </c>
      <c r="E12" s="500">
        <v>1834</v>
      </c>
      <c r="F12" s="500">
        <v>1554</v>
      </c>
      <c r="G12" s="500">
        <v>1635</v>
      </c>
      <c r="H12" s="500">
        <v>3352</v>
      </c>
      <c r="I12" s="500">
        <v>2016</v>
      </c>
      <c r="J12" s="500">
        <v>1614</v>
      </c>
      <c r="K12" s="500">
        <v>866</v>
      </c>
      <c r="L12" s="500">
        <v>166</v>
      </c>
      <c r="M12" s="500">
        <v>1144</v>
      </c>
      <c r="N12" s="500">
        <f>SUM(B12:M12)</f>
        <v>22548</v>
      </c>
      <c r="O12" s="472" t="s">
        <v>702</v>
      </c>
    </row>
    <row r="13" spans="1:15" ht="26.4">
      <c r="A13" s="166" t="s">
        <v>821</v>
      </c>
      <c r="B13" s="500">
        <v>84</v>
      </c>
      <c r="C13" s="500">
        <v>246</v>
      </c>
      <c r="D13" s="500">
        <v>227</v>
      </c>
      <c r="E13" s="500">
        <v>307</v>
      </c>
      <c r="F13" s="500">
        <v>149</v>
      </c>
      <c r="G13" s="500">
        <v>104</v>
      </c>
      <c r="H13" s="500">
        <v>102</v>
      </c>
      <c r="I13" s="500">
        <v>79</v>
      </c>
      <c r="J13" s="500">
        <v>645</v>
      </c>
      <c r="K13" s="500">
        <v>217</v>
      </c>
      <c r="L13" s="500">
        <v>0</v>
      </c>
      <c r="M13" s="500">
        <v>28</v>
      </c>
      <c r="N13" s="500">
        <f>SUM(B13:M13)</f>
        <v>2188</v>
      </c>
      <c r="O13" s="478" t="s">
        <v>655</v>
      </c>
    </row>
    <row r="14" spans="1:15" ht="26.4">
      <c r="A14" s="479">
        <v>2001</v>
      </c>
      <c r="B14" s="500">
        <f t="shared" ref="B14:N14" si="2">SUM(B15:B17)</f>
        <v>4090</v>
      </c>
      <c r="C14" s="500">
        <f t="shared" si="2"/>
        <v>4570</v>
      </c>
      <c r="D14" s="500">
        <f t="shared" si="2"/>
        <v>6925</v>
      </c>
      <c r="E14" s="500">
        <f t="shared" si="2"/>
        <v>3505</v>
      </c>
      <c r="F14" s="500">
        <f t="shared" si="2"/>
        <v>3300</v>
      </c>
      <c r="G14" s="500">
        <f t="shared" si="2"/>
        <v>3448</v>
      </c>
      <c r="H14" s="500">
        <f t="shared" si="2"/>
        <v>3336</v>
      </c>
      <c r="I14" s="500">
        <f t="shared" si="2"/>
        <v>4244</v>
      </c>
      <c r="J14" s="500">
        <f t="shared" si="2"/>
        <v>7397</v>
      </c>
      <c r="K14" s="500">
        <f t="shared" si="2"/>
        <v>2651</v>
      </c>
      <c r="L14" s="500">
        <f t="shared" si="2"/>
        <v>1402</v>
      </c>
      <c r="M14" s="500">
        <f t="shared" si="2"/>
        <v>3224</v>
      </c>
      <c r="N14" s="500">
        <f t="shared" si="2"/>
        <v>48092</v>
      </c>
      <c r="O14" s="505">
        <v>2001</v>
      </c>
    </row>
    <row r="15" spans="1:15" ht="26.4">
      <c r="A15" s="163" t="s">
        <v>818</v>
      </c>
      <c r="B15" s="500">
        <v>697</v>
      </c>
      <c r="C15" s="500">
        <v>420</v>
      </c>
      <c r="D15" s="500">
        <v>2906</v>
      </c>
      <c r="E15" s="500">
        <v>626</v>
      </c>
      <c r="F15" s="500">
        <v>549</v>
      </c>
      <c r="G15" s="500">
        <v>280</v>
      </c>
      <c r="H15" s="500">
        <v>193</v>
      </c>
      <c r="I15" s="500">
        <v>2126</v>
      </c>
      <c r="J15" s="500">
        <v>3719</v>
      </c>
      <c r="K15" s="500">
        <v>0</v>
      </c>
      <c r="L15" s="500">
        <v>67</v>
      </c>
      <c r="M15" s="500">
        <v>458</v>
      </c>
      <c r="N15" s="500">
        <f>SUM(B15:M15)</f>
        <v>12041</v>
      </c>
      <c r="O15" s="471" t="s">
        <v>674</v>
      </c>
    </row>
    <row r="16" spans="1:15" ht="26.4">
      <c r="A16" s="166" t="s">
        <v>819</v>
      </c>
      <c r="B16" s="500">
        <v>3201</v>
      </c>
      <c r="C16" s="500">
        <v>3633</v>
      </c>
      <c r="D16" s="500">
        <v>3756</v>
      </c>
      <c r="E16" s="500">
        <v>2357</v>
      </c>
      <c r="F16" s="500">
        <v>2530</v>
      </c>
      <c r="G16" s="500">
        <v>2966</v>
      </c>
      <c r="H16" s="500">
        <v>2424</v>
      </c>
      <c r="I16" s="500">
        <v>2062</v>
      </c>
      <c r="J16" s="500">
        <v>3193</v>
      </c>
      <c r="K16" s="500">
        <v>2615</v>
      </c>
      <c r="L16" s="500">
        <v>1306</v>
      </c>
      <c r="M16" s="500">
        <v>2664</v>
      </c>
      <c r="N16" s="500">
        <f>SUM(B16:M16)</f>
        <v>32707</v>
      </c>
      <c r="O16" s="472" t="s">
        <v>702</v>
      </c>
    </row>
    <row r="17" spans="1:15" ht="26.4">
      <c r="A17" s="166" t="s">
        <v>821</v>
      </c>
      <c r="B17" s="500">
        <v>192</v>
      </c>
      <c r="C17" s="500">
        <v>517</v>
      </c>
      <c r="D17" s="500">
        <v>263</v>
      </c>
      <c r="E17" s="500">
        <v>522</v>
      </c>
      <c r="F17" s="500">
        <v>221</v>
      </c>
      <c r="G17" s="500">
        <v>202</v>
      </c>
      <c r="H17" s="500">
        <v>719</v>
      </c>
      <c r="I17" s="500">
        <v>56</v>
      </c>
      <c r="J17" s="500">
        <v>485</v>
      </c>
      <c r="K17" s="500">
        <v>36</v>
      </c>
      <c r="L17" s="500">
        <v>29</v>
      </c>
      <c r="M17" s="500">
        <v>102</v>
      </c>
      <c r="N17" s="500">
        <f>SUM(B17:M17)</f>
        <v>3344</v>
      </c>
      <c r="O17" s="478" t="s">
        <v>655</v>
      </c>
    </row>
    <row r="18" spans="1:15" ht="26.4">
      <c r="A18" s="479">
        <v>2002</v>
      </c>
      <c r="B18" s="500">
        <f t="shared" ref="B18:N18" si="3">SUM(B19:B21)</f>
        <v>4692</v>
      </c>
      <c r="C18" s="500">
        <f t="shared" si="3"/>
        <v>3147</v>
      </c>
      <c r="D18" s="500">
        <f t="shared" si="3"/>
        <v>3286</v>
      </c>
      <c r="E18" s="500">
        <f t="shared" si="3"/>
        <v>3009</v>
      </c>
      <c r="F18" s="500">
        <f t="shared" si="3"/>
        <v>4824</v>
      </c>
      <c r="G18" s="500">
        <f t="shared" si="3"/>
        <v>2034</v>
      </c>
      <c r="H18" s="500">
        <f t="shared" si="3"/>
        <v>4461</v>
      </c>
      <c r="I18" s="500">
        <f t="shared" si="3"/>
        <v>2685</v>
      </c>
      <c r="J18" s="500">
        <f t="shared" si="3"/>
        <v>4776</v>
      </c>
      <c r="K18" s="500">
        <f t="shared" si="3"/>
        <v>974</v>
      </c>
      <c r="L18" s="500">
        <f t="shared" si="3"/>
        <v>622</v>
      </c>
      <c r="M18" s="500">
        <f t="shared" si="3"/>
        <v>5745</v>
      </c>
      <c r="N18" s="500">
        <f t="shared" si="3"/>
        <v>40255</v>
      </c>
      <c r="O18" s="505">
        <v>2002</v>
      </c>
    </row>
    <row r="19" spans="1:15" ht="26.4">
      <c r="A19" s="163" t="s">
        <v>818</v>
      </c>
      <c r="B19" s="500">
        <v>1219</v>
      </c>
      <c r="C19" s="500">
        <v>745</v>
      </c>
      <c r="D19" s="500">
        <v>524</v>
      </c>
      <c r="E19" s="500">
        <v>738</v>
      </c>
      <c r="F19" s="500">
        <v>278</v>
      </c>
      <c r="G19" s="500">
        <v>247</v>
      </c>
      <c r="H19" s="500">
        <v>247</v>
      </c>
      <c r="I19" s="500">
        <v>949</v>
      </c>
      <c r="J19" s="500">
        <v>1135</v>
      </c>
      <c r="K19" s="500">
        <v>640</v>
      </c>
      <c r="L19" s="500">
        <v>146</v>
      </c>
      <c r="M19" s="500">
        <v>2712</v>
      </c>
      <c r="N19" s="500">
        <f>SUM(B19:M19)</f>
        <v>9580</v>
      </c>
      <c r="O19" s="471" t="s">
        <v>674</v>
      </c>
    </row>
    <row r="20" spans="1:15" ht="26.4">
      <c r="A20" s="166" t="s">
        <v>819</v>
      </c>
      <c r="B20" s="500">
        <v>3228</v>
      </c>
      <c r="C20" s="500">
        <v>1925</v>
      </c>
      <c r="D20" s="500">
        <v>1895</v>
      </c>
      <c r="E20" s="500">
        <v>1783</v>
      </c>
      <c r="F20" s="500">
        <v>4235</v>
      </c>
      <c r="G20" s="500">
        <v>1505</v>
      </c>
      <c r="H20" s="500">
        <v>3633</v>
      </c>
      <c r="I20" s="500">
        <v>1531</v>
      </c>
      <c r="J20" s="500">
        <v>3323</v>
      </c>
      <c r="K20" s="500">
        <v>180</v>
      </c>
      <c r="L20" s="500">
        <v>427</v>
      </c>
      <c r="M20" s="500">
        <v>2934</v>
      </c>
      <c r="N20" s="500">
        <f>SUM(B20:M20)</f>
        <v>26599</v>
      </c>
      <c r="O20" s="472" t="s">
        <v>702</v>
      </c>
    </row>
    <row r="21" spans="1:15" ht="26.4">
      <c r="A21" s="166" t="s">
        <v>821</v>
      </c>
      <c r="B21" s="500">
        <v>245</v>
      </c>
      <c r="C21" s="500">
        <v>477</v>
      </c>
      <c r="D21" s="500">
        <v>867</v>
      </c>
      <c r="E21" s="500">
        <v>488</v>
      </c>
      <c r="F21" s="500">
        <v>311</v>
      </c>
      <c r="G21" s="500">
        <v>282</v>
      </c>
      <c r="H21" s="500">
        <v>581</v>
      </c>
      <c r="I21" s="500">
        <v>205</v>
      </c>
      <c r="J21" s="500">
        <v>318</v>
      </c>
      <c r="K21" s="500">
        <v>154</v>
      </c>
      <c r="L21" s="500">
        <v>49</v>
      </c>
      <c r="M21" s="500">
        <v>99</v>
      </c>
      <c r="N21" s="500">
        <f>SUM(B21:M21)</f>
        <v>4076</v>
      </c>
      <c r="O21" s="478" t="s">
        <v>655</v>
      </c>
    </row>
    <row r="22" spans="1:15" ht="26.4">
      <c r="A22" s="479">
        <v>2003</v>
      </c>
      <c r="B22" s="500">
        <f t="shared" ref="B22:N22" si="4">SUM(B23:B25)</f>
        <v>2296</v>
      </c>
      <c r="C22" s="500">
        <f t="shared" si="4"/>
        <v>3325</v>
      </c>
      <c r="D22" s="500">
        <f t="shared" si="4"/>
        <v>3669</v>
      </c>
      <c r="E22" s="500">
        <f t="shared" si="4"/>
        <v>2703</v>
      </c>
      <c r="F22" s="500">
        <f t="shared" si="4"/>
        <v>2459</v>
      </c>
      <c r="G22" s="500">
        <f t="shared" si="4"/>
        <v>3440</v>
      </c>
      <c r="H22" s="500">
        <f t="shared" si="4"/>
        <v>3022</v>
      </c>
      <c r="I22" s="500">
        <f t="shared" si="4"/>
        <v>1823</v>
      </c>
      <c r="J22" s="500">
        <f t="shared" si="4"/>
        <v>5348</v>
      </c>
      <c r="K22" s="500">
        <f t="shared" si="4"/>
        <v>737</v>
      </c>
      <c r="L22" s="500">
        <f t="shared" si="4"/>
        <v>284</v>
      </c>
      <c r="M22" s="500">
        <f t="shared" si="4"/>
        <v>5504</v>
      </c>
      <c r="N22" s="500">
        <f t="shared" si="4"/>
        <v>34610</v>
      </c>
      <c r="O22" s="505">
        <v>2003</v>
      </c>
    </row>
    <row r="23" spans="1:15" ht="26.4">
      <c r="A23" s="163" t="s">
        <v>818</v>
      </c>
      <c r="B23" s="500">
        <v>437</v>
      </c>
      <c r="C23" s="500">
        <v>626</v>
      </c>
      <c r="D23" s="500">
        <v>1083</v>
      </c>
      <c r="E23" s="500">
        <v>567</v>
      </c>
      <c r="F23" s="500">
        <v>255</v>
      </c>
      <c r="G23" s="500">
        <v>343</v>
      </c>
      <c r="H23" s="500">
        <v>485</v>
      </c>
      <c r="I23" s="500">
        <v>147</v>
      </c>
      <c r="J23" s="500">
        <v>2065</v>
      </c>
      <c r="K23" s="500">
        <v>303</v>
      </c>
      <c r="L23" s="500">
        <v>47</v>
      </c>
      <c r="M23" s="500">
        <v>664</v>
      </c>
      <c r="N23" s="500">
        <f>SUM(B23:M23)</f>
        <v>7022</v>
      </c>
      <c r="O23" s="471" t="s">
        <v>674</v>
      </c>
    </row>
    <row r="24" spans="1:15" ht="26.4">
      <c r="A24" s="166" t="s">
        <v>819</v>
      </c>
      <c r="B24" s="500">
        <v>1716</v>
      </c>
      <c r="C24" s="500">
        <v>2412</v>
      </c>
      <c r="D24" s="500">
        <v>2453</v>
      </c>
      <c r="E24" s="500">
        <v>1931</v>
      </c>
      <c r="F24" s="500">
        <v>1870</v>
      </c>
      <c r="G24" s="500">
        <v>2419</v>
      </c>
      <c r="H24" s="500">
        <v>2463</v>
      </c>
      <c r="I24" s="500">
        <v>1391</v>
      </c>
      <c r="J24" s="500">
        <v>2908</v>
      </c>
      <c r="K24" s="500">
        <v>408</v>
      </c>
      <c r="L24" s="500">
        <v>159</v>
      </c>
      <c r="M24" s="500">
        <v>4323</v>
      </c>
      <c r="N24" s="500">
        <f>SUM(B24:M24)</f>
        <v>24453</v>
      </c>
      <c r="O24" s="472" t="s">
        <v>702</v>
      </c>
    </row>
    <row r="25" spans="1:15" ht="26.4">
      <c r="A25" s="166" t="s">
        <v>821</v>
      </c>
      <c r="B25" s="500">
        <v>143</v>
      </c>
      <c r="C25" s="500">
        <v>287</v>
      </c>
      <c r="D25" s="500">
        <v>133</v>
      </c>
      <c r="E25" s="500">
        <v>205</v>
      </c>
      <c r="F25" s="500">
        <v>334</v>
      </c>
      <c r="G25" s="500">
        <v>678</v>
      </c>
      <c r="H25" s="500">
        <v>74</v>
      </c>
      <c r="I25" s="500">
        <v>285</v>
      </c>
      <c r="J25" s="500">
        <v>375</v>
      </c>
      <c r="K25" s="500">
        <v>26</v>
      </c>
      <c r="L25" s="500">
        <v>78</v>
      </c>
      <c r="M25" s="500">
        <v>517</v>
      </c>
      <c r="N25" s="500">
        <f>SUM(B25:M25)</f>
        <v>3135</v>
      </c>
      <c r="O25" s="478" t="s">
        <v>655</v>
      </c>
    </row>
    <row r="26" spans="1:15" ht="26.4">
      <c r="A26" s="479">
        <v>2004</v>
      </c>
      <c r="B26" s="500">
        <f t="shared" ref="B26:N26" si="5">SUM(B27:B29)</f>
        <v>3136</v>
      </c>
      <c r="C26" s="500">
        <f t="shared" si="5"/>
        <v>4412</v>
      </c>
      <c r="D26" s="500">
        <f t="shared" si="5"/>
        <v>2224</v>
      </c>
      <c r="E26" s="500">
        <f t="shared" si="5"/>
        <v>2266</v>
      </c>
      <c r="F26" s="500">
        <f t="shared" si="5"/>
        <v>2929</v>
      </c>
      <c r="G26" s="500">
        <f t="shared" si="5"/>
        <v>2984</v>
      </c>
      <c r="H26" s="500">
        <f t="shared" si="5"/>
        <v>4099</v>
      </c>
      <c r="I26" s="500">
        <f t="shared" si="5"/>
        <v>3315</v>
      </c>
      <c r="J26" s="500">
        <f t="shared" si="5"/>
        <v>6585</v>
      </c>
      <c r="K26" s="500">
        <f t="shared" si="5"/>
        <v>1691</v>
      </c>
      <c r="L26" s="500">
        <f t="shared" si="5"/>
        <v>1374</v>
      </c>
      <c r="M26" s="500">
        <f t="shared" si="5"/>
        <v>4296</v>
      </c>
      <c r="N26" s="500">
        <f t="shared" si="5"/>
        <v>39311</v>
      </c>
      <c r="O26" s="505">
        <v>2004</v>
      </c>
    </row>
    <row r="27" spans="1:15" ht="26.4">
      <c r="A27" s="163" t="s">
        <v>818</v>
      </c>
      <c r="B27" s="500">
        <v>2246</v>
      </c>
      <c r="C27" s="500">
        <v>1238</v>
      </c>
      <c r="D27" s="500">
        <v>432</v>
      </c>
      <c r="E27" s="500">
        <v>610</v>
      </c>
      <c r="F27" s="500">
        <v>1142</v>
      </c>
      <c r="G27" s="500">
        <v>909</v>
      </c>
      <c r="H27" s="500">
        <v>1129</v>
      </c>
      <c r="I27" s="500">
        <v>1438</v>
      </c>
      <c r="J27" s="500">
        <v>1603</v>
      </c>
      <c r="K27" s="500">
        <v>861</v>
      </c>
      <c r="L27" s="500">
        <v>511</v>
      </c>
      <c r="M27" s="500">
        <v>1857</v>
      </c>
      <c r="N27" s="500">
        <f>SUM(B27:M27)</f>
        <v>13976</v>
      </c>
      <c r="O27" s="471" t="s">
        <v>674</v>
      </c>
    </row>
    <row r="28" spans="1:15" ht="26.4">
      <c r="A28" s="166" t="s">
        <v>819</v>
      </c>
      <c r="B28" s="500">
        <v>890</v>
      </c>
      <c r="C28" s="500">
        <v>3041</v>
      </c>
      <c r="D28" s="500">
        <v>1729</v>
      </c>
      <c r="E28" s="500">
        <v>1304</v>
      </c>
      <c r="F28" s="500">
        <v>1348</v>
      </c>
      <c r="G28" s="500">
        <v>1777</v>
      </c>
      <c r="H28" s="500">
        <v>2221</v>
      </c>
      <c r="I28" s="500">
        <v>1588</v>
      </c>
      <c r="J28" s="500">
        <v>4073</v>
      </c>
      <c r="K28" s="500">
        <v>369</v>
      </c>
      <c r="L28" s="500">
        <v>771</v>
      </c>
      <c r="M28" s="500">
        <v>1821</v>
      </c>
      <c r="N28" s="500">
        <f>SUM(B28:M28)</f>
        <v>20932</v>
      </c>
      <c r="O28" s="472" t="s">
        <v>702</v>
      </c>
    </row>
    <row r="29" spans="1:15" ht="26.4">
      <c r="A29" s="166" t="s">
        <v>821</v>
      </c>
      <c r="B29" s="500">
        <v>0</v>
      </c>
      <c r="C29" s="500">
        <v>133</v>
      </c>
      <c r="D29" s="500">
        <v>63</v>
      </c>
      <c r="E29" s="500">
        <v>352</v>
      </c>
      <c r="F29" s="500">
        <v>439</v>
      </c>
      <c r="G29" s="500">
        <v>298</v>
      </c>
      <c r="H29" s="500">
        <v>749</v>
      </c>
      <c r="I29" s="500">
        <v>289</v>
      </c>
      <c r="J29" s="500">
        <v>909</v>
      </c>
      <c r="K29" s="500">
        <v>461</v>
      </c>
      <c r="L29" s="500">
        <v>92</v>
      </c>
      <c r="M29" s="500">
        <v>618</v>
      </c>
      <c r="N29" s="500">
        <f>SUM(B29:M29)</f>
        <v>4403</v>
      </c>
      <c r="O29" s="478" t="s">
        <v>655</v>
      </c>
    </row>
    <row r="30" spans="1:15" ht="26.4">
      <c r="A30" s="479">
        <v>2005</v>
      </c>
      <c r="B30" s="500">
        <f t="shared" ref="B30:N30" si="6">SUM(B31:B33)</f>
        <v>2848</v>
      </c>
      <c r="C30" s="500">
        <f t="shared" si="6"/>
        <v>3923</v>
      </c>
      <c r="D30" s="500">
        <f t="shared" si="6"/>
        <v>3648</v>
      </c>
      <c r="E30" s="500">
        <f t="shared" si="6"/>
        <v>4198</v>
      </c>
      <c r="F30" s="500">
        <f t="shared" si="6"/>
        <v>3530</v>
      </c>
      <c r="G30" s="500">
        <f t="shared" si="6"/>
        <v>4083</v>
      </c>
      <c r="H30" s="500">
        <f t="shared" si="6"/>
        <v>5269</v>
      </c>
      <c r="I30" s="500">
        <f t="shared" si="6"/>
        <v>4102</v>
      </c>
      <c r="J30" s="500">
        <f t="shared" si="6"/>
        <v>3999</v>
      </c>
      <c r="K30" s="500">
        <f t="shared" si="6"/>
        <v>3927</v>
      </c>
      <c r="L30" s="500">
        <f t="shared" si="6"/>
        <v>2477</v>
      </c>
      <c r="M30" s="500">
        <f t="shared" si="6"/>
        <v>749</v>
      </c>
      <c r="N30" s="500">
        <f t="shared" si="6"/>
        <v>42753</v>
      </c>
      <c r="O30" s="505">
        <v>2005</v>
      </c>
    </row>
    <row r="31" spans="1:15" ht="26.4">
      <c r="A31" s="163" t="s">
        <v>818</v>
      </c>
      <c r="B31" s="500">
        <v>648</v>
      </c>
      <c r="C31" s="500">
        <v>1226</v>
      </c>
      <c r="D31" s="500">
        <v>1187</v>
      </c>
      <c r="E31" s="500">
        <v>1835</v>
      </c>
      <c r="F31" s="500">
        <v>668</v>
      </c>
      <c r="G31" s="500">
        <v>2329</v>
      </c>
      <c r="H31" s="500">
        <v>2201</v>
      </c>
      <c r="I31" s="500">
        <v>824</v>
      </c>
      <c r="J31" s="500">
        <v>478</v>
      </c>
      <c r="K31" s="500">
        <v>2608</v>
      </c>
      <c r="L31" s="500">
        <v>1930</v>
      </c>
      <c r="M31" s="500">
        <v>144</v>
      </c>
      <c r="N31" s="500">
        <f>SUM(B31:M31)</f>
        <v>16078</v>
      </c>
      <c r="O31" s="471" t="s">
        <v>674</v>
      </c>
    </row>
    <row r="32" spans="1:15" ht="26.4">
      <c r="A32" s="166" t="s">
        <v>819</v>
      </c>
      <c r="B32" s="500">
        <v>1956</v>
      </c>
      <c r="C32" s="500">
        <v>1773</v>
      </c>
      <c r="D32" s="500">
        <v>1796</v>
      </c>
      <c r="E32" s="500">
        <v>1957</v>
      </c>
      <c r="F32" s="500">
        <v>1874</v>
      </c>
      <c r="G32" s="500">
        <v>1414</v>
      </c>
      <c r="H32" s="500">
        <v>2364</v>
      </c>
      <c r="I32" s="500">
        <v>2286</v>
      </c>
      <c r="J32" s="500">
        <v>2903</v>
      </c>
      <c r="K32" s="500">
        <v>942</v>
      </c>
      <c r="L32" s="500">
        <v>505</v>
      </c>
      <c r="M32" s="500">
        <v>583</v>
      </c>
      <c r="N32" s="500">
        <f>SUM(B32:M32)</f>
        <v>20353</v>
      </c>
      <c r="O32" s="472" t="s">
        <v>702</v>
      </c>
    </row>
    <row r="33" spans="1:15" ht="26.4">
      <c r="A33" s="166" t="s">
        <v>821</v>
      </c>
      <c r="B33" s="500">
        <v>244</v>
      </c>
      <c r="C33" s="500">
        <v>924</v>
      </c>
      <c r="D33" s="500">
        <v>665</v>
      </c>
      <c r="E33" s="500">
        <v>406</v>
      </c>
      <c r="F33" s="500">
        <v>988</v>
      </c>
      <c r="G33" s="500">
        <v>340</v>
      </c>
      <c r="H33" s="500">
        <v>704</v>
      </c>
      <c r="I33" s="500">
        <v>992</v>
      </c>
      <c r="J33" s="500">
        <v>618</v>
      </c>
      <c r="K33" s="500">
        <v>377</v>
      </c>
      <c r="L33" s="500">
        <v>42</v>
      </c>
      <c r="M33" s="500">
        <v>22</v>
      </c>
      <c r="N33" s="500">
        <f>SUM(B33:M33)</f>
        <v>6322</v>
      </c>
      <c r="O33" s="478" t="s">
        <v>655</v>
      </c>
    </row>
    <row r="34" spans="1:15" ht="26.4">
      <c r="A34" s="479">
        <v>2006</v>
      </c>
      <c r="B34" s="500">
        <f t="shared" ref="B34:N34" si="7">SUM(B35:B37)</f>
        <v>2567</v>
      </c>
      <c r="C34" s="500">
        <f t="shared" si="7"/>
        <v>3745</v>
      </c>
      <c r="D34" s="500">
        <f t="shared" si="7"/>
        <v>6260</v>
      </c>
      <c r="E34" s="500">
        <f t="shared" si="7"/>
        <v>2596</v>
      </c>
      <c r="F34" s="500">
        <f t="shared" si="7"/>
        <v>3646</v>
      </c>
      <c r="G34" s="500">
        <f t="shared" si="7"/>
        <v>4713</v>
      </c>
      <c r="H34" s="500">
        <f t="shared" si="7"/>
        <v>3844</v>
      </c>
      <c r="I34" s="500">
        <f t="shared" si="7"/>
        <v>3413</v>
      </c>
      <c r="J34" s="500">
        <f t="shared" si="7"/>
        <v>5918</v>
      </c>
      <c r="K34" s="500">
        <f t="shared" si="7"/>
        <v>902</v>
      </c>
      <c r="L34" s="500">
        <f t="shared" si="7"/>
        <v>2315</v>
      </c>
      <c r="M34" s="500">
        <f t="shared" si="7"/>
        <v>3129</v>
      </c>
      <c r="N34" s="500">
        <f t="shared" si="7"/>
        <v>43048</v>
      </c>
      <c r="O34" s="505">
        <v>2006</v>
      </c>
    </row>
    <row r="35" spans="1:15" ht="26.4">
      <c r="A35" s="163" t="s">
        <v>673</v>
      </c>
      <c r="B35" s="474">
        <v>520</v>
      </c>
      <c r="C35" s="474">
        <v>1627</v>
      </c>
      <c r="D35" s="474">
        <v>2977</v>
      </c>
      <c r="E35" s="474">
        <v>1151</v>
      </c>
      <c r="F35" s="474">
        <v>1131</v>
      </c>
      <c r="G35" s="474">
        <v>2737</v>
      </c>
      <c r="H35" s="474">
        <v>1148</v>
      </c>
      <c r="I35" s="474">
        <v>1139</v>
      </c>
      <c r="J35" s="474">
        <v>2640</v>
      </c>
      <c r="K35" s="474">
        <v>294</v>
      </c>
      <c r="L35" s="474">
        <v>792</v>
      </c>
      <c r="M35" s="474">
        <v>1410</v>
      </c>
      <c r="N35" s="500">
        <f>SUM(B35:M35)</f>
        <v>17566</v>
      </c>
      <c r="O35" s="471" t="s">
        <v>674</v>
      </c>
    </row>
    <row r="36" spans="1:15" ht="26.4">
      <c r="A36" s="166" t="s">
        <v>701</v>
      </c>
      <c r="B36" s="474">
        <v>1597</v>
      </c>
      <c r="C36" s="474">
        <v>811</v>
      </c>
      <c r="D36" s="474">
        <v>2584</v>
      </c>
      <c r="E36" s="474">
        <v>1220</v>
      </c>
      <c r="F36" s="474">
        <v>2011</v>
      </c>
      <c r="G36" s="474">
        <v>1713</v>
      </c>
      <c r="H36" s="474">
        <v>2091</v>
      </c>
      <c r="I36" s="474">
        <v>1919</v>
      </c>
      <c r="J36" s="474">
        <v>2837</v>
      </c>
      <c r="K36" s="474">
        <v>587</v>
      </c>
      <c r="L36" s="474">
        <v>1410</v>
      </c>
      <c r="M36" s="474">
        <v>1462</v>
      </c>
      <c r="N36" s="500">
        <f>SUM(B36:M36)</f>
        <v>20242</v>
      </c>
      <c r="O36" s="472" t="s">
        <v>702</v>
      </c>
    </row>
    <row r="37" spans="1:15" ht="26.4">
      <c r="A37" s="166" t="s">
        <v>654</v>
      </c>
      <c r="B37" s="487">
        <v>450</v>
      </c>
      <c r="C37" s="487">
        <v>1307</v>
      </c>
      <c r="D37" s="487">
        <v>699</v>
      </c>
      <c r="E37" s="487">
        <v>225</v>
      </c>
      <c r="F37" s="487">
        <v>504</v>
      </c>
      <c r="G37" s="487">
        <v>263</v>
      </c>
      <c r="H37" s="487">
        <v>605</v>
      </c>
      <c r="I37" s="487">
        <v>355</v>
      </c>
      <c r="J37" s="487">
        <v>441</v>
      </c>
      <c r="K37" s="487">
        <v>21</v>
      </c>
      <c r="L37" s="487">
        <v>113</v>
      </c>
      <c r="M37" s="487">
        <v>257</v>
      </c>
      <c r="N37" s="500">
        <f>SUM(B37:M37)</f>
        <v>5240</v>
      </c>
      <c r="O37" s="478" t="s">
        <v>655</v>
      </c>
    </row>
    <row r="38" spans="1:15" ht="26.4">
      <c r="A38" s="479">
        <v>2007</v>
      </c>
      <c r="B38" s="500">
        <f t="shared" ref="B38:N38" si="8">SUM(B39:B41)</f>
        <v>3901</v>
      </c>
      <c r="C38" s="500">
        <f t="shared" si="8"/>
        <v>2570</v>
      </c>
      <c r="D38" s="500">
        <f t="shared" si="8"/>
        <v>4985</v>
      </c>
      <c r="E38" s="500">
        <f t="shared" si="8"/>
        <v>3325</v>
      </c>
      <c r="F38" s="500">
        <f t="shared" si="8"/>
        <v>3859</v>
      </c>
      <c r="G38" s="500">
        <f t="shared" si="8"/>
        <v>3968</v>
      </c>
      <c r="H38" s="500">
        <f t="shared" si="8"/>
        <v>3551</v>
      </c>
      <c r="I38" s="500">
        <f t="shared" si="8"/>
        <v>5699</v>
      </c>
      <c r="J38" s="500">
        <f t="shared" si="8"/>
        <v>4820</v>
      </c>
      <c r="K38" s="500">
        <f t="shared" si="8"/>
        <v>1881</v>
      </c>
      <c r="L38" s="500">
        <f t="shared" si="8"/>
        <v>2463</v>
      </c>
      <c r="M38" s="500">
        <f t="shared" si="8"/>
        <v>2862</v>
      </c>
      <c r="N38" s="500">
        <f t="shared" si="8"/>
        <v>43884</v>
      </c>
      <c r="O38" s="505">
        <v>2007</v>
      </c>
    </row>
    <row r="39" spans="1:15" ht="26.4">
      <c r="A39" s="163" t="s">
        <v>673</v>
      </c>
      <c r="B39" s="474">
        <v>2048</v>
      </c>
      <c r="C39" s="474">
        <v>870</v>
      </c>
      <c r="D39" s="474">
        <v>2430</v>
      </c>
      <c r="E39" s="474">
        <v>1321</v>
      </c>
      <c r="F39" s="474">
        <v>1252</v>
      </c>
      <c r="G39" s="474">
        <v>1193</v>
      </c>
      <c r="H39" s="474">
        <v>795</v>
      </c>
      <c r="I39" s="474">
        <v>1961</v>
      </c>
      <c r="J39" s="474">
        <v>2011</v>
      </c>
      <c r="K39" s="474">
        <v>477</v>
      </c>
      <c r="L39" s="474">
        <v>861</v>
      </c>
      <c r="M39" s="474">
        <v>1177</v>
      </c>
      <c r="N39" s="500">
        <f>SUM(B39:M39)</f>
        <v>16396</v>
      </c>
      <c r="O39" s="471" t="s">
        <v>674</v>
      </c>
    </row>
    <row r="40" spans="1:15" ht="26.4">
      <c r="A40" s="166" t="s">
        <v>701</v>
      </c>
      <c r="B40" s="474">
        <v>1323</v>
      </c>
      <c r="C40" s="474">
        <v>1275</v>
      </c>
      <c r="D40" s="474">
        <v>1707</v>
      </c>
      <c r="E40" s="474">
        <v>1183</v>
      </c>
      <c r="F40" s="474">
        <v>1921</v>
      </c>
      <c r="G40" s="474">
        <v>1904</v>
      </c>
      <c r="H40" s="474">
        <v>2189</v>
      </c>
      <c r="I40" s="474">
        <v>3213</v>
      </c>
      <c r="J40" s="474">
        <v>2320</v>
      </c>
      <c r="K40" s="474">
        <v>1032</v>
      </c>
      <c r="L40" s="474">
        <v>1563</v>
      </c>
      <c r="M40" s="474">
        <v>1431</v>
      </c>
      <c r="N40" s="500">
        <f>SUM(B40:M40)</f>
        <v>21061</v>
      </c>
      <c r="O40" s="472" t="s">
        <v>702</v>
      </c>
    </row>
    <row r="41" spans="1:15" ht="26.4">
      <c r="A41" s="166" t="s">
        <v>654</v>
      </c>
      <c r="B41" s="487">
        <v>530</v>
      </c>
      <c r="C41" s="487">
        <v>425</v>
      </c>
      <c r="D41" s="487">
        <v>848</v>
      </c>
      <c r="E41" s="487">
        <v>821</v>
      </c>
      <c r="F41" s="487">
        <v>686</v>
      </c>
      <c r="G41" s="487">
        <v>871</v>
      </c>
      <c r="H41" s="487">
        <v>567</v>
      </c>
      <c r="I41" s="487">
        <v>525</v>
      </c>
      <c r="J41" s="487">
        <v>489</v>
      </c>
      <c r="K41" s="487">
        <v>372</v>
      </c>
      <c r="L41" s="487">
        <v>39</v>
      </c>
      <c r="M41" s="487">
        <v>254</v>
      </c>
      <c r="N41" s="500">
        <f>SUM(B41:M41)</f>
        <v>6427</v>
      </c>
      <c r="O41" s="478" t="s">
        <v>655</v>
      </c>
    </row>
    <row r="42" spans="1:15" ht="26.4">
      <c r="A42" s="479">
        <v>2008</v>
      </c>
      <c r="B42" s="500">
        <f t="shared" ref="B42:N42" si="9">SUM(B43:B45)</f>
        <v>4483</v>
      </c>
      <c r="C42" s="500">
        <f t="shared" si="9"/>
        <v>3555</v>
      </c>
      <c r="D42" s="500">
        <f t="shared" si="9"/>
        <v>3118</v>
      </c>
      <c r="E42" s="500">
        <f t="shared" si="9"/>
        <v>5280</v>
      </c>
      <c r="F42" s="500">
        <f t="shared" si="9"/>
        <v>1757</v>
      </c>
      <c r="G42" s="500">
        <f t="shared" si="9"/>
        <v>1240</v>
      </c>
      <c r="H42" s="500">
        <f t="shared" si="9"/>
        <v>3285</v>
      </c>
      <c r="I42" s="500">
        <f t="shared" si="9"/>
        <v>1065</v>
      </c>
      <c r="J42" s="500">
        <f t="shared" si="9"/>
        <v>1106</v>
      </c>
      <c r="K42" s="500">
        <f t="shared" si="9"/>
        <v>5377</v>
      </c>
      <c r="L42" s="500">
        <f t="shared" si="9"/>
        <v>1576</v>
      </c>
      <c r="M42" s="500">
        <f t="shared" si="9"/>
        <v>5499</v>
      </c>
      <c r="N42" s="500">
        <f t="shared" si="9"/>
        <v>37341</v>
      </c>
      <c r="O42" s="505">
        <v>2008</v>
      </c>
    </row>
    <row r="43" spans="1:15" ht="26.4">
      <c r="A43" s="163" t="s">
        <v>673</v>
      </c>
      <c r="B43" s="474">
        <v>2637</v>
      </c>
      <c r="C43" s="474">
        <v>1549</v>
      </c>
      <c r="D43" s="474">
        <v>1410</v>
      </c>
      <c r="E43" s="474">
        <v>2564</v>
      </c>
      <c r="F43" s="474">
        <v>966</v>
      </c>
      <c r="G43" s="474">
        <v>412</v>
      </c>
      <c r="H43" s="474">
        <v>1260</v>
      </c>
      <c r="I43" s="474">
        <v>372</v>
      </c>
      <c r="J43" s="474">
        <v>172</v>
      </c>
      <c r="K43" s="474">
        <v>3072</v>
      </c>
      <c r="L43" s="474">
        <v>561</v>
      </c>
      <c r="M43" s="474">
        <v>4249</v>
      </c>
      <c r="N43" s="500">
        <f>SUM(B43:M43)</f>
        <v>19224</v>
      </c>
      <c r="O43" s="471" t="s">
        <v>674</v>
      </c>
    </row>
    <row r="44" spans="1:15" ht="26.4">
      <c r="A44" s="166" t="s">
        <v>701</v>
      </c>
      <c r="B44" s="474">
        <v>1522</v>
      </c>
      <c r="C44" s="474">
        <v>1573</v>
      </c>
      <c r="D44" s="474">
        <v>1434</v>
      </c>
      <c r="E44" s="474">
        <v>1643</v>
      </c>
      <c r="F44" s="474">
        <v>702</v>
      </c>
      <c r="G44" s="474">
        <v>494</v>
      </c>
      <c r="H44" s="474">
        <v>1348</v>
      </c>
      <c r="I44" s="474">
        <v>573</v>
      </c>
      <c r="J44" s="474">
        <v>779</v>
      </c>
      <c r="K44" s="474">
        <v>2090</v>
      </c>
      <c r="L44" s="474">
        <v>913</v>
      </c>
      <c r="M44" s="474">
        <v>1163</v>
      </c>
      <c r="N44" s="500">
        <f>SUM(B44:M44)</f>
        <v>14234</v>
      </c>
      <c r="O44" s="472" t="s">
        <v>702</v>
      </c>
    </row>
    <row r="45" spans="1:15" ht="26.4">
      <c r="A45" s="166" t="s">
        <v>654</v>
      </c>
      <c r="B45" s="487">
        <v>324</v>
      </c>
      <c r="C45" s="487">
        <v>433</v>
      </c>
      <c r="D45" s="487">
        <v>274</v>
      </c>
      <c r="E45" s="487">
        <v>1073</v>
      </c>
      <c r="F45" s="487">
        <v>89</v>
      </c>
      <c r="G45" s="487">
        <v>334</v>
      </c>
      <c r="H45" s="487">
        <v>677</v>
      </c>
      <c r="I45" s="487">
        <v>120</v>
      </c>
      <c r="J45" s="487">
        <v>155</v>
      </c>
      <c r="K45" s="487">
        <v>215</v>
      </c>
      <c r="L45" s="487">
        <v>102</v>
      </c>
      <c r="M45" s="487">
        <v>87</v>
      </c>
      <c r="N45" s="500">
        <f>SUM(B45:M45)</f>
        <v>3883</v>
      </c>
      <c r="O45" s="478" t="s">
        <v>655</v>
      </c>
    </row>
    <row r="46" spans="1:15" ht="26.4">
      <c r="A46" s="479">
        <v>2009</v>
      </c>
      <c r="B46" s="500">
        <f t="shared" ref="B46:N46" si="10">SUM(B47:B49)</f>
        <v>2190</v>
      </c>
      <c r="C46" s="500">
        <f t="shared" si="10"/>
        <v>1739</v>
      </c>
      <c r="D46" s="500">
        <f t="shared" si="10"/>
        <v>8315</v>
      </c>
      <c r="E46" s="500">
        <f t="shared" si="10"/>
        <v>6429</v>
      </c>
      <c r="F46" s="500">
        <f t="shared" si="10"/>
        <v>8536</v>
      </c>
      <c r="G46" s="500">
        <f t="shared" si="10"/>
        <v>4022</v>
      </c>
      <c r="H46" s="500">
        <f t="shared" si="10"/>
        <v>6015</v>
      </c>
      <c r="I46" s="500">
        <f t="shared" si="10"/>
        <v>7302</v>
      </c>
      <c r="J46" s="500">
        <f t="shared" si="10"/>
        <v>5741</v>
      </c>
      <c r="K46" s="500">
        <f t="shared" si="10"/>
        <v>2318</v>
      </c>
      <c r="L46" s="500">
        <f t="shared" si="10"/>
        <v>2105</v>
      </c>
      <c r="M46" s="500">
        <f t="shared" si="10"/>
        <v>2237</v>
      </c>
      <c r="N46" s="500">
        <f t="shared" si="10"/>
        <v>56949</v>
      </c>
      <c r="O46" s="505">
        <v>2009</v>
      </c>
    </row>
    <row r="47" spans="1:15" ht="26.4">
      <c r="A47" s="163" t="s">
        <v>673</v>
      </c>
      <c r="B47" s="474">
        <v>969</v>
      </c>
      <c r="C47" s="474">
        <v>801</v>
      </c>
      <c r="D47" s="474">
        <v>4524</v>
      </c>
      <c r="E47" s="474">
        <v>2993</v>
      </c>
      <c r="F47" s="474">
        <v>3979</v>
      </c>
      <c r="G47" s="474">
        <v>1819</v>
      </c>
      <c r="H47" s="474">
        <v>2865</v>
      </c>
      <c r="I47" s="474">
        <v>4063</v>
      </c>
      <c r="J47" s="474">
        <v>2656</v>
      </c>
      <c r="K47" s="474">
        <v>1352</v>
      </c>
      <c r="L47" s="474">
        <v>805</v>
      </c>
      <c r="M47" s="474">
        <v>575</v>
      </c>
      <c r="N47" s="500">
        <f>SUM(B47:M47)</f>
        <v>27401</v>
      </c>
      <c r="O47" s="471" t="s">
        <v>674</v>
      </c>
    </row>
    <row r="48" spans="1:15" ht="26.4">
      <c r="A48" s="166" t="s">
        <v>701</v>
      </c>
      <c r="B48" s="474">
        <v>921</v>
      </c>
      <c r="C48" s="474">
        <v>748</v>
      </c>
      <c r="D48" s="474">
        <v>3335</v>
      </c>
      <c r="E48" s="474">
        <v>3055</v>
      </c>
      <c r="F48" s="474">
        <v>3308</v>
      </c>
      <c r="G48" s="474">
        <v>1971</v>
      </c>
      <c r="H48" s="474">
        <v>3037</v>
      </c>
      <c r="I48" s="474">
        <v>3086</v>
      </c>
      <c r="J48" s="474">
        <v>2761</v>
      </c>
      <c r="K48" s="474">
        <v>843</v>
      </c>
      <c r="L48" s="474">
        <v>1155</v>
      </c>
      <c r="M48" s="474">
        <v>1220</v>
      </c>
      <c r="N48" s="500">
        <f>SUM(B48:M48)</f>
        <v>25440</v>
      </c>
      <c r="O48" s="472" t="s">
        <v>702</v>
      </c>
    </row>
    <row r="49" spans="1:15" ht="26.4">
      <c r="A49" s="166" t="s">
        <v>654</v>
      </c>
      <c r="B49" s="487">
        <v>300</v>
      </c>
      <c r="C49" s="487">
        <v>190</v>
      </c>
      <c r="D49" s="487">
        <v>456</v>
      </c>
      <c r="E49" s="487">
        <v>381</v>
      </c>
      <c r="F49" s="487">
        <v>1249</v>
      </c>
      <c r="G49" s="487">
        <v>232</v>
      </c>
      <c r="H49" s="487">
        <v>113</v>
      </c>
      <c r="I49" s="487">
        <v>153</v>
      </c>
      <c r="J49" s="487">
        <v>324</v>
      </c>
      <c r="K49" s="487">
        <v>123</v>
      </c>
      <c r="L49" s="487">
        <v>145</v>
      </c>
      <c r="M49" s="487">
        <v>442</v>
      </c>
      <c r="N49" s="500">
        <f>SUM(B49:M49)</f>
        <v>4108</v>
      </c>
      <c r="O49" s="478" t="s">
        <v>655</v>
      </c>
    </row>
    <row r="50" spans="1:15" ht="26.4">
      <c r="A50" s="479">
        <v>2010</v>
      </c>
      <c r="B50" s="500">
        <f t="shared" ref="B50:N50" si="11">SUM(B51:B53)</f>
        <v>3313</v>
      </c>
      <c r="C50" s="500">
        <f t="shared" si="11"/>
        <v>3413</v>
      </c>
      <c r="D50" s="500">
        <f t="shared" si="11"/>
        <v>4362</v>
      </c>
      <c r="E50" s="500">
        <f t="shared" si="11"/>
        <v>3511</v>
      </c>
      <c r="F50" s="500">
        <f t="shared" si="11"/>
        <v>4310</v>
      </c>
      <c r="G50" s="500">
        <f t="shared" si="11"/>
        <v>1586</v>
      </c>
      <c r="H50" s="500">
        <f t="shared" si="11"/>
        <v>3976</v>
      </c>
      <c r="I50" s="500">
        <f t="shared" si="11"/>
        <v>4810</v>
      </c>
      <c r="J50" s="500">
        <f t="shared" si="11"/>
        <v>3443</v>
      </c>
      <c r="K50" s="500">
        <f t="shared" si="11"/>
        <v>5626</v>
      </c>
      <c r="L50" s="500">
        <f t="shared" si="11"/>
        <v>1224</v>
      </c>
      <c r="M50" s="500">
        <f t="shared" si="11"/>
        <v>3099</v>
      </c>
      <c r="N50" s="500">
        <f t="shared" si="11"/>
        <v>42673</v>
      </c>
      <c r="O50" s="505">
        <v>2010</v>
      </c>
    </row>
    <row r="51" spans="1:15" ht="26.4">
      <c r="A51" s="163" t="s">
        <v>673</v>
      </c>
      <c r="B51" s="487">
        <v>1263</v>
      </c>
      <c r="C51" s="487">
        <v>1384</v>
      </c>
      <c r="D51" s="487">
        <v>936</v>
      </c>
      <c r="E51" s="487">
        <v>932</v>
      </c>
      <c r="F51" s="487">
        <v>1248</v>
      </c>
      <c r="G51" s="487">
        <v>14</v>
      </c>
      <c r="H51" s="487">
        <v>2758</v>
      </c>
      <c r="I51" s="487">
        <v>2354</v>
      </c>
      <c r="J51" s="487">
        <v>1595</v>
      </c>
      <c r="K51" s="487">
        <v>2402</v>
      </c>
      <c r="L51" s="487">
        <v>53</v>
      </c>
      <c r="M51" s="487">
        <v>1599</v>
      </c>
      <c r="N51" s="500">
        <f>SUM(B51:M51)</f>
        <v>16538</v>
      </c>
      <c r="O51" s="471" t="s">
        <v>674</v>
      </c>
    </row>
    <row r="52" spans="1:15" ht="26.4">
      <c r="A52" s="166" t="s">
        <v>701</v>
      </c>
      <c r="B52" s="487">
        <v>1672</v>
      </c>
      <c r="C52" s="487">
        <v>1363</v>
      </c>
      <c r="D52" s="487">
        <v>2129</v>
      </c>
      <c r="E52" s="487">
        <v>1730</v>
      </c>
      <c r="F52" s="487">
        <v>2188</v>
      </c>
      <c r="G52" s="487">
        <v>1025</v>
      </c>
      <c r="H52" s="487">
        <v>766</v>
      </c>
      <c r="I52" s="487">
        <v>1182</v>
      </c>
      <c r="J52" s="487">
        <v>1130</v>
      </c>
      <c r="K52" s="487">
        <v>1748</v>
      </c>
      <c r="L52" s="487">
        <v>884</v>
      </c>
      <c r="M52" s="487">
        <v>776</v>
      </c>
      <c r="N52" s="500">
        <f>SUM(B52:M52)</f>
        <v>16593</v>
      </c>
      <c r="O52" s="472" t="s">
        <v>702</v>
      </c>
    </row>
    <row r="53" spans="1:15" ht="26.4">
      <c r="A53" s="166" t="s">
        <v>654</v>
      </c>
      <c r="B53" s="487">
        <v>378</v>
      </c>
      <c r="C53" s="487">
        <v>666</v>
      </c>
      <c r="D53" s="487">
        <v>1297</v>
      </c>
      <c r="E53" s="487">
        <v>849</v>
      </c>
      <c r="F53" s="487">
        <v>874</v>
      </c>
      <c r="G53" s="487">
        <v>547</v>
      </c>
      <c r="H53" s="487">
        <v>452</v>
      </c>
      <c r="I53" s="487">
        <v>1274</v>
      </c>
      <c r="J53" s="487">
        <v>718</v>
      </c>
      <c r="K53" s="487">
        <v>1476</v>
      </c>
      <c r="L53" s="487">
        <v>287</v>
      </c>
      <c r="M53" s="487">
        <v>724</v>
      </c>
      <c r="N53" s="500">
        <f>SUM(B53:M53)</f>
        <v>9542</v>
      </c>
      <c r="O53" s="478" t="s">
        <v>655</v>
      </c>
    </row>
    <row r="54" spans="1:15" ht="26.4">
      <c r="A54" s="479">
        <v>2011</v>
      </c>
      <c r="B54" s="500">
        <f t="shared" ref="B54:N54" si="12">SUM(B55:B57)</f>
        <v>5953</v>
      </c>
      <c r="C54" s="500">
        <f t="shared" si="12"/>
        <v>8590</v>
      </c>
      <c r="D54" s="500">
        <f t="shared" si="12"/>
        <v>8091</v>
      </c>
      <c r="E54" s="500">
        <f t="shared" si="12"/>
        <v>7203</v>
      </c>
      <c r="F54" s="500">
        <f t="shared" si="12"/>
        <v>10800</v>
      </c>
      <c r="G54" s="500">
        <f t="shared" si="12"/>
        <v>4069</v>
      </c>
      <c r="H54" s="500">
        <f t="shared" si="12"/>
        <v>5662</v>
      </c>
      <c r="I54" s="500">
        <f t="shared" si="12"/>
        <v>8256</v>
      </c>
      <c r="J54" s="500">
        <f t="shared" si="12"/>
        <v>7202</v>
      </c>
      <c r="K54" s="500">
        <f t="shared" si="12"/>
        <v>9543</v>
      </c>
      <c r="L54" s="500">
        <f t="shared" si="12"/>
        <v>1805</v>
      </c>
      <c r="M54" s="500">
        <f t="shared" si="12"/>
        <v>6600</v>
      </c>
      <c r="N54" s="500">
        <f t="shared" si="12"/>
        <v>83774</v>
      </c>
      <c r="O54" s="410">
        <v>2011</v>
      </c>
    </row>
    <row r="55" spans="1:15" ht="26.4">
      <c r="A55" s="163" t="s">
        <v>673</v>
      </c>
      <c r="B55" s="487">
        <v>1650</v>
      </c>
      <c r="C55" s="487">
        <v>1511</v>
      </c>
      <c r="D55" s="487">
        <v>1096</v>
      </c>
      <c r="E55" s="487">
        <v>445</v>
      </c>
      <c r="F55" s="487">
        <v>730</v>
      </c>
      <c r="G55" s="487">
        <v>141</v>
      </c>
      <c r="H55" s="487">
        <v>1570</v>
      </c>
      <c r="I55" s="487">
        <v>1746</v>
      </c>
      <c r="J55" s="487">
        <v>1978</v>
      </c>
      <c r="K55" s="487">
        <v>1533</v>
      </c>
      <c r="L55" s="487">
        <v>36</v>
      </c>
      <c r="M55" s="487">
        <v>2547</v>
      </c>
      <c r="N55" s="500">
        <f>SUM(B55:M55)</f>
        <v>14983</v>
      </c>
      <c r="O55" s="498" t="s">
        <v>674</v>
      </c>
    </row>
    <row r="56" spans="1:15" ht="26.4">
      <c r="A56" s="166" t="s">
        <v>701</v>
      </c>
      <c r="B56" s="487">
        <v>812</v>
      </c>
      <c r="C56" s="487">
        <v>2377</v>
      </c>
      <c r="D56" s="487">
        <v>2561</v>
      </c>
      <c r="E56" s="487">
        <v>2352</v>
      </c>
      <c r="F56" s="487">
        <v>4054</v>
      </c>
      <c r="G56" s="487">
        <v>1289</v>
      </c>
      <c r="H56" s="487">
        <v>846</v>
      </c>
      <c r="I56" s="487">
        <v>1894</v>
      </c>
      <c r="J56" s="487">
        <v>1328</v>
      </c>
      <c r="K56" s="487">
        <v>2693</v>
      </c>
      <c r="L56" s="487">
        <v>452</v>
      </c>
      <c r="M56" s="487">
        <v>505</v>
      </c>
      <c r="N56" s="500">
        <f>SUM(B56:M56)</f>
        <v>21163</v>
      </c>
      <c r="O56" s="499" t="s">
        <v>702</v>
      </c>
    </row>
    <row r="57" spans="1:15" ht="26.4">
      <c r="A57" s="166" t="s">
        <v>654</v>
      </c>
      <c r="B57" s="487">
        <v>3491</v>
      </c>
      <c r="C57" s="487">
        <v>4702</v>
      </c>
      <c r="D57" s="487">
        <v>4434</v>
      </c>
      <c r="E57" s="487">
        <v>4406</v>
      </c>
      <c r="F57" s="487">
        <v>6016</v>
      </c>
      <c r="G57" s="487">
        <v>2639</v>
      </c>
      <c r="H57" s="487">
        <v>3246</v>
      </c>
      <c r="I57" s="487">
        <v>4616</v>
      </c>
      <c r="J57" s="487">
        <v>3896</v>
      </c>
      <c r="K57" s="487">
        <v>5317</v>
      </c>
      <c r="L57" s="487">
        <v>1317</v>
      </c>
      <c r="M57" s="487">
        <v>3548</v>
      </c>
      <c r="N57" s="500">
        <f>SUM(B57:M57)</f>
        <v>47628</v>
      </c>
      <c r="O57" s="506" t="s">
        <v>655</v>
      </c>
    </row>
    <row r="58" spans="1:15" ht="26.4">
      <c r="A58" s="479">
        <v>2012</v>
      </c>
      <c r="B58" s="500">
        <f t="shared" ref="B58:M58" si="13">SUM(B59:B61)</f>
        <v>3344</v>
      </c>
      <c r="C58" s="500">
        <f t="shared" si="13"/>
        <v>5200</v>
      </c>
      <c r="D58" s="500">
        <f t="shared" si="13"/>
        <v>2970</v>
      </c>
      <c r="E58" s="500">
        <f t="shared" si="13"/>
        <v>3412</v>
      </c>
      <c r="F58" s="500">
        <f t="shared" si="13"/>
        <v>5235</v>
      </c>
      <c r="G58" s="500">
        <f t="shared" si="13"/>
        <v>2034</v>
      </c>
      <c r="H58" s="500">
        <f t="shared" si="13"/>
        <v>2015</v>
      </c>
      <c r="I58" s="500">
        <f t="shared" si="13"/>
        <v>8153</v>
      </c>
      <c r="J58" s="500">
        <f t="shared" si="13"/>
        <v>5320</v>
      </c>
      <c r="K58" s="500">
        <f t="shared" si="13"/>
        <v>5767</v>
      </c>
      <c r="L58" s="500">
        <f t="shared" si="13"/>
        <v>3123</v>
      </c>
      <c r="M58" s="500">
        <f t="shared" si="13"/>
        <v>2200</v>
      </c>
      <c r="N58" s="500">
        <f>SUM(N59:N61)</f>
        <v>48773</v>
      </c>
      <c r="O58" s="410">
        <v>2012</v>
      </c>
    </row>
    <row r="59" spans="1:15" ht="26.4">
      <c r="A59" s="163" t="s">
        <v>673</v>
      </c>
      <c r="B59" s="487">
        <v>1251</v>
      </c>
      <c r="C59" s="487">
        <v>2597</v>
      </c>
      <c r="D59" s="487">
        <v>852</v>
      </c>
      <c r="E59" s="487">
        <v>307</v>
      </c>
      <c r="F59" s="487">
        <v>1896</v>
      </c>
      <c r="G59" s="487">
        <v>607</v>
      </c>
      <c r="H59" s="487">
        <v>1110</v>
      </c>
      <c r="I59" s="487">
        <v>6085</v>
      </c>
      <c r="J59" s="487">
        <v>2526</v>
      </c>
      <c r="K59" s="487">
        <v>2310</v>
      </c>
      <c r="L59" s="487">
        <v>1712</v>
      </c>
      <c r="M59" s="487">
        <v>1909</v>
      </c>
      <c r="N59" s="500">
        <f>SUM(B59:M59)</f>
        <v>23162</v>
      </c>
      <c r="O59" s="498" t="s">
        <v>674</v>
      </c>
    </row>
    <row r="60" spans="1:15" ht="26.4">
      <c r="A60" s="166" t="s">
        <v>701</v>
      </c>
      <c r="B60" s="487">
        <v>1807</v>
      </c>
      <c r="C60" s="487">
        <v>2301</v>
      </c>
      <c r="D60" s="487">
        <v>1608</v>
      </c>
      <c r="E60" s="487">
        <v>2564</v>
      </c>
      <c r="F60" s="487">
        <v>2569</v>
      </c>
      <c r="G60" s="487">
        <v>829</v>
      </c>
      <c r="H60" s="487">
        <v>602</v>
      </c>
      <c r="I60" s="487">
        <v>1742</v>
      </c>
      <c r="J60" s="487">
        <v>2209</v>
      </c>
      <c r="K60" s="487">
        <v>3135</v>
      </c>
      <c r="L60" s="487">
        <v>1132</v>
      </c>
      <c r="M60" s="487">
        <v>211</v>
      </c>
      <c r="N60" s="500">
        <f>SUM(B60:M60)</f>
        <v>20709</v>
      </c>
      <c r="O60" s="499" t="s">
        <v>702</v>
      </c>
    </row>
    <row r="61" spans="1:15" ht="26.4">
      <c r="A61" s="166" t="s">
        <v>654</v>
      </c>
      <c r="B61" s="487">
        <v>286</v>
      </c>
      <c r="C61" s="487">
        <v>302</v>
      </c>
      <c r="D61" s="487">
        <v>510</v>
      </c>
      <c r="E61" s="487">
        <v>541</v>
      </c>
      <c r="F61" s="487">
        <v>770</v>
      </c>
      <c r="G61" s="487">
        <v>598</v>
      </c>
      <c r="H61" s="487">
        <v>303</v>
      </c>
      <c r="I61" s="487">
        <v>326</v>
      </c>
      <c r="J61" s="487">
        <v>585</v>
      </c>
      <c r="K61" s="487">
        <v>322</v>
      </c>
      <c r="L61" s="487">
        <v>279</v>
      </c>
      <c r="M61" s="487">
        <v>80</v>
      </c>
      <c r="N61" s="500">
        <f>SUM(B61:M61)</f>
        <v>4902</v>
      </c>
      <c r="O61" s="506" t="s">
        <v>655</v>
      </c>
    </row>
    <row r="62" spans="1:15" ht="26.4">
      <c r="A62" s="479">
        <v>2013</v>
      </c>
      <c r="B62" s="500">
        <f t="shared" ref="B62:M62" si="14">SUM(B63:B65)</f>
        <v>2682</v>
      </c>
      <c r="C62" s="500">
        <f t="shared" si="14"/>
        <v>4461</v>
      </c>
      <c r="D62" s="500">
        <f t="shared" si="14"/>
        <v>4385</v>
      </c>
      <c r="E62" s="500">
        <f t="shared" si="14"/>
        <v>3836</v>
      </c>
      <c r="F62" s="500">
        <f t="shared" si="14"/>
        <v>5807</v>
      </c>
      <c r="G62" s="500">
        <f t="shared" si="14"/>
        <v>2456</v>
      </c>
      <c r="H62" s="500">
        <f t="shared" si="14"/>
        <v>4236</v>
      </c>
      <c r="I62" s="500">
        <f t="shared" si="14"/>
        <v>4012</v>
      </c>
      <c r="J62" s="500">
        <f t="shared" si="14"/>
        <v>5994</v>
      </c>
      <c r="K62" s="500">
        <f t="shared" si="14"/>
        <v>4728</v>
      </c>
      <c r="L62" s="500">
        <f t="shared" si="14"/>
        <v>1296</v>
      </c>
      <c r="M62" s="500">
        <f t="shared" si="14"/>
        <v>2672</v>
      </c>
      <c r="N62" s="500">
        <f>SUM(N63:N65)</f>
        <v>46565</v>
      </c>
      <c r="O62" s="410">
        <v>2013</v>
      </c>
    </row>
    <row r="63" spans="1:15" ht="26.4">
      <c r="A63" s="163" t="s">
        <v>673</v>
      </c>
      <c r="B63" s="487">
        <v>779</v>
      </c>
      <c r="C63" s="487">
        <v>2891</v>
      </c>
      <c r="D63" s="487">
        <v>865</v>
      </c>
      <c r="E63" s="487">
        <v>88</v>
      </c>
      <c r="F63" s="487">
        <v>2004</v>
      </c>
      <c r="G63" s="487">
        <v>242</v>
      </c>
      <c r="H63" s="487">
        <v>3161</v>
      </c>
      <c r="I63" s="487">
        <v>2580</v>
      </c>
      <c r="J63" s="487">
        <v>3234</v>
      </c>
      <c r="K63" s="487">
        <v>2007</v>
      </c>
      <c r="L63" s="487">
        <v>178</v>
      </c>
      <c r="M63" s="487">
        <v>1502</v>
      </c>
      <c r="N63" s="500">
        <f>SUM(B63:M63)</f>
        <v>19531</v>
      </c>
      <c r="O63" s="498" t="s">
        <v>674</v>
      </c>
    </row>
    <row r="64" spans="1:15" ht="26.4">
      <c r="A64" s="166" t="s">
        <v>701</v>
      </c>
      <c r="B64" s="487">
        <v>1143</v>
      </c>
      <c r="C64" s="487">
        <v>1082</v>
      </c>
      <c r="D64" s="487">
        <v>2864</v>
      </c>
      <c r="E64" s="487">
        <v>2648</v>
      </c>
      <c r="F64" s="487">
        <v>2525</v>
      </c>
      <c r="G64" s="487">
        <v>1889</v>
      </c>
      <c r="H64" s="487">
        <v>966</v>
      </c>
      <c r="I64" s="487">
        <v>1168</v>
      </c>
      <c r="J64" s="487">
        <v>2161</v>
      </c>
      <c r="K64" s="487">
        <v>2082</v>
      </c>
      <c r="L64" s="487">
        <v>883</v>
      </c>
      <c r="M64" s="487">
        <v>963</v>
      </c>
      <c r="N64" s="500">
        <f>SUM(B64:M64)</f>
        <v>20374</v>
      </c>
      <c r="O64" s="499" t="s">
        <v>702</v>
      </c>
    </row>
    <row r="65" spans="1:15" ht="26.4">
      <c r="A65" s="166" t="s">
        <v>654</v>
      </c>
      <c r="B65" s="487">
        <v>760</v>
      </c>
      <c r="C65" s="487">
        <v>488</v>
      </c>
      <c r="D65" s="487">
        <v>656</v>
      </c>
      <c r="E65" s="487">
        <v>1100</v>
      </c>
      <c r="F65" s="487">
        <v>1278</v>
      </c>
      <c r="G65" s="487">
        <v>325</v>
      </c>
      <c r="H65" s="487">
        <v>109</v>
      </c>
      <c r="I65" s="487">
        <v>264</v>
      </c>
      <c r="J65" s="487">
        <v>599</v>
      </c>
      <c r="K65" s="487">
        <v>639</v>
      </c>
      <c r="L65" s="487">
        <v>235</v>
      </c>
      <c r="M65" s="487">
        <v>207</v>
      </c>
      <c r="N65" s="500">
        <f>SUM(B65:M65)</f>
        <v>6660</v>
      </c>
      <c r="O65" s="506" t="s">
        <v>655</v>
      </c>
    </row>
    <row r="66" spans="1:15" ht="26.4">
      <c r="A66" s="479">
        <v>2015</v>
      </c>
      <c r="B66" s="500">
        <f t="shared" ref="B66:M66" si="15">SUM(B67:B69)</f>
        <v>3559</v>
      </c>
      <c r="C66" s="500">
        <f t="shared" si="15"/>
        <v>6150</v>
      </c>
      <c r="D66" s="500">
        <f t="shared" si="15"/>
        <v>5901</v>
      </c>
      <c r="E66" s="500">
        <f t="shared" si="15"/>
        <v>6204</v>
      </c>
      <c r="F66" s="500">
        <f t="shared" si="15"/>
        <v>6590</v>
      </c>
      <c r="G66" s="500">
        <f t="shared" si="15"/>
        <v>3725</v>
      </c>
      <c r="H66" s="500">
        <f t="shared" si="15"/>
        <v>6819</v>
      </c>
      <c r="I66" s="500">
        <f t="shared" si="15"/>
        <v>6782</v>
      </c>
      <c r="J66" s="500">
        <f t="shared" si="15"/>
        <v>5398</v>
      </c>
      <c r="K66" s="500">
        <f t="shared" si="15"/>
        <v>5735</v>
      </c>
      <c r="L66" s="500">
        <f t="shared" si="15"/>
        <v>4480</v>
      </c>
      <c r="M66" s="500">
        <f t="shared" si="15"/>
        <v>6224</v>
      </c>
      <c r="N66" s="500">
        <f t="shared" ref="N66:N92" si="16">SUM(B66:M66)</f>
        <v>67567</v>
      </c>
      <c r="O66" s="410">
        <v>2015</v>
      </c>
    </row>
    <row r="67" spans="1:15" ht="26.4">
      <c r="A67" s="163" t="s">
        <v>673</v>
      </c>
      <c r="B67" s="487">
        <v>1109</v>
      </c>
      <c r="C67" s="487">
        <v>838</v>
      </c>
      <c r="D67" s="487">
        <v>619</v>
      </c>
      <c r="E67" s="487">
        <v>1424</v>
      </c>
      <c r="F67" s="487">
        <v>1376</v>
      </c>
      <c r="G67" s="487">
        <v>0</v>
      </c>
      <c r="H67" s="487">
        <v>3529</v>
      </c>
      <c r="I67" s="487">
        <v>2749</v>
      </c>
      <c r="J67" s="487">
        <v>1183</v>
      </c>
      <c r="K67" s="487">
        <v>1083</v>
      </c>
      <c r="L67" s="487">
        <v>24</v>
      </c>
      <c r="M67" s="487">
        <v>0</v>
      </c>
      <c r="N67" s="500">
        <f t="shared" si="16"/>
        <v>13934</v>
      </c>
      <c r="O67" s="498" t="s">
        <v>674</v>
      </c>
    </row>
    <row r="68" spans="1:15" ht="26.4">
      <c r="A68" s="166" t="s">
        <v>701</v>
      </c>
      <c r="B68" s="487">
        <v>1985</v>
      </c>
      <c r="C68" s="487">
        <v>2822</v>
      </c>
      <c r="D68" s="487">
        <v>2509</v>
      </c>
      <c r="E68" s="487">
        <v>2575</v>
      </c>
      <c r="F68" s="487">
        <v>2696</v>
      </c>
      <c r="G68" s="487">
        <v>1183</v>
      </c>
      <c r="H68" s="487">
        <v>1502</v>
      </c>
      <c r="I68" s="487">
        <v>2185</v>
      </c>
      <c r="J68" s="487">
        <v>2575</v>
      </c>
      <c r="K68" s="487">
        <v>3042</v>
      </c>
      <c r="L68" s="487">
        <v>1432</v>
      </c>
      <c r="M68" s="487">
        <v>2352</v>
      </c>
      <c r="N68" s="500">
        <f t="shared" si="16"/>
        <v>26858</v>
      </c>
      <c r="O68" s="499" t="s">
        <v>702</v>
      </c>
    </row>
    <row r="69" spans="1:15" ht="26.4">
      <c r="A69" s="166" t="s">
        <v>654</v>
      </c>
      <c r="B69" s="487">
        <v>465</v>
      </c>
      <c r="C69" s="487">
        <v>2490</v>
      </c>
      <c r="D69" s="487">
        <v>2773</v>
      </c>
      <c r="E69" s="487">
        <v>2205</v>
      </c>
      <c r="F69" s="487">
        <v>2518</v>
      </c>
      <c r="G69" s="487">
        <v>2542</v>
      </c>
      <c r="H69" s="487">
        <v>1788</v>
      </c>
      <c r="I69" s="487">
        <v>1848</v>
      </c>
      <c r="J69" s="487">
        <v>1640</v>
      </c>
      <c r="K69" s="487">
        <v>1610</v>
      </c>
      <c r="L69" s="487">
        <v>3024</v>
      </c>
      <c r="M69" s="487">
        <v>3872</v>
      </c>
      <c r="N69" s="500">
        <f t="shared" si="16"/>
        <v>26775</v>
      </c>
      <c r="O69" s="506" t="s">
        <v>655</v>
      </c>
    </row>
    <row r="70" spans="1:15" ht="26.4">
      <c r="A70" s="479">
        <v>2016</v>
      </c>
      <c r="B70" s="500">
        <f t="shared" ref="B70:M70" si="17">SUM(B71:B73)</f>
        <v>7355</v>
      </c>
      <c r="C70" s="500">
        <f t="shared" si="17"/>
        <v>5971</v>
      </c>
      <c r="D70" s="500">
        <f t="shared" si="17"/>
        <v>7827</v>
      </c>
      <c r="E70" s="500">
        <f t="shared" si="17"/>
        <v>6392</v>
      </c>
      <c r="F70" s="500">
        <f t="shared" si="17"/>
        <v>6214</v>
      </c>
      <c r="G70" s="500">
        <f t="shared" si="17"/>
        <v>4718</v>
      </c>
      <c r="H70" s="500">
        <f t="shared" si="17"/>
        <v>6416</v>
      </c>
      <c r="I70" s="500">
        <f t="shared" si="17"/>
        <v>6657</v>
      </c>
      <c r="J70" s="500">
        <f t="shared" si="17"/>
        <v>5365</v>
      </c>
      <c r="K70" s="500">
        <f t="shared" si="17"/>
        <v>6870</v>
      </c>
      <c r="L70" s="500">
        <f t="shared" si="17"/>
        <v>6136</v>
      </c>
      <c r="M70" s="500">
        <f t="shared" si="17"/>
        <v>6142</v>
      </c>
      <c r="N70" s="500">
        <f t="shared" si="16"/>
        <v>76063</v>
      </c>
      <c r="O70" s="410">
        <v>2016</v>
      </c>
    </row>
    <row r="71" spans="1:15" ht="26.4">
      <c r="A71" s="163" t="s">
        <v>673</v>
      </c>
      <c r="B71" s="487">
        <v>2201</v>
      </c>
      <c r="C71" s="487">
        <v>462</v>
      </c>
      <c r="D71" s="487">
        <v>1416</v>
      </c>
      <c r="E71" s="487">
        <v>671</v>
      </c>
      <c r="F71" s="487">
        <v>880</v>
      </c>
      <c r="G71" s="487">
        <v>0</v>
      </c>
      <c r="H71" s="487">
        <v>3004</v>
      </c>
      <c r="I71" s="487">
        <v>1942</v>
      </c>
      <c r="J71" s="487">
        <v>1689</v>
      </c>
      <c r="K71" s="487">
        <v>1614</v>
      </c>
      <c r="L71" s="487">
        <v>0</v>
      </c>
      <c r="M71" s="487">
        <v>0</v>
      </c>
      <c r="N71" s="500">
        <f t="shared" si="16"/>
        <v>13879</v>
      </c>
      <c r="O71" s="498" t="s">
        <v>674</v>
      </c>
    </row>
    <row r="72" spans="1:15" ht="26.4">
      <c r="A72" s="166" t="s">
        <v>701</v>
      </c>
      <c r="B72" s="487">
        <v>2708</v>
      </c>
      <c r="C72" s="487">
        <v>2491</v>
      </c>
      <c r="D72" s="487">
        <v>2763</v>
      </c>
      <c r="E72" s="487">
        <v>2769</v>
      </c>
      <c r="F72" s="487">
        <v>2223</v>
      </c>
      <c r="G72" s="487">
        <v>1618</v>
      </c>
      <c r="H72" s="487">
        <v>1410</v>
      </c>
      <c r="I72" s="487">
        <v>2807</v>
      </c>
      <c r="J72" s="487">
        <v>1848</v>
      </c>
      <c r="K72" s="487">
        <v>2192</v>
      </c>
      <c r="L72" s="487">
        <v>2265</v>
      </c>
      <c r="M72" s="487">
        <v>3063</v>
      </c>
      <c r="N72" s="500">
        <f t="shared" si="16"/>
        <v>28157</v>
      </c>
      <c r="O72" s="499" t="s">
        <v>702</v>
      </c>
    </row>
    <row r="73" spans="1:15" ht="26.4">
      <c r="A73" s="166" t="s">
        <v>654</v>
      </c>
      <c r="B73" s="487">
        <v>2446</v>
      </c>
      <c r="C73" s="487">
        <v>3018</v>
      </c>
      <c r="D73" s="487">
        <v>3648</v>
      </c>
      <c r="E73" s="487">
        <v>2952</v>
      </c>
      <c r="F73" s="487">
        <v>3111</v>
      </c>
      <c r="G73" s="487">
        <v>3100</v>
      </c>
      <c r="H73" s="487">
        <v>2002</v>
      </c>
      <c r="I73" s="487">
        <v>1908</v>
      </c>
      <c r="J73" s="487">
        <v>1828</v>
      </c>
      <c r="K73" s="487">
        <v>3064</v>
      </c>
      <c r="L73" s="487">
        <v>3871</v>
      </c>
      <c r="M73" s="487">
        <v>3079</v>
      </c>
      <c r="N73" s="500">
        <f t="shared" si="16"/>
        <v>34027</v>
      </c>
      <c r="O73" s="506" t="s">
        <v>655</v>
      </c>
    </row>
    <row r="74" spans="1:15" ht="26.4">
      <c r="A74" s="479">
        <v>2017</v>
      </c>
      <c r="B74" s="500">
        <f t="shared" ref="B74:M74" si="18">SUM(B75:B77)</f>
        <v>9088</v>
      </c>
      <c r="C74" s="500">
        <f t="shared" si="18"/>
        <v>8502</v>
      </c>
      <c r="D74" s="500">
        <f t="shared" si="18"/>
        <v>6729</v>
      </c>
      <c r="E74" s="500">
        <f t="shared" si="18"/>
        <v>5714</v>
      </c>
      <c r="F74" s="500">
        <f t="shared" si="18"/>
        <v>7451</v>
      </c>
      <c r="G74" s="500">
        <f t="shared" si="18"/>
        <v>4254</v>
      </c>
      <c r="H74" s="500">
        <f t="shared" si="18"/>
        <v>5256</v>
      </c>
      <c r="I74" s="500">
        <f t="shared" si="18"/>
        <v>7956</v>
      </c>
      <c r="J74" s="500">
        <f t="shared" si="18"/>
        <v>6426</v>
      </c>
      <c r="K74" s="500">
        <f t="shared" si="18"/>
        <v>7706</v>
      </c>
      <c r="L74" s="500">
        <f t="shared" si="18"/>
        <v>4797</v>
      </c>
      <c r="M74" s="500">
        <f t="shared" si="18"/>
        <v>6717</v>
      </c>
      <c r="N74" s="500">
        <f>SUM(B74:M74)</f>
        <v>80596</v>
      </c>
      <c r="O74" s="410">
        <v>2017</v>
      </c>
    </row>
    <row r="75" spans="1:15" ht="26.4">
      <c r="A75" s="163" t="s">
        <v>673</v>
      </c>
      <c r="B75" s="487">
        <v>2477</v>
      </c>
      <c r="C75" s="487">
        <v>3094</v>
      </c>
      <c r="D75" s="487">
        <v>1076</v>
      </c>
      <c r="E75" s="487">
        <v>472</v>
      </c>
      <c r="F75" s="487">
        <v>862</v>
      </c>
      <c r="G75" s="487">
        <v>48</v>
      </c>
      <c r="H75" s="487">
        <v>1073</v>
      </c>
      <c r="I75" s="487">
        <v>2116</v>
      </c>
      <c r="J75" s="487">
        <v>921</v>
      </c>
      <c r="K75" s="487">
        <v>1425</v>
      </c>
      <c r="L75" s="487">
        <v>16</v>
      </c>
      <c r="M75" s="487">
        <v>923</v>
      </c>
      <c r="N75" s="500">
        <f t="shared" si="16"/>
        <v>14503</v>
      </c>
      <c r="O75" s="498" t="s">
        <v>674</v>
      </c>
    </row>
    <row r="76" spans="1:15" ht="26.4">
      <c r="A76" s="166" t="s">
        <v>701</v>
      </c>
      <c r="B76" s="487">
        <v>3363</v>
      </c>
      <c r="C76" s="487">
        <v>3827</v>
      </c>
      <c r="D76" s="487">
        <v>3215</v>
      </c>
      <c r="E76" s="487">
        <v>2210</v>
      </c>
      <c r="F76" s="487">
        <v>3360</v>
      </c>
      <c r="G76" s="487">
        <v>1882</v>
      </c>
      <c r="H76" s="487">
        <v>2312</v>
      </c>
      <c r="I76" s="487">
        <v>3713</v>
      </c>
      <c r="J76" s="487">
        <v>2706</v>
      </c>
      <c r="K76" s="487">
        <v>2918</v>
      </c>
      <c r="L76" s="487">
        <v>1645</v>
      </c>
      <c r="M76" s="487">
        <v>2300</v>
      </c>
      <c r="N76" s="500">
        <f t="shared" si="16"/>
        <v>33451</v>
      </c>
      <c r="O76" s="499" t="s">
        <v>702</v>
      </c>
    </row>
    <row r="77" spans="1:15" ht="26.4">
      <c r="A77" s="166" t="s">
        <v>654</v>
      </c>
      <c r="B77" s="487">
        <v>3248</v>
      </c>
      <c r="C77" s="487">
        <v>1581</v>
      </c>
      <c r="D77" s="487">
        <v>2438</v>
      </c>
      <c r="E77" s="487">
        <v>3032</v>
      </c>
      <c r="F77" s="487">
        <v>3229</v>
      </c>
      <c r="G77" s="487">
        <v>2324</v>
      </c>
      <c r="H77" s="487">
        <v>1871</v>
      </c>
      <c r="I77" s="487">
        <v>2127</v>
      </c>
      <c r="J77" s="487">
        <v>2799</v>
      </c>
      <c r="K77" s="487">
        <v>3363</v>
      </c>
      <c r="L77" s="487">
        <v>3136</v>
      </c>
      <c r="M77" s="487">
        <v>3494</v>
      </c>
      <c r="N77" s="500">
        <f t="shared" si="16"/>
        <v>32642</v>
      </c>
      <c r="O77" s="506" t="s">
        <v>655</v>
      </c>
    </row>
    <row r="78" spans="1:15" ht="26.4">
      <c r="A78" s="479">
        <v>2018</v>
      </c>
      <c r="B78" s="500">
        <f t="shared" ref="B78:M78" si="19">SUM(B79:B81)</f>
        <v>6708</v>
      </c>
      <c r="C78" s="500">
        <f t="shared" si="19"/>
        <v>9405</v>
      </c>
      <c r="D78" s="500">
        <f t="shared" si="19"/>
        <v>9413</v>
      </c>
      <c r="E78" s="500">
        <f t="shared" si="19"/>
        <v>8399</v>
      </c>
      <c r="F78" s="500">
        <f t="shared" si="19"/>
        <v>9155</v>
      </c>
      <c r="G78" s="500">
        <f t="shared" si="19"/>
        <v>5119</v>
      </c>
      <c r="H78" s="500">
        <f t="shared" si="19"/>
        <v>9843</v>
      </c>
      <c r="I78" s="500">
        <f t="shared" si="19"/>
        <v>9538</v>
      </c>
      <c r="J78" s="500">
        <f t="shared" si="19"/>
        <v>8685</v>
      </c>
      <c r="K78" s="500">
        <f t="shared" si="19"/>
        <v>9800</v>
      </c>
      <c r="L78" s="500">
        <f t="shared" si="19"/>
        <v>7456</v>
      </c>
      <c r="M78" s="500">
        <f t="shared" si="19"/>
        <v>6835</v>
      </c>
      <c r="N78" s="500">
        <f t="shared" si="16"/>
        <v>100356</v>
      </c>
      <c r="O78" s="410">
        <v>2018</v>
      </c>
    </row>
    <row r="79" spans="1:15" ht="26.4">
      <c r="A79" s="163" t="s">
        <v>673</v>
      </c>
      <c r="B79" s="487">
        <v>923</v>
      </c>
      <c r="C79" s="487">
        <v>1313</v>
      </c>
      <c r="D79" s="487">
        <v>824</v>
      </c>
      <c r="E79" s="487">
        <v>615</v>
      </c>
      <c r="F79" s="487">
        <v>742</v>
      </c>
      <c r="G79" s="487">
        <v>0</v>
      </c>
      <c r="H79" s="487">
        <v>1550</v>
      </c>
      <c r="I79" s="487">
        <v>1140</v>
      </c>
      <c r="J79" s="487">
        <v>1432</v>
      </c>
      <c r="K79" s="487">
        <v>792</v>
      </c>
      <c r="L79" s="487">
        <v>305</v>
      </c>
      <c r="M79" s="487">
        <v>25</v>
      </c>
      <c r="N79" s="500">
        <f t="shared" si="16"/>
        <v>9661</v>
      </c>
      <c r="O79" s="498" t="s">
        <v>674</v>
      </c>
    </row>
    <row r="80" spans="1:15" ht="26.4">
      <c r="A80" s="166" t="s">
        <v>701</v>
      </c>
      <c r="B80" s="487">
        <v>2289</v>
      </c>
      <c r="C80" s="487">
        <v>3118</v>
      </c>
      <c r="D80" s="487">
        <v>3204</v>
      </c>
      <c r="E80" s="487">
        <v>3161</v>
      </c>
      <c r="F80" s="487">
        <v>3129</v>
      </c>
      <c r="G80" s="487">
        <v>1499</v>
      </c>
      <c r="H80" s="487">
        <v>2927</v>
      </c>
      <c r="I80" s="487">
        <v>3154</v>
      </c>
      <c r="J80" s="487">
        <v>2876</v>
      </c>
      <c r="K80" s="487">
        <v>2821</v>
      </c>
      <c r="L80" s="487">
        <v>803</v>
      </c>
      <c r="M80" s="487">
        <v>1330</v>
      </c>
      <c r="N80" s="500">
        <f t="shared" si="16"/>
        <v>30311</v>
      </c>
      <c r="O80" s="499" t="s">
        <v>702</v>
      </c>
    </row>
    <row r="81" spans="1:15" ht="26.4">
      <c r="A81" s="166" t="s">
        <v>654</v>
      </c>
      <c r="B81" s="487">
        <v>3496</v>
      </c>
      <c r="C81" s="487">
        <v>4974</v>
      </c>
      <c r="D81" s="487">
        <v>5385</v>
      </c>
      <c r="E81" s="487">
        <v>4623</v>
      </c>
      <c r="F81" s="487">
        <v>5284</v>
      </c>
      <c r="G81" s="487">
        <v>3620</v>
      </c>
      <c r="H81" s="487">
        <v>5366</v>
      </c>
      <c r="I81" s="487">
        <v>5244</v>
      </c>
      <c r="J81" s="487">
        <v>4377</v>
      </c>
      <c r="K81" s="487">
        <v>6187</v>
      </c>
      <c r="L81" s="487">
        <v>6348</v>
      </c>
      <c r="M81" s="487">
        <v>5480</v>
      </c>
      <c r="N81" s="500">
        <f t="shared" si="16"/>
        <v>60384</v>
      </c>
      <c r="O81" s="506" t="s">
        <v>655</v>
      </c>
    </row>
    <row r="82" spans="1:15" ht="26.4">
      <c r="A82" s="479">
        <v>2019</v>
      </c>
      <c r="B82" s="500">
        <f>SUM(B83:B85)</f>
        <v>7128</v>
      </c>
      <c r="C82" s="500">
        <f t="shared" ref="C82:M82" si="20">SUM(C83:C85)</f>
        <v>9148</v>
      </c>
      <c r="D82" s="500">
        <f t="shared" si="20"/>
        <v>8987</v>
      </c>
      <c r="E82" s="500">
        <f t="shared" si="20"/>
        <v>10643</v>
      </c>
      <c r="F82" s="500">
        <f t="shared" si="20"/>
        <v>10540</v>
      </c>
      <c r="G82" s="500">
        <f t="shared" si="20"/>
        <v>5966</v>
      </c>
      <c r="H82" s="500">
        <f t="shared" si="20"/>
        <v>8082</v>
      </c>
      <c r="I82" s="500">
        <f t="shared" si="20"/>
        <v>5355</v>
      </c>
      <c r="J82" s="500">
        <f t="shared" si="20"/>
        <v>9161</v>
      </c>
      <c r="K82" s="500">
        <f t="shared" si="20"/>
        <v>10318</v>
      </c>
      <c r="L82" s="500">
        <f t="shared" si="20"/>
        <v>9600</v>
      </c>
      <c r="M82" s="500">
        <f t="shared" si="20"/>
        <v>11262</v>
      </c>
      <c r="N82" s="500">
        <f t="shared" si="16"/>
        <v>106190</v>
      </c>
      <c r="O82" s="410">
        <v>2019</v>
      </c>
    </row>
    <row r="83" spans="1:15" ht="26.4">
      <c r="A83" s="163" t="s">
        <v>673</v>
      </c>
      <c r="B83" s="487">
        <v>25</v>
      </c>
      <c r="C83" s="487">
        <v>839</v>
      </c>
      <c r="D83" s="487">
        <v>208</v>
      </c>
      <c r="E83" s="487">
        <v>2027</v>
      </c>
      <c r="F83" s="487">
        <v>2385</v>
      </c>
      <c r="G83" s="487">
        <v>370</v>
      </c>
      <c r="H83" s="487">
        <v>299</v>
      </c>
      <c r="I83" s="487">
        <v>636</v>
      </c>
      <c r="J83" s="487">
        <v>2319</v>
      </c>
      <c r="K83" s="487">
        <v>1177</v>
      </c>
      <c r="L83" s="487">
        <v>535</v>
      </c>
      <c r="M83" s="487">
        <v>2110</v>
      </c>
      <c r="N83" s="500">
        <f t="shared" si="16"/>
        <v>12930</v>
      </c>
      <c r="O83" s="498" t="s">
        <v>674</v>
      </c>
    </row>
    <row r="84" spans="1:15" ht="26.4">
      <c r="A84" s="166" t="s">
        <v>701</v>
      </c>
      <c r="B84" s="487">
        <v>2696</v>
      </c>
      <c r="C84" s="487">
        <v>4252</v>
      </c>
      <c r="D84" s="487">
        <v>3654</v>
      </c>
      <c r="E84" s="487">
        <v>3946</v>
      </c>
      <c r="F84" s="487">
        <v>3584</v>
      </c>
      <c r="G84" s="487">
        <v>1314</v>
      </c>
      <c r="H84" s="487">
        <v>3009</v>
      </c>
      <c r="I84" s="487">
        <v>2202</v>
      </c>
      <c r="J84" s="487">
        <v>3580</v>
      </c>
      <c r="K84" s="487">
        <v>4084</v>
      </c>
      <c r="L84" s="487">
        <v>4120</v>
      </c>
      <c r="M84" s="487">
        <v>4434</v>
      </c>
      <c r="N84" s="500">
        <f t="shared" si="16"/>
        <v>40875</v>
      </c>
      <c r="O84" s="499" t="s">
        <v>702</v>
      </c>
    </row>
    <row r="85" spans="1:15" ht="26.4">
      <c r="A85" s="166" t="s">
        <v>654</v>
      </c>
      <c r="B85" s="487">
        <v>4407</v>
      </c>
      <c r="C85" s="487">
        <v>4057</v>
      </c>
      <c r="D85" s="487">
        <v>5125</v>
      </c>
      <c r="E85" s="487">
        <v>4670</v>
      </c>
      <c r="F85" s="487">
        <v>4571</v>
      </c>
      <c r="G85" s="487">
        <v>4282</v>
      </c>
      <c r="H85" s="487">
        <v>4774</v>
      </c>
      <c r="I85" s="487">
        <v>2517</v>
      </c>
      <c r="J85" s="487">
        <v>3262</v>
      </c>
      <c r="K85" s="487">
        <v>5057</v>
      </c>
      <c r="L85" s="487">
        <v>4945</v>
      </c>
      <c r="M85" s="487">
        <v>4718</v>
      </c>
      <c r="N85" s="500">
        <f t="shared" si="16"/>
        <v>52385</v>
      </c>
      <c r="O85" s="506" t="s">
        <v>655</v>
      </c>
    </row>
    <row r="86" spans="1:15" ht="26.4">
      <c r="A86" s="479">
        <v>2020</v>
      </c>
      <c r="B86" s="500">
        <f t="shared" ref="B86:M86" si="21">SUM(B87:B89)</f>
        <v>10558</v>
      </c>
      <c r="C86" s="500">
        <f t="shared" si="21"/>
        <v>9984</v>
      </c>
      <c r="D86" s="500">
        <f t="shared" si="21"/>
        <v>9916</v>
      </c>
      <c r="E86" s="500">
        <f t="shared" si="21"/>
        <v>5901</v>
      </c>
      <c r="F86" s="500">
        <f t="shared" si="21"/>
        <v>7474</v>
      </c>
      <c r="G86" s="500">
        <f t="shared" si="21"/>
        <v>10082</v>
      </c>
      <c r="H86" s="500">
        <f t="shared" si="21"/>
        <v>10804</v>
      </c>
      <c r="I86" s="500">
        <f t="shared" si="21"/>
        <v>9692</v>
      </c>
      <c r="J86" s="500">
        <f t="shared" si="21"/>
        <v>8726</v>
      </c>
      <c r="K86" s="500">
        <f t="shared" si="21"/>
        <v>10675</v>
      </c>
      <c r="L86" s="500">
        <f t="shared" si="21"/>
        <v>17192</v>
      </c>
      <c r="M86" s="500">
        <f t="shared" si="21"/>
        <v>13036</v>
      </c>
      <c r="N86" s="500">
        <f t="shared" si="16"/>
        <v>124040</v>
      </c>
      <c r="O86" s="410">
        <v>2020</v>
      </c>
    </row>
    <row r="87" spans="1:15" ht="26.4">
      <c r="A87" s="163" t="s">
        <v>673</v>
      </c>
      <c r="B87" s="487">
        <v>1177</v>
      </c>
      <c r="C87" s="487">
        <v>739</v>
      </c>
      <c r="D87" s="487">
        <v>815</v>
      </c>
      <c r="E87" s="487">
        <v>145</v>
      </c>
      <c r="F87" s="487">
        <v>46</v>
      </c>
      <c r="G87" s="487">
        <v>1692</v>
      </c>
      <c r="H87" s="487">
        <v>589</v>
      </c>
      <c r="I87" s="487">
        <v>2125</v>
      </c>
      <c r="J87" s="487">
        <v>1051</v>
      </c>
      <c r="K87" s="487">
        <v>1357</v>
      </c>
      <c r="L87" s="487">
        <v>0</v>
      </c>
      <c r="M87" s="487">
        <v>305</v>
      </c>
      <c r="N87" s="500">
        <f t="shared" si="16"/>
        <v>10041</v>
      </c>
      <c r="O87" s="498" t="s">
        <v>674</v>
      </c>
    </row>
    <row r="88" spans="1:15" ht="26.4">
      <c r="A88" s="166" t="s">
        <v>701</v>
      </c>
      <c r="B88" s="487">
        <v>3958</v>
      </c>
      <c r="C88" s="487">
        <v>3959</v>
      </c>
      <c r="D88" s="487">
        <v>2906</v>
      </c>
      <c r="E88" s="487">
        <v>960</v>
      </c>
      <c r="F88" s="487">
        <v>1167</v>
      </c>
      <c r="G88" s="487">
        <v>2069</v>
      </c>
      <c r="H88" s="487">
        <v>1994</v>
      </c>
      <c r="I88" s="487">
        <v>2715</v>
      </c>
      <c r="J88" s="487">
        <v>3408</v>
      </c>
      <c r="K88" s="487">
        <v>4072</v>
      </c>
      <c r="L88" s="487">
        <v>1841</v>
      </c>
      <c r="M88" s="487">
        <v>1685</v>
      </c>
      <c r="N88" s="500">
        <f t="shared" si="16"/>
        <v>30734</v>
      </c>
      <c r="O88" s="499" t="s">
        <v>702</v>
      </c>
    </row>
    <row r="89" spans="1:15" ht="26.4">
      <c r="A89" s="166" t="s">
        <v>654</v>
      </c>
      <c r="B89" s="487">
        <v>5423</v>
      </c>
      <c r="C89" s="487">
        <v>5286</v>
      </c>
      <c r="D89" s="487">
        <v>6195</v>
      </c>
      <c r="E89" s="487">
        <v>4796</v>
      </c>
      <c r="F89" s="487">
        <v>6261</v>
      </c>
      <c r="G89" s="487">
        <v>6321</v>
      </c>
      <c r="H89" s="487">
        <v>8221</v>
      </c>
      <c r="I89" s="487">
        <v>4852</v>
      </c>
      <c r="J89" s="487">
        <v>4267</v>
      </c>
      <c r="K89" s="487">
        <v>5246</v>
      </c>
      <c r="L89" s="487">
        <v>15351</v>
      </c>
      <c r="M89" s="487">
        <v>11046</v>
      </c>
      <c r="N89" s="500">
        <f t="shared" si="16"/>
        <v>83265</v>
      </c>
      <c r="O89" s="506" t="s">
        <v>655</v>
      </c>
    </row>
    <row r="90" spans="1:15" ht="26.4">
      <c r="A90" s="163" t="s">
        <v>673</v>
      </c>
      <c r="B90" s="487">
        <v>6325</v>
      </c>
      <c r="C90" s="487">
        <v>8011</v>
      </c>
      <c r="D90" s="487">
        <v>5844</v>
      </c>
      <c r="E90" s="487">
        <v>5925</v>
      </c>
      <c r="F90" s="487">
        <v>8014</v>
      </c>
      <c r="G90" s="487">
        <v>94</v>
      </c>
      <c r="H90" s="487">
        <v>19894</v>
      </c>
      <c r="I90" s="487">
        <v>18367</v>
      </c>
      <c r="J90" s="487">
        <v>12550</v>
      </c>
      <c r="K90" s="487">
        <v>18804</v>
      </c>
      <c r="L90" s="487">
        <v>412</v>
      </c>
      <c r="M90" s="487">
        <v>12412</v>
      </c>
      <c r="N90" s="500">
        <f t="shared" si="16"/>
        <v>116652</v>
      </c>
      <c r="O90" s="410" t="s">
        <v>674</v>
      </c>
    </row>
    <row r="91" spans="1:15" ht="26.4">
      <c r="A91" s="166" t="s">
        <v>701</v>
      </c>
      <c r="B91" s="487">
        <v>6453</v>
      </c>
      <c r="C91" s="487">
        <v>5071</v>
      </c>
      <c r="D91" s="487">
        <v>6758</v>
      </c>
      <c r="E91" s="487">
        <v>5719</v>
      </c>
      <c r="F91" s="487">
        <v>8206</v>
      </c>
      <c r="G91" s="487">
        <v>3062</v>
      </c>
      <c r="H91" s="487">
        <v>3229</v>
      </c>
      <c r="I91" s="487">
        <v>4551</v>
      </c>
      <c r="J91" s="487">
        <v>5176</v>
      </c>
      <c r="K91" s="487">
        <v>8378</v>
      </c>
      <c r="L91" s="487">
        <v>2564</v>
      </c>
      <c r="M91" s="487">
        <v>3714</v>
      </c>
      <c r="N91" s="500">
        <f t="shared" si="16"/>
        <v>62881</v>
      </c>
      <c r="O91" s="498" t="s">
        <v>702</v>
      </c>
    </row>
    <row r="92" spans="1:15" ht="26.4">
      <c r="A92" s="166" t="s">
        <v>654</v>
      </c>
      <c r="B92" s="487">
        <v>251</v>
      </c>
      <c r="C92" s="487">
        <v>549</v>
      </c>
      <c r="D92" s="487">
        <v>838</v>
      </c>
      <c r="E92" s="487">
        <v>554</v>
      </c>
      <c r="F92" s="487">
        <v>663</v>
      </c>
      <c r="G92" s="487">
        <v>471</v>
      </c>
      <c r="H92" s="487">
        <v>313</v>
      </c>
      <c r="I92" s="487">
        <v>964</v>
      </c>
      <c r="J92" s="487">
        <v>638</v>
      </c>
      <c r="K92" s="487">
        <v>1107</v>
      </c>
      <c r="L92" s="487">
        <v>256</v>
      </c>
      <c r="M92" s="487">
        <v>508</v>
      </c>
      <c r="N92" s="500">
        <f t="shared" si="16"/>
        <v>7112</v>
      </c>
      <c r="O92" s="499" t="s">
        <v>655</v>
      </c>
    </row>
    <row r="93" spans="1:15" ht="26.4">
      <c r="A93" s="479">
        <v>2011</v>
      </c>
      <c r="B93" s="500">
        <f t="shared" ref="B93:N93" si="22">SUM(B94:B96)</f>
        <v>17726</v>
      </c>
      <c r="C93" s="500">
        <f t="shared" si="22"/>
        <v>24647</v>
      </c>
      <c r="D93" s="500">
        <f t="shared" si="22"/>
        <v>25354</v>
      </c>
      <c r="E93" s="500">
        <f t="shared" si="22"/>
        <v>18211</v>
      </c>
      <c r="F93" s="500">
        <f t="shared" si="22"/>
        <v>29604</v>
      </c>
      <c r="G93" s="500">
        <f t="shared" si="22"/>
        <v>7053</v>
      </c>
      <c r="H93" s="500">
        <f t="shared" si="22"/>
        <v>24855</v>
      </c>
      <c r="I93" s="500">
        <f t="shared" si="22"/>
        <v>31747</v>
      </c>
      <c r="J93" s="500">
        <f t="shared" si="22"/>
        <v>32907</v>
      </c>
      <c r="K93" s="500">
        <f t="shared" si="22"/>
        <v>38127</v>
      </c>
      <c r="L93" s="500">
        <f t="shared" si="22"/>
        <v>3666</v>
      </c>
      <c r="M93" s="500">
        <f t="shared" si="22"/>
        <v>32466</v>
      </c>
      <c r="N93" s="500">
        <f t="shared" si="22"/>
        <v>286363</v>
      </c>
      <c r="O93" s="410">
        <v>2011</v>
      </c>
    </row>
    <row r="94" spans="1:15" ht="26.4">
      <c r="A94" s="163" t="s">
        <v>673</v>
      </c>
      <c r="B94" s="487">
        <v>13166</v>
      </c>
      <c r="C94" s="487">
        <v>12298</v>
      </c>
      <c r="D94" s="487">
        <v>10056</v>
      </c>
      <c r="E94" s="487">
        <v>4279</v>
      </c>
      <c r="F94" s="487">
        <v>7133</v>
      </c>
      <c r="G94" s="487">
        <v>1429</v>
      </c>
      <c r="H94" s="487">
        <v>19108</v>
      </c>
      <c r="I94" s="487">
        <v>21257</v>
      </c>
      <c r="J94" s="487">
        <v>24694</v>
      </c>
      <c r="K94" s="487">
        <v>19104</v>
      </c>
      <c r="L94" s="487">
        <v>447</v>
      </c>
      <c r="M94" s="487">
        <v>29059</v>
      </c>
      <c r="N94" s="500">
        <f>SUM(B94:M94)</f>
        <v>162030</v>
      </c>
      <c r="O94" s="498" t="s">
        <v>674</v>
      </c>
    </row>
    <row r="95" spans="1:15" ht="26.4">
      <c r="A95" s="166" t="s">
        <v>701</v>
      </c>
      <c r="B95" s="487">
        <v>4062</v>
      </c>
      <c r="C95" s="487">
        <v>11859</v>
      </c>
      <c r="D95" s="487">
        <v>14805</v>
      </c>
      <c r="E95" s="487">
        <v>13620</v>
      </c>
      <c r="F95" s="487">
        <v>22085</v>
      </c>
      <c r="G95" s="487">
        <v>5226</v>
      </c>
      <c r="H95" s="487">
        <v>5326</v>
      </c>
      <c r="I95" s="487">
        <v>9731</v>
      </c>
      <c r="J95" s="487">
        <v>7681</v>
      </c>
      <c r="K95" s="487">
        <v>18588</v>
      </c>
      <c r="L95" s="487">
        <v>2338</v>
      </c>
      <c r="M95" s="487">
        <v>3110</v>
      </c>
      <c r="N95" s="500">
        <f>SUM(B95:M95)</f>
        <v>118431</v>
      </c>
      <c r="O95" s="499" t="s">
        <v>702</v>
      </c>
    </row>
    <row r="96" spans="1:15" ht="26.4">
      <c r="A96" s="166" t="s">
        <v>654</v>
      </c>
      <c r="B96" s="487">
        <v>498</v>
      </c>
      <c r="C96" s="487">
        <v>490</v>
      </c>
      <c r="D96" s="487">
        <v>493</v>
      </c>
      <c r="E96" s="487">
        <v>312</v>
      </c>
      <c r="F96" s="487">
        <v>386</v>
      </c>
      <c r="G96" s="487">
        <v>398</v>
      </c>
      <c r="H96" s="487">
        <v>421</v>
      </c>
      <c r="I96" s="487">
        <v>759</v>
      </c>
      <c r="J96" s="487">
        <v>532</v>
      </c>
      <c r="K96" s="487">
        <v>435</v>
      </c>
      <c r="L96" s="487">
        <v>881</v>
      </c>
      <c r="M96" s="487">
        <v>297</v>
      </c>
      <c r="N96" s="500">
        <f>SUM(B96:M96)</f>
        <v>5902</v>
      </c>
      <c r="O96" s="506" t="s">
        <v>655</v>
      </c>
    </row>
    <row r="97" spans="1:15" ht="26.4">
      <c r="A97" s="479">
        <v>2012</v>
      </c>
      <c r="B97" s="500">
        <f t="shared" ref="B97:M97" si="23">SUM(B98:B100)</f>
        <v>25221</v>
      </c>
      <c r="C97" s="500">
        <f t="shared" si="23"/>
        <v>41432</v>
      </c>
      <c r="D97" s="500">
        <f t="shared" si="23"/>
        <v>20363</v>
      </c>
      <c r="E97" s="500">
        <f t="shared" si="23"/>
        <v>17887</v>
      </c>
      <c r="F97" s="500">
        <f t="shared" si="23"/>
        <v>35630</v>
      </c>
      <c r="G97" s="500">
        <f t="shared" si="23"/>
        <v>11583</v>
      </c>
      <c r="H97" s="500">
        <f t="shared" si="23"/>
        <v>12678</v>
      </c>
      <c r="I97" s="500">
        <f t="shared" si="23"/>
        <v>56567</v>
      </c>
      <c r="J97" s="500">
        <f t="shared" si="23"/>
        <v>30495</v>
      </c>
      <c r="K97" s="500">
        <f t="shared" si="23"/>
        <v>32870</v>
      </c>
      <c r="L97" s="500">
        <f t="shared" si="23"/>
        <v>16803</v>
      </c>
      <c r="M97" s="500">
        <f t="shared" si="23"/>
        <v>12349</v>
      </c>
      <c r="N97" s="500">
        <f>SUM(N98:N100)</f>
        <v>313878</v>
      </c>
      <c r="O97" s="410">
        <v>2012</v>
      </c>
    </row>
    <row r="98" spans="1:15" ht="26.4">
      <c r="A98" s="163" t="s">
        <v>673</v>
      </c>
      <c r="B98" s="487">
        <v>13679</v>
      </c>
      <c r="C98" s="487">
        <v>29570</v>
      </c>
      <c r="D98" s="487">
        <v>9849</v>
      </c>
      <c r="E98" s="487">
        <v>3466</v>
      </c>
      <c r="F98" s="487">
        <v>20230</v>
      </c>
      <c r="G98" s="487">
        <v>6395</v>
      </c>
      <c r="H98" s="487">
        <v>8966</v>
      </c>
      <c r="I98" s="487">
        <v>45976</v>
      </c>
      <c r="J98" s="487">
        <v>17105</v>
      </c>
      <c r="K98" s="487">
        <v>15061</v>
      </c>
      <c r="L98" s="487">
        <v>11261</v>
      </c>
      <c r="M98" s="487">
        <v>11673</v>
      </c>
      <c r="N98" s="500">
        <f>SUM(B98:M98)</f>
        <v>193231</v>
      </c>
      <c r="O98" s="498" t="s">
        <v>674</v>
      </c>
    </row>
    <row r="99" spans="1:15" ht="26.4">
      <c r="A99" s="166" t="s">
        <v>701</v>
      </c>
      <c r="B99" s="487">
        <v>11012</v>
      </c>
      <c r="C99" s="487">
        <v>11625</v>
      </c>
      <c r="D99" s="487">
        <v>9750</v>
      </c>
      <c r="E99" s="487">
        <v>13528</v>
      </c>
      <c r="F99" s="487">
        <v>14666</v>
      </c>
      <c r="G99" s="487">
        <v>4360</v>
      </c>
      <c r="H99" s="487">
        <v>3478</v>
      </c>
      <c r="I99" s="487">
        <v>10334</v>
      </c>
      <c r="J99" s="487">
        <v>12822</v>
      </c>
      <c r="K99" s="487">
        <v>17463</v>
      </c>
      <c r="L99" s="487">
        <v>5304</v>
      </c>
      <c r="M99" s="487">
        <v>511</v>
      </c>
      <c r="N99" s="500">
        <f>SUM(B99:M99)</f>
        <v>114853</v>
      </c>
      <c r="O99" s="499" t="s">
        <v>702</v>
      </c>
    </row>
    <row r="100" spans="1:15" ht="26.4">
      <c r="A100" s="166" t="s">
        <v>654</v>
      </c>
      <c r="B100" s="487">
        <v>530</v>
      </c>
      <c r="C100" s="487">
        <v>237</v>
      </c>
      <c r="D100" s="487">
        <v>764</v>
      </c>
      <c r="E100" s="487">
        <v>893</v>
      </c>
      <c r="F100" s="487">
        <v>734</v>
      </c>
      <c r="G100" s="487">
        <v>828</v>
      </c>
      <c r="H100" s="487">
        <v>234</v>
      </c>
      <c r="I100" s="487">
        <v>257</v>
      </c>
      <c r="J100" s="487">
        <v>568</v>
      </c>
      <c r="K100" s="487">
        <v>346</v>
      </c>
      <c r="L100" s="487">
        <v>238</v>
      </c>
      <c r="M100" s="487">
        <v>165</v>
      </c>
      <c r="N100" s="500">
        <f>SUM(B100:M100)</f>
        <v>5794</v>
      </c>
      <c r="O100" s="506" t="s">
        <v>655</v>
      </c>
    </row>
    <row r="101" spans="1:15" ht="26.4">
      <c r="A101" s="479">
        <v>2013</v>
      </c>
      <c r="B101" s="500">
        <f t="shared" ref="B101:M101" si="24">SUM(B102:B104)</f>
        <v>10818</v>
      </c>
      <c r="C101" s="500">
        <f t="shared" si="24"/>
        <v>20378</v>
      </c>
      <c r="D101" s="500">
        <f t="shared" si="24"/>
        <v>16748</v>
      </c>
      <c r="E101" s="500">
        <f t="shared" si="24"/>
        <v>11112</v>
      </c>
      <c r="F101" s="500">
        <f t="shared" si="24"/>
        <v>19229</v>
      </c>
      <c r="G101" s="500">
        <f t="shared" si="24"/>
        <v>7244</v>
      </c>
      <c r="H101" s="500">
        <f t="shared" si="24"/>
        <v>19846</v>
      </c>
      <c r="I101" s="500">
        <f t="shared" si="24"/>
        <v>18249</v>
      </c>
      <c r="J101" s="500">
        <f t="shared" si="24"/>
        <v>25825</v>
      </c>
      <c r="K101" s="500">
        <f t="shared" si="24"/>
        <v>18775</v>
      </c>
      <c r="L101" s="500">
        <f t="shared" si="24"/>
        <v>4656</v>
      </c>
      <c r="M101" s="500">
        <f t="shared" si="24"/>
        <v>14093</v>
      </c>
      <c r="N101" s="500">
        <f>SUM(N102:N104)</f>
        <v>186973</v>
      </c>
      <c r="O101" s="410">
        <v>2013</v>
      </c>
    </row>
    <row r="102" spans="1:15" ht="26.4">
      <c r="A102" s="163" t="s">
        <v>673</v>
      </c>
      <c r="B102" s="487">
        <v>4806</v>
      </c>
      <c r="C102" s="487">
        <v>15743</v>
      </c>
      <c r="D102" s="487">
        <v>4647</v>
      </c>
      <c r="E102" s="487">
        <v>415</v>
      </c>
      <c r="F102" s="487">
        <v>9757</v>
      </c>
      <c r="G102" s="487">
        <v>1270</v>
      </c>
      <c r="H102" s="487">
        <v>16445</v>
      </c>
      <c r="I102" s="487">
        <v>13858</v>
      </c>
      <c r="J102" s="487">
        <v>16989</v>
      </c>
      <c r="K102" s="487">
        <v>10514</v>
      </c>
      <c r="L102" s="487">
        <v>957</v>
      </c>
      <c r="M102" s="487">
        <v>10170</v>
      </c>
      <c r="N102" s="500">
        <f>SUM(B102:M102)</f>
        <v>105571</v>
      </c>
      <c r="O102" s="498" t="s">
        <v>674</v>
      </c>
    </row>
    <row r="103" spans="1:15" ht="26.4">
      <c r="A103" s="166" t="s">
        <v>701</v>
      </c>
      <c r="B103" s="487">
        <v>5440</v>
      </c>
      <c r="C103" s="487">
        <v>4022</v>
      </c>
      <c r="D103" s="487">
        <v>11508</v>
      </c>
      <c r="E103" s="487">
        <v>9925</v>
      </c>
      <c r="F103" s="487">
        <v>8463</v>
      </c>
      <c r="G103" s="487">
        <v>5656</v>
      </c>
      <c r="H103" s="487">
        <v>3328</v>
      </c>
      <c r="I103" s="487">
        <v>4135</v>
      </c>
      <c r="J103" s="487">
        <v>8224</v>
      </c>
      <c r="K103" s="487">
        <v>7543</v>
      </c>
      <c r="L103" s="487">
        <v>3486</v>
      </c>
      <c r="M103" s="487">
        <v>3772</v>
      </c>
      <c r="N103" s="500">
        <f>SUM(B103:M103)</f>
        <v>75502</v>
      </c>
      <c r="O103" s="499" t="s">
        <v>702</v>
      </c>
    </row>
    <row r="104" spans="1:15" ht="26.4">
      <c r="A104" s="166" t="s">
        <v>654</v>
      </c>
      <c r="B104" s="487">
        <v>572</v>
      </c>
      <c r="C104" s="487">
        <v>613</v>
      </c>
      <c r="D104" s="487">
        <v>593</v>
      </c>
      <c r="E104" s="487">
        <v>772</v>
      </c>
      <c r="F104" s="487">
        <v>1009</v>
      </c>
      <c r="G104" s="487">
        <v>318</v>
      </c>
      <c r="H104" s="487">
        <v>73</v>
      </c>
      <c r="I104" s="487">
        <v>256</v>
      </c>
      <c r="J104" s="487">
        <v>612</v>
      </c>
      <c r="K104" s="487">
        <v>718</v>
      </c>
      <c r="L104" s="487">
        <v>213</v>
      </c>
      <c r="M104" s="487">
        <v>151</v>
      </c>
      <c r="N104" s="500">
        <f>SUM(B104:M104)</f>
        <v>5900</v>
      </c>
      <c r="O104" s="506" t="s">
        <v>655</v>
      </c>
    </row>
    <row r="105" spans="1:15" ht="26.4">
      <c r="A105" s="479">
        <v>2015</v>
      </c>
      <c r="B105" s="500">
        <f t="shared" ref="B105:M105" si="25">SUM(B106:B108)</f>
        <v>17099</v>
      </c>
      <c r="C105" s="500">
        <f t="shared" si="25"/>
        <v>20717</v>
      </c>
      <c r="D105" s="500">
        <f t="shared" si="25"/>
        <v>18482</v>
      </c>
      <c r="E105" s="500">
        <f t="shared" si="25"/>
        <v>22384</v>
      </c>
      <c r="F105" s="500">
        <f t="shared" si="25"/>
        <v>22544</v>
      </c>
      <c r="G105" s="500">
        <f t="shared" si="25"/>
        <v>6629</v>
      </c>
      <c r="H105" s="500">
        <f t="shared" si="25"/>
        <v>29644</v>
      </c>
      <c r="I105" s="500">
        <f t="shared" si="25"/>
        <v>27995</v>
      </c>
      <c r="J105" s="500">
        <f t="shared" si="25"/>
        <v>21265</v>
      </c>
      <c r="K105" s="500">
        <f t="shared" si="25"/>
        <v>23131</v>
      </c>
      <c r="L105" s="500">
        <f t="shared" si="25"/>
        <v>8291</v>
      </c>
      <c r="M105" s="500">
        <f t="shared" si="25"/>
        <v>13231</v>
      </c>
      <c r="N105" s="500">
        <f t="shared" ref="N105:N112" si="26">SUM(B105:M105)</f>
        <v>231412</v>
      </c>
      <c r="O105" s="410">
        <v>2015</v>
      </c>
    </row>
    <row r="106" spans="1:15" ht="26.4">
      <c r="A106" s="163" t="s">
        <v>673</v>
      </c>
      <c r="B106" s="487">
        <v>6701</v>
      </c>
      <c r="C106" s="487">
        <v>4979</v>
      </c>
      <c r="D106" s="487">
        <v>3640</v>
      </c>
      <c r="E106" s="487">
        <v>8068</v>
      </c>
      <c r="F106" s="487">
        <v>7805</v>
      </c>
      <c r="G106" s="487">
        <v>0</v>
      </c>
      <c r="H106" s="487">
        <v>21552</v>
      </c>
      <c r="I106" s="487">
        <v>16062</v>
      </c>
      <c r="J106" s="487">
        <v>6769</v>
      </c>
      <c r="K106" s="487">
        <v>6185</v>
      </c>
      <c r="L106" s="487">
        <v>137</v>
      </c>
      <c r="M106" s="487">
        <v>0</v>
      </c>
      <c r="N106" s="500">
        <f t="shared" si="26"/>
        <v>81898</v>
      </c>
      <c r="O106" s="498" t="s">
        <v>674</v>
      </c>
    </row>
    <row r="107" spans="1:15" ht="26.4">
      <c r="A107" s="166" t="s">
        <v>701</v>
      </c>
      <c r="B107" s="487">
        <v>10064</v>
      </c>
      <c r="C107" s="487">
        <v>14000</v>
      </c>
      <c r="D107" s="487">
        <v>13138</v>
      </c>
      <c r="E107" s="487">
        <v>13010</v>
      </c>
      <c r="F107" s="487">
        <v>13163</v>
      </c>
      <c r="G107" s="487">
        <v>5020</v>
      </c>
      <c r="H107" s="487">
        <v>7050</v>
      </c>
      <c r="I107" s="487">
        <v>10651</v>
      </c>
      <c r="J107" s="487">
        <v>13588</v>
      </c>
      <c r="K107" s="487">
        <v>16006</v>
      </c>
      <c r="L107" s="487">
        <v>6571</v>
      </c>
      <c r="M107" s="487">
        <v>11308</v>
      </c>
      <c r="N107" s="500">
        <f t="shared" si="26"/>
        <v>133569</v>
      </c>
      <c r="O107" s="499" t="s">
        <v>702</v>
      </c>
    </row>
    <row r="108" spans="1:15" ht="26.4">
      <c r="A108" s="166" t="s">
        <v>654</v>
      </c>
      <c r="B108" s="487">
        <v>334</v>
      </c>
      <c r="C108" s="487">
        <v>1738</v>
      </c>
      <c r="D108" s="487">
        <v>1704</v>
      </c>
      <c r="E108" s="487">
        <v>1306</v>
      </c>
      <c r="F108" s="487">
        <v>1576</v>
      </c>
      <c r="G108" s="487">
        <v>1609</v>
      </c>
      <c r="H108" s="487">
        <v>1042</v>
      </c>
      <c r="I108" s="487">
        <v>1282</v>
      </c>
      <c r="J108" s="487">
        <v>908</v>
      </c>
      <c r="K108" s="487">
        <v>940</v>
      </c>
      <c r="L108" s="487">
        <v>1583</v>
      </c>
      <c r="M108" s="487">
        <v>1923</v>
      </c>
      <c r="N108" s="500">
        <f t="shared" si="26"/>
        <v>15945</v>
      </c>
      <c r="O108" s="506" t="s">
        <v>655</v>
      </c>
    </row>
    <row r="109" spans="1:15" ht="26.4">
      <c r="A109" s="479">
        <v>2016</v>
      </c>
      <c r="B109" s="500">
        <f t="shared" ref="B109:M109" si="27">SUM(B110:B112)</f>
        <v>27355</v>
      </c>
      <c r="C109" s="500">
        <f t="shared" si="27"/>
        <v>14800</v>
      </c>
      <c r="D109" s="500">
        <f t="shared" si="27"/>
        <v>24133</v>
      </c>
      <c r="E109" s="500">
        <f t="shared" si="27"/>
        <v>18496</v>
      </c>
      <c r="F109" s="500">
        <f t="shared" si="27"/>
        <v>17533</v>
      </c>
      <c r="G109" s="500">
        <f t="shared" si="27"/>
        <v>5710</v>
      </c>
      <c r="H109" s="500">
        <f t="shared" si="27"/>
        <v>31895</v>
      </c>
      <c r="I109" s="500">
        <f t="shared" si="27"/>
        <v>32567</v>
      </c>
      <c r="J109" s="500">
        <f t="shared" si="27"/>
        <v>24627</v>
      </c>
      <c r="K109" s="500">
        <f t="shared" si="27"/>
        <v>26968</v>
      </c>
      <c r="L109" s="500">
        <f t="shared" si="27"/>
        <v>15876</v>
      </c>
      <c r="M109" s="500">
        <f t="shared" si="27"/>
        <v>20193</v>
      </c>
      <c r="N109" s="500">
        <f t="shared" si="26"/>
        <v>260153</v>
      </c>
      <c r="O109" s="410">
        <v>2016</v>
      </c>
    </row>
    <row r="110" spans="1:15" ht="26.4">
      <c r="A110" s="163" t="s">
        <v>673</v>
      </c>
      <c r="B110" s="487">
        <v>12957</v>
      </c>
      <c r="C110" s="487">
        <v>2715</v>
      </c>
      <c r="D110" s="487">
        <v>8720</v>
      </c>
      <c r="E110" s="487">
        <v>4614</v>
      </c>
      <c r="F110" s="487">
        <v>5812</v>
      </c>
      <c r="G110" s="487">
        <v>0</v>
      </c>
      <c r="H110" s="487">
        <v>23716</v>
      </c>
      <c r="I110" s="487">
        <v>15064</v>
      </c>
      <c r="J110" s="487">
        <v>12731</v>
      </c>
      <c r="K110" s="487">
        <v>11863</v>
      </c>
      <c r="L110" s="487">
        <v>0</v>
      </c>
      <c r="M110" s="487">
        <v>0</v>
      </c>
      <c r="N110" s="500">
        <f t="shared" si="26"/>
        <v>98192</v>
      </c>
      <c r="O110" s="498" t="s">
        <v>674</v>
      </c>
    </row>
    <row r="111" spans="1:15" ht="26.4">
      <c r="A111" s="166" t="s">
        <v>701</v>
      </c>
      <c r="B111" s="487">
        <v>13129</v>
      </c>
      <c r="C111" s="487">
        <v>10397</v>
      </c>
      <c r="D111" s="487">
        <v>13218</v>
      </c>
      <c r="E111" s="487">
        <v>12183</v>
      </c>
      <c r="F111" s="487">
        <v>9844</v>
      </c>
      <c r="G111" s="487">
        <v>4091</v>
      </c>
      <c r="H111" s="487">
        <v>7138</v>
      </c>
      <c r="I111" s="487">
        <v>16440</v>
      </c>
      <c r="J111" s="487">
        <v>10835</v>
      </c>
      <c r="K111" s="487">
        <v>13329</v>
      </c>
      <c r="L111" s="487">
        <v>13926</v>
      </c>
      <c r="M111" s="487">
        <v>18714</v>
      </c>
      <c r="N111" s="500">
        <f t="shared" si="26"/>
        <v>143244</v>
      </c>
      <c r="O111" s="499" t="s">
        <v>702</v>
      </c>
    </row>
    <row r="112" spans="1:15" ht="26.4">
      <c r="A112" s="166" t="s">
        <v>654</v>
      </c>
      <c r="B112" s="487">
        <v>1269</v>
      </c>
      <c r="C112" s="487">
        <v>1688</v>
      </c>
      <c r="D112" s="487">
        <v>2195</v>
      </c>
      <c r="E112" s="487">
        <v>1699</v>
      </c>
      <c r="F112" s="487">
        <v>1877</v>
      </c>
      <c r="G112" s="487">
        <v>1619</v>
      </c>
      <c r="H112" s="487">
        <v>1041</v>
      </c>
      <c r="I112" s="487">
        <v>1063</v>
      </c>
      <c r="J112" s="487">
        <v>1061</v>
      </c>
      <c r="K112" s="487">
        <v>1776</v>
      </c>
      <c r="L112" s="487">
        <v>1950</v>
      </c>
      <c r="M112" s="487">
        <v>1479</v>
      </c>
      <c r="N112" s="500">
        <f t="shared" si="26"/>
        <v>18717</v>
      </c>
      <c r="O112" s="506" t="s">
        <v>655</v>
      </c>
    </row>
    <row r="113" spans="1:15" ht="26.4">
      <c r="A113" s="166" t="s">
        <v>654</v>
      </c>
      <c r="B113" s="487"/>
      <c r="C113" s="487"/>
      <c r="D113" s="487"/>
      <c r="E113" s="487"/>
      <c r="F113" s="487"/>
      <c r="G113" s="487"/>
      <c r="H113" s="487"/>
      <c r="I113" s="487"/>
      <c r="J113" s="487"/>
      <c r="K113" s="487"/>
      <c r="L113" s="487"/>
      <c r="M113" s="487"/>
      <c r="N113" s="500"/>
      <c r="O113" s="410" t="s">
        <v>655</v>
      </c>
    </row>
    <row r="114" spans="1:15" ht="26.4">
      <c r="A114" s="507">
        <v>2021</v>
      </c>
      <c r="B114" s="164">
        <f>SUM(B115:B117)</f>
        <v>13442</v>
      </c>
      <c r="C114" s="164">
        <f t="shared" ref="C114:N114" si="28">SUM(C115:C117)</f>
        <v>11786</v>
      </c>
      <c r="D114" s="164">
        <f t="shared" si="28"/>
        <v>11512</v>
      </c>
      <c r="E114" s="164">
        <f t="shared" si="28"/>
        <v>13222</v>
      </c>
      <c r="F114" s="164">
        <f t="shared" si="28"/>
        <v>9315</v>
      </c>
      <c r="G114" s="164">
        <f t="shared" si="28"/>
        <v>9761</v>
      </c>
      <c r="H114" s="164">
        <f t="shared" si="28"/>
        <v>7968</v>
      </c>
      <c r="I114" s="164">
        <f t="shared" si="28"/>
        <v>11447</v>
      </c>
      <c r="J114" s="164">
        <f t="shared" si="28"/>
        <v>12165</v>
      </c>
      <c r="K114" s="164">
        <f t="shared" si="28"/>
        <v>15305</v>
      </c>
      <c r="L114" s="164">
        <f t="shared" si="28"/>
        <v>16672</v>
      </c>
      <c r="M114" s="164">
        <f t="shared" si="28"/>
        <v>16690</v>
      </c>
      <c r="N114" s="164">
        <f t="shared" si="28"/>
        <v>149285</v>
      </c>
      <c r="O114" s="410">
        <v>2021</v>
      </c>
    </row>
    <row r="115" spans="1:15" ht="26.4">
      <c r="A115" s="163" t="s">
        <v>673</v>
      </c>
      <c r="B115" s="164">
        <v>586</v>
      </c>
      <c r="C115" s="164">
        <v>502</v>
      </c>
      <c r="D115" s="164">
        <v>561</v>
      </c>
      <c r="E115" s="164">
        <v>746</v>
      </c>
      <c r="F115" s="164">
        <v>249</v>
      </c>
      <c r="G115" s="164">
        <v>23</v>
      </c>
      <c r="H115" s="164">
        <v>0</v>
      </c>
      <c r="I115" s="164">
        <v>1774</v>
      </c>
      <c r="J115" s="164">
        <v>687</v>
      </c>
      <c r="K115" s="165">
        <v>217</v>
      </c>
      <c r="L115" s="165">
        <v>73</v>
      </c>
      <c r="M115" s="165">
        <v>220</v>
      </c>
      <c r="N115" s="165">
        <v>5638</v>
      </c>
      <c r="O115" s="498" t="s">
        <v>674</v>
      </c>
    </row>
    <row r="116" spans="1:15" ht="26.4">
      <c r="A116" s="166" t="s">
        <v>701</v>
      </c>
      <c r="B116" s="164">
        <v>2352</v>
      </c>
      <c r="C116" s="164">
        <v>3299</v>
      </c>
      <c r="D116" s="164">
        <v>2289</v>
      </c>
      <c r="E116" s="164">
        <v>2681</v>
      </c>
      <c r="F116" s="164">
        <v>1955</v>
      </c>
      <c r="G116" s="164">
        <v>1083</v>
      </c>
      <c r="H116" s="164">
        <v>1210</v>
      </c>
      <c r="I116" s="164">
        <v>2751</v>
      </c>
      <c r="J116" s="164">
        <v>3644</v>
      </c>
      <c r="K116" s="165">
        <v>3420</v>
      </c>
      <c r="L116" s="165">
        <v>2469</v>
      </c>
      <c r="M116" s="165">
        <v>3759</v>
      </c>
      <c r="N116" s="165">
        <v>30912</v>
      </c>
      <c r="O116" s="499" t="s">
        <v>702</v>
      </c>
    </row>
    <row r="117" spans="1:15" ht="26.4">
      <c r="A117" s="166" t="s">
        <v>654</v>
      </c>
      <c r="B117" s="164">
        <v>10504</v>
      </c>
      <c r="C117" s="164">
        <v>7985</v>
      </c>
      <c r="D117" s="164">
        <v>8662</v>
      </c>
      <c r="E117" s="164">
        <v>9795</v>
      </c>
      <c r="F117" s="164">
        <v>7111</v>
      </c>
      <c r="G117" s="164">
        <v>8655</v>
      </c>
      <c r="H117" s="164">
        <v>6758</v>
      </c>
      <c r="I117" s="164">
        <v>6922</v>
      </c>
      <c r="J117" s="164">
        <v>7834</v>
      </c>
      <c r="K117" s="165">
        <v>11668</v>
      </c>
      <c r="L117" s="165">
        <v>14130</v>
      </c>
      <c r="M117" s="165">
        <v>12711</v>
      </c>
      <c r="N117" s="165">
        <v>112735</v>
      </c>
      <c r="O117" s="506" t="s">
        <v>655</v>
      </c>
    </row>
    <row r="118" spans="1:15" ht="26.4">
      <c r="A118" s="507">
        <v>2022</v>
      </c>
      <c r="B118" s="164">
        <v>14779</v>
      </c>
      <c r="C118" s="164">
        <v>12487</v>
      </c>
      <c r="D118" s="164">
        <v>10183</v>
      </c>
      <c r="E118" s="164">
        <v>11418</v>
      </c>
      <c r="F118" s="164">
        <v>12255</v>
      </c>
      <c r="G118" s="164">
        <v>12678</v>
      </c>
      <c r="H118" s="164">
        <v>10646</v>
      </c>
      <c r="I118" s="164">
        <v>15808</v>
      </c>
      <c r="J118" s="164">
        <v>16441</v>
      </c>
      <c r="K118" s="164">
        <v>17218</v>
      </c>
      <c r="L118" s="164">
        <v>18790</v>
      </c>
      <c r="M118" s="164">
        <v>19309</v>
      </c>
      <c r="N118" s="164">
        <v>172012</v>
      </c>
      <c r="O118" s="508">
        <v>2022</v>
      </c>
    </row>
    <row r="119" spans="1:15" ht="26.4">
      <c r="A119" s="163" t="s">
        <v>673</v>
      </c>
      <c r="B119" s="164">
        <v>97</v>
      </c>
      <c r="C119" s="164">
        <v>0</v>
      </c>
      <c r="D119" s="164">
        <v>434</v>
      </c>
      <c r="E119" s="164">
        <v>570</v>
      </c>
      <c r="F119" s="164">
        <v>1226</v>
      </c>
      <c r="G119" s="164">
        <v>2085</v>
      </c>
      <c r="H119" s="164">
        <v>435</v>
      </c>
      <c r="I119" s="164">
        <v>1422</v>
      </c>
      <c r="J119" s="164">
        <v>2168</v>
      </c>
      <c r="K119" s="165">
        <v>249</v>
      </c>
      <c r="L119" s="165">
        <v>2074</v>
      </c>
      <c r="M119" s="165">
        <v>610</v>
      </c>
      <c r="N119" s="165">
        <v>11370</v>
      </c>
      <c r="O119" s="508" t="s">
        <v>674</v>
      </c>
    </row>
    <row r="120" spans="1:15" ht="26.4">
      <c r="A120" s="166" t="s">
        <v>701</v>
      </c>
      <c r="B120" s="164">
        <v>3734</v>
      </c>
      <c r="C120" s="164">
        <v>4326</v>
      </c>
      <c r="D120" s="164">
        <v>3153</v>
      </c>
      <c r="E120" s="164">
        <v>2626</v>
      </c>
      <c r="F120" s="164">
        <v>2573</v>
      </c>
      <c r="G120" s="164">
        <v>1117</v>
      </c>
      <c r="H120" s="164">
        <v>2359</v>
      </c>
      <c r="I120" s="164">
        <v>4090</v>
      </c>
      <c r="J120" s="164">
        <v>3685</v>
      </c>
      <c r="K120" s="165">
        <v>3246</v>
      </c>
      <c r="L120" s="165">
        <v>1526</v>
      </c>
      <c r="M120" s="165">
        <v>1720</v>
      </c>
      <c r="N120" s="165">
        <v>34155</v>
      </c>
      <c r="O120" s="508" t="s">
        <v>702</v>
      </c>
    </row>
    <row r="121" spans="1:15" ht="26.4">
      <c r="A121" s="166" t="s">
        <v>654</v>
      </c>
      <c r="B121" s="164">
        <v>10403</v>
      </c>
      <c r="C121" s="164">
        <v>7265</v>
      </c>
      <c r="D121" s="164">
        <v>5574</v>
      </c>
      <c r="E121" s="164">
        <v>6379</v>
      </c>
      <c r="F121" s="164">
        <v>6840</v>
      </c>
      <c r="G121" s="164">
        <v>7648</v>
      </c>
      <c r="H121" s="164">
        <v>6753</v>
      </c>
      <c r="I121" s="164">
        <v>8953</v>
      </c>
      <c r="J121" s="164">
        <v>9058</v>
      </c>
      <c r="K121" s="165">
        <v>11566</v>
      </c>
      <c r="L121" s="165">
        <v>14236</v>
      </c>
      <c r="M121" s="165">
        <v>15949</v>
      </c>
      <c r="N121" s="165">
        <v>110624</v>
      </c>
      <c r="O121" s="508" t="s">
        <v>655</v>
      </c>
    </row>
    <row r="122" spans="1:15" ht="26.4">
      <c r="A122" s="507">
        <v>2023</v>
      </c>
      <c r="B122" s="164">
        <v>19941</v>
      </c>
      <c r="C122" s="164">
        <v>15389</v>
      </c>
      <c r="D122" s="164">
        <v>14857</v>
      </c>
      <c r="E122" s="164">
        <v>9891</v>
      </c>
      <c r="F122" s="164">
        <v>9996</v>
      </c>
      <c r="G122" s="164">
        <v>9888</v>
      </c>
      <c r="H122" s="164">
        <v>7763</v>
      </c>
      <c r="I122" s="164">
        <v>13085</v>
      </c>
      <c r="J122" s="164">
        <v>8768</v>
      </c>
      <c r="K122" s="164">
        <v>12063</v>
      </c>
      <c r="L122" s="164">
        <v>12195</v>
      </c>
      <c r="M122" s="164">
        <v>15525</v>
      </c>
      <c r="N122" s="164">
        <v>149361</v>
      </c>
      <c r="O122" s="508">
        <v>2023</v>
      </c>
    </row>
    <row r="123" spans="1:15" ht="26.4">
      <c r="A123" s="163" t="s">
        <v>673</v>
      </c>
      <c r="B123" s="164">
        <v>1281</v>
      </c>
      <c r="C123" s="164">
        <v>749</v>
      </c>
      <c r="D123" s="164">
        <v>399</v>
      </c>
      <c r="E123" s="164">
        <v>381</v>
      </c>
      <c r="F123" s="164">
        <v>639</v>
      </c>
      <c r="G123" s="164">
        <v>390</v>
      </c>
      <c r="H123" s="164">
        <v>24</v>
      </c>
      <c r="I123" s="164">
        <v>2002</v>
      </c>
      <c r="J123" s="164">
        <v>1241</v>
      </c>
      <c r="K123" s="165">
        <v>1144</v>
      </c>
      <c r="L123" s="165">
        <v>263</v>
      </c>
      <c r="M123" s="165">
        <v>73</v>
      </c>
      <c r="N123" s="165">
        <v>8586</v>
      </c>
      <c r="O123" s="508" t="s">
        <v>674</v>
      </c>
    </row>
    <row r="124" spans="1:15" ht="26.4">
      <c r="A124" s="166" t="s">
        <v>701</v>
      </c>
      <c r="B124" s="164">
        <v>5294</v>
      </c>
      <c r="C124" s="164">
        <v>3624</v>
      </c>
      <c r="D124" s="164">
        <v>2785</v>
      </c>
      <c r="E124" s="164">
        <v>2011</v>
      </c>
      <c r="F124" s="164">
        <v>2507</v>
      </c>
      <c r="G124" s="164">
        <v>1681</v>
      </c>
      <c r="H124" s="164">
        <v>1663</v>
      </c>
      <c r="I124" s="164">
        <v>2649</v>
      </c>
      <c r="J124" s="164">
        <v>2226</v>
      </c>
      <c r="K124" s="165">
        <v>1997</v>
      </c>
      <c r="L124" s="165">
        <v>1284</v>
      </c>
      <c r="M124" s="165">
        <v>2092</v>
      </c>
      <c r="N124" s="165">
        <v>29813</v>
      </c>
      <c r="O124" s="508" t="s">
        <v>702</v>
      </c>
    </row>
    <row r="125" spans="1:15" ht="26.4">
      <c r="A125" s="166" t="s">
        <v>654</v>
      </c>
      <c r="B125" s="164">
        <v>13366</v>
      </c>
      <c r="C125" s="164">
        <v>11016</v>
      </c>
      <c r="D125" s="164">
        <v>11673</v>
      </c>
      <c r="E125" s="164">
        <v>7499</v>
      </c>
      <c r="F125" s="164">
        <v>6850</v>
      </c>
      <c r="G125" s="164">
        <v>7817</v>
      </c>
      <c r="H125" s="164">
        <v>6076</v>
      </c>
      <c r="I125" s="164">
        <v>8434</v>
      </c>
      <c r="J125" s="164">
        <v>5301</v>
      </c>
      <c r="K125" s="165">
        <v>8922</v>
      </c>
      <c r="L125" s="165">
        <v>10648</v>
      </c>
      <c r="M125" s="165">
        <v>13360</v>
      </c>
      <c r="N125" s="504">
        <v>110962</v>
      </c>
      <c r="O125" s="508" t="s">
        <v>655</v>
      </c>
    </row>
    <row r="126" spans="1:15">
      <c r="A126" s="843"/>
      <c r="B126" s="844"/>
      <c r="C126" s="844"/>
      <c r="D126" s="844"/>
      <c r="E126" s="844"/>
      <c r="F126" s="844"/>
      <c r="G126" s="844"/>
      <c r="H126" s="844"/>
      <c r="I126" s="844"/>
      <c r="J126" s="844"/>
      <c r="K126" s="844"/>
      <c r="L126" s="844"/>
      <c r="M126" s="844"/>
      <c r="N126" s="844"/>
      <c r="O126" s="845"/>
    </row>
    <row r="127" spans="1:15" ht="15" thickBot="1">
      <c r="A127" s="846"/>
      <c r="B127" s="847"/>
      <c r="C127" s="847"/>
      <c r="D127" s="847"/>
      <c r="E127" s="847"/>
      <c r="F127" s="847"/>
      <c r="G127" s="847"/>
      <c r="H127" s="847"/>
      <c r="I127" s="847"/>
      <c r="J127" s="847"/>
      <c r="K127" s="847"/>
      <c r="L127" s="847"/>
      <c r="M127" s="847"/>
      <c r="N127" s="847"/>
      <c r="O127" s="848"/>
    </row>
    <row r="128" spans="1:15" ht="30">
      <c r="A128" s="849" t="s">
        <v>1096</v>
      </c>
      <c r="B128" s="446" t="s">
        <v>163</v>
      </c>
      <c r="C128" s="446" t="s">
        <v>165</v>
      </c>
      <c r="D128" s="446" t="s">
        <v>167</v>
      </c>
      <c r="E128" s="446" t="s">
        <v>169</v>
      </c>
      <c r="F128" s="446" t="s">
        <v>171</v>
      </c>
      <c r="G128" s="446" t="s">
        <v>173</v>
      </c>
      <c r="H128" s="446" t="s">
        <v>175</v>
      </c>
      <c r="I128" s="446" t="s">
        <v>177</v>
      </c>
      <c r="J128" s="446" t="s">
        <v>815</v>
      </c>
      <c r="K128" s="446" t="s">
        <v>181</v>
      </c>
      <c r="L128" s="446" t="s">
        <v>816</v>
      </c>
      <c r="M128" s="446" t="s">
        <v>817</v>
      </c>
      <c r="N128" s="446" t="s">
        <v>48</v>
      </c>
      <c r="O128" s="851" t="s">
        <v>822</v>
      </c>
    </row>
    <row r="129" spans="1:15" ht="30">
      <c r="A129" s="850"/>
      <c r="B129" s="446" t="s">
        <v>244</v>
      </c>
      <c r="C129" s="446" t="s">
        <v>245</v>
      </c>
      <c r="D129" s="446" t="s">
        <v>246</v>
      </c>
      <c r="E129" s="446" t="s">
        <v>247</v>
      </c>
      <c r="F129" s="446" t="s">
        <v>172</v>
      </c>
      <c r="G129" s="446" t="s">
        <v>248</v>
      </c>
      <c r="H129" s="446" t="s">
        <v>249</v>
      </c>
      <c r="I129" s="446" t="s">
        <v>250</v>
      </c>
      <c r="J129" s="446" t="s">
        <v>180</v>
      </c>
      <c r="K129" s="446" t="s">
        <v>182</v>
      </c>
      <c r="L129" s="446" t="s">
        <v>184</v>
      </c>
      <c r="M129" s="446" t="s">
        <v>186</v>
      </c>
      <c r="N129" s="446" t="s">
        <v>4</v>
      </c>
      <c r="O129" s="852"/>
    </row>
    <row r="130" spans="1:15" ht="26.4">
      <c r="A130" s="479">
        <v>1999</v>
      </c>
      <c r="B130" s="474">
        <f t="shared" ref="B130:N130" si="29">SUM(B131:B133)</f>
        <v>2529</v>
      </c>
      <c r="C130" s="474">
        <f t="shared" si="29"/>
        <v>18522</v>
      </c>
      <c r="D130" s="474">
        <f t="shared" si="29"/>
        <v>5105</v>
      </c>
      <c r="E130" s="474">
        <f t="shared" si="29"/>
        <v>16582</v>
      </c>
      <c r="F130" s="474">
        <f t="shared" si="29"/>
        <v>6204</v>
      </c>
      <c r="G130" s="474">
        <f t="shared" si="29"/>
        <v>7623</v>
      </c>
      <c r="H130" s="474">
        <f t="shared" si="29"/>
        <v>2502</v>
      </c>
      <c r="I130" s="474">
        <f t="shared" si="29"/>
        <v>7260</v>
      </c>
      <c r="J130" s="474">
        <f t="shared" si="29"/>
        <v>2592</v>
      </c>
      <c r="K130" s="474">
        <f t="shared" si="29"/>
        <v>13855</v>
      </c>
      <c r="L130" s="474">
        <f t="shared" si="29"/>
        <v>3141</v>
      </c>
      <c r="M130" s="474">
        <f t="shared" si="29"/>
        <v>1728</v>
      </c>
      <c r="N130" s="474">
        <f t="shared" si="29"/>
        <v>87643</v>
      </c>
      <c r="O130" s="505">
        <v>1999</v>
      </c>
    </row>
    <row r="131" spans="1:15" ht="26.4">
      <c r="A131" s="163" t="s">
        <v>818</v>
      </c>
      <c r="B131" s="474">
        <v>1962</v>
      </c>
      <c r="C131" s="474">
        <v>8309</v>
      </c>
      <c r="D131" s="474">
        <v>740</v>
      </c>
      <c r="E131" s="474">
        <v>12815</v>
      </c>
      <c r="F131" s="474">
        <v>4180</v>
      </c>
      <c r="G131" s="474">
        <v>3738</v>
      </c>
      <c r="H131" s="474">
        <v>405</v>
      </c>
      <c r="I131" s="474">
        <v>5374</v>
      </c>
      <c r="J131" s="474">
        <v>0</v>
      </c>
      <c r="K131" s="474">
        <v>12347</v>
      </c>
      <c r="L131" s="474">
        <v>590</v>
      </c>
      <c r="M131" s="474">
        <v>46</v>
      </c>
      <c r="N131" s="474">
        <f>SUM(B131:M131)</f>
        <v>50506</v>
      </c>
      <c r="O131" s="471" t="s">
        <v>674</v>
      </c>
    </row>
    <row r="132" spans="1:15" ht="26.4">
      <c r="A132" s="166" t="s">
        <v>819</v>
      </c>
      <c r="B132" s="474">
        <v>562</v>
      </c>
      <c r="C132" s="474">
        <v>10170</v>
      </c>
      <c r="D132" s="474">
        <v>4343</v>
      </c>
      <c r="E132" s="474">
        <v>3706</v>
      </c>
      <c r="F132" s="474">
        <v>1978</v>
      </c>
      <c r="G132" s="474">
        <v>3816</v>
      </c>
      <c r="H132" s="474">
        <v>2052</v>
      </c>
      <c r="I132" s="474">
        <v>1862</v>
      </c>
      <c r="J132" s="474">
        <v>2502</v>
      </c>
      <c r="K132" s="474">
        <v>1499</v>
      </c>
      <c r="L132" s="474">
        <v>2547</v>
      </c>
      <c r="M132" s="474">
        <v>1675</v>
      </c>
      <c r="N132" s="474">
        <f>SUM(B132:M132)</f>
        <v>36712</v>
      </c>
      <c r="O132" s="472" t="s">
        <v>702</v>
      </c>
    </row>
    <row r="133" spans="1:15" ht="26.4">
      <c r="A133" s="166" t="s">
        <v>821</v>
      </c>
      <c r="B133" s="474">
        <v>5</v>
      </c>
      <c r="C133" s="474">
        <v>43</v>
      </c>
      <c r="D133" s="474">
        <v>22</v>
      </c>
      <c r="E133" s="474">
        <v>61</v>
      </c>
      <c r="F133" s="474">
        <v>46</v>
      </c>
      <c r="G133" s="474">
        <v>69</v>
      </c>
      <c r="H133" s="474">
        <v>45</v>
      </c>
      <c r="I133" s="474">
        <v>24</v>
      </c>
      <c r="J133" s="474">
        <v>90</v>
      </c>
      <c r="K133" s="474">
        <v>9</v>
      </c>
      <c r="L133" s="474">
        <v>4</v>
      </c>
      <c r="M133" s="474">
        <v>7</v>
      </c>
      <c r="N133" s="474">
        <f>SUM(B133:M133)</f>
        <v>425</v>
      </c>
      <c r="O133" s="478" t="s">
        <v>655</v>
      </c>
    </row>
    <row r="134" spans="1:15" ht="26.4">
      <c r="A134" s="479">
        <v>2000</v>
      </c>
      <c r="B134" s="474">
        <f t="shared" ref="B134:N134" si="30">SUM(B135:B137)</f>
        <v>3183</v>
      </c>
      <c r="C134" s="474">
        <f t="shared" si="30"/>
        <v>8894</v>
      </c>
      <c r="D134" s="474">
        <f t="shared" si="30"/>
        <v>14251</v>
      </c>
      <c r="E134" s="474">
        <f t="shared" si="30"/>
        <v>5299</v>
      </c>
      <c r="F134" s="474">
        <f t="shared" si="30"/>
        <v>9968</v>
      </c>
      <c r="G134" s="474">
        <f t="shared" si="30"/>
        <v>4086</v>
      </c>
      <c r="H134" s="474">
        <f t="shared" si="30"/>
        <v>12437</v>
      </c>
      <c r="I134" s="474">
        <f t="shared" si="30"/>
        <v>11119</v>
      </c>
      <c r="J134" s="474">
        <f t="shared" si="30"/>
        <v>15345</v>
      </c>
      <c r="K134" s="474">
        <f t="shared" si="30"/>
        <v>1925</v>
      </c>
      <c r="L134" s="474">
        <f t="shared" si="30"/>
        <v>349</v>
      </c>
      <c r="M134" s="474">
        <f t="shared" si="30"/>
        <v>3255</v>
      </c>
      <c r="N134" s="474">
        <f t="shared" si="30"/>
        <v>90111</v>
      </c>
      <c r="O134" s="505">
        <v>2000</v>
      </c>
    </row>
    <row r="135" spans="1:15" ht="26.4">
      <c r="A135" s="163" t="s">
        <v>818</v>
      </c>
      <c r="B135" s="474">
        <v>0</v>
      </c>
      <c r="C135" s="474">
        <v>269</v>
      </c>
      <c r="D135" s="474">
        <v>8152</v>
      </c>
      <c r="E135" s="474">
        <v>1006</v>
      </c>
      <c r="F135" s="474">
        <v>6291</v>
      </c>
      <c r="G135" s="474">
        <v>978</v>
      </c>
      <c r="H135" s="474">
        <v>6112</v>
      </c>
      <c r="I135" s="474">
        <v>7177</v>
      </c>
      <c r="J135" s="474">
        <v>11338</v>
      </c>
      <c r="K135" s="474">
        <v>0</v>
      </c>
      <c r="L135" s="474">
        <v>0</v>
      </c>
      <c r="M135" s="474">
        <v>615</v>
      </c>
      <c r="N135" s="474">
        <f>SUM(B135:M135)</f>
        <v>41938</v>
      </c>
      <c r="O135" s="471" t="s">
        <v>674</v>
      </c>
    </row>
    <row r="136" spans="1:15" ht="26.4">
      <c r="A136" s="166" t="s">
        <v>819</v>
      </c>
      <c r="B136" s="474">
        <v>3130</v>
      </c>
      <c r="C136" s="474">
        <v>8377</v>
      </c>
      <c r="D136" s="474">
        <v>5963</v>
      </c>
      <c r="E136" s="474">
        <v>4058</v>
      </c>
      <c r="F136" s="474">
        <v>3555</v>
      </c>
      <c r="G136" s="474">
        <v>3042</v>
      </c>
      <c r="H136" s="474">
        <v>6258</v>
      </c>
      <c r="I136" s="474">
        <v>3885</v>
      </c>
      <c r="J136" s="474">
        <v>3769</v>
      </c>
      <c r="K136" s="474">
        <v>1810</v>
      </c>
      <c r="L136" s="474">
        <v>349</v>
      </c>
      <c r="M136" s="474">
        <v>2623</v>
      </c>
      <c r="N136" s="474">
        <f>SUM(B136:M136)</f>
        <v>46819</v>
      </c>
      <c r="O136" s="472" t="s">
        <v>702</v>
      </c>
    </row>
    <row r="137" spans="1:15" ht="26.4">
      <c r="A137" s="166" t="s">
        <v>821</v>
      </c>
      <c r="B137" s="474">
        <v>53</v>
      </c>
      <c r="C137" s="474">
        <v>248</v>
      </c>
      <c r="D137" s="474">
        <v>136</v>
      </c>
      <c r="E137" s="474">
        <v>235</v>
      </c>
      <c r="F137" s="474">
        <v>122</v>
      </c>
      <c r="G137" s="474">
        <v>66</v>
      </c>
      <c r="H137" s="474">
        <v>67</v>
      </c>
      <c r="I137" s="474">
        <v>57</v>
      </c>
      <c r="J137" s="474">
        <v>238</v>
      </c>
      <c r="K137" s="474">
        <v>115</v>
      </c>
      <c r="L137" s="474">
        <v>0</v>
      </c>
      <c r="M137" s="474">
        <v>17</v>
      </c>
      <c r="N137" s="474">
        <f>SUM(B137:M137)</f>
        <v>1354</v>
      </c>
      <c r="O137" s="478" t="s">
        <v>655</v>
      </c>
    </row>
    <row r="138" spans="1:15" ht="26.4">
      <c r="A138" s="479">
        <v>2001</v>
      </c>
      <c r="B138" s="474">
        <f t="shared" ref="B138:N138" si="31">SUM(B139:B141)</f>
        <v>9317</v>
      </c>
      <c r="C138" s="474">
        <f t="shared" si="31"/>
        <v>9830</v>
      </c>
      <c r="D138" s="474">
        <f t="shared" si="31"/>
        <v>18614</v>
      </c>
      <c r="E138" s="474">
        <f t="shared" si="31"/>
        <v>7360</v>
      </c>
      <c r="F138" s="474">
        <f t="shared" si="31"/>
        <v>6440</v>
      </c>
      <c r="G138" s="474">
        <f t="shared" si="31"/>
        <v>6426</v>
      </c>
      <c r="H138" s="474">
        <f t="shared" si="31"/>
        <v>5588</v>
      </c>
      <c r="I138" s="474">
        <f t="shared" si="31"/>
        <v>12319</v>
      </c>
      <c r="J138" s="474">
        <f t="shared" si="31"/>
        <v>19854</v>
      </c>
      <c r="K138" s="474">
        <f t="shared" si="31"/>
        <v>7599</v>
      </c>
      <c r="L138" s="474">
        <f t="shared" si="31"/>
        <v>4113</v>
      </c>
      <c r="M138" s="474">
        <f t="shared" si="31"/>
        <v>8387</v>
      </c>
      <c r="N138" s="474">
        <f t="shared" si="31"/>
        <v>115847</v>
      </c>
      <c r="O138" s="505">
        <v>2001</v>
      </c>
    </row>
    <row r="139" spans="1:15" ht="26.4">
      <c r="A139" s="163" t="s">
        <v>818</v>
      </c>
      <c r="B139" s="474">
        <v>1626</v>
      </c>
      <c r="C139" s="474">
        <v>1108</v>
      </c>
      <c r="D139" s="474">
        <v>8734</v>
      </c>
      <c r="E139" s="474">
        <v>1996</v>
      </c>
      <c r="F139" s="474">
        <v>1224</v>
      </c>
      <c r="G139" s="474">
        <v>612</v>
      </c>
      <c r="H139" s="474">
        <v>422</v>
      </c>
      <c r="I139" s="474">
        <v>7541</v>
      </c>
      <c r="J139" s="474">
        <v>12147</v>
      </c>
      <c r="K139" s="474">
        <v>0</v>
      </c>
      <c r="L139" s="474">
        <v>242</v>
      </c>
      <c r="M139" s="474">
        <v>1790</v>
      </c>
      <c r="N139" s="474">
        <f>SUM(B139:M139)</f>
        <v>37442</v>
      </c>
      <c r="O139" s="471" t="s">
        <v>674</v>
      </c>
    </row>
    <row r="140" spans="1:15" ht="26.4">
      <c r="A140" s="166" t="s">
        <v>819</v>
      </c>
      <c r="B140" s="474">
        <v>7526</v>
      </c>
      <c r="C140" s="474">
        <v>8411</v>
      </c>
      <c r="D140" s="474">
        <v>9743</v>
      </c>
      <c r="E140" s="474">
        <v>5112</v>
      </c>
      <c r="F140" s="474">
        <v>5107</v>
      </c>
      <c r="G140" s="474">
        <v>5715</v>
      </c>
      <c r="H140" s="474">
        <v>4845</v>
      </c>
      <c r="I140" s="474">
        <v>4749</v>
      </c>
      <c r="J140" s="474">
        <v>7484</v>
      </c>
      <c r="K140" s="474">
        <v>7583</v>
      </c>
      <c r="L140" s="474">
        <v>3856</v>
      </c>
      <c r="M140" s="474">
        <v>6549</v>
      </c>
      <c r="N140" s="474">
        <f>SUM(B140:M140)</f>
        <v>76680</v>
      </c>
      <c r="O140" s="472" t="s">
        <v>702</v>
      </c>
    </row>
    <row r="141" spans="1:15" ht="26.4">
      <c r="A141" s="166" t="s">
        <v>821</v>
      </c>
      <c r="B141" s="474">
        <v>165</v>
      </c>
      <c r="C141" s="474">
        <v>311</v>
      </c>
      <c r="D141" s="474">
        <v>137</v>
      </c>
      <c r="E141" s="474">
        <v>252</v>
      </c>
      <c r="F141" s="474">
        <v>109</v>
      </c>
      <c r="G141" s="474">
        <v>99</v>
      </c>
      <c r="H141" s="474">
        <v>321</v>
      </c>
      <c r="I141" s="474">
        <v>29</v>
      </c>
      <c r="J141" s="474">
        <v>223</v>
      </c>
      <c r="K141" s="474">
        <v>16</v>
      </c>
      <c r="L141" s="474">
        <v>15</v>
      </c>
      <c r="M141" s="474">
        <v>48</v>
      </c>
      <c r="N141" s="474">
        <f>SUM(B141:M141)</f>
        <v>1725</v>
      </c>
      <c r="O141" s="478" t="s">
        <v>655</v>
      </c>
    </row>
    <row r="142" spans="1:15" ht="26.4">
      <c r="A142" s="479">
        <v>2002</v>
      </c>
      <c r="B142" s="474">
        <f t="shared" ref="B142:N142" si="32">SUM(B143:B145)</f>
        <v>13070</v>
      </c>
      <c r="C142" s="474">
        <f t="shared" si="32"/>
        <v>7262</v>
      </c>
      <c r="D142" s="474">
        <f t="shared" si="32"/>
        <v>7514</v>
      </c>
      <c r="E142" s="474">
        <f t="shared" si="32"/>
        <v>7162</v>
      </c>
      <c r="F142" s="474">
        <f t="shared" si="32"/>
        <v>9226</v>
      </c>
      <c r="G142" s="474">
        <f t="shared" si="32"/>
        <v>4628</v>
      </c>
      <c r="H142" s="474">
        <f t="shared" si="32"/>
        <v>10899</v>
      </c>
      <c r="I142" s="474">
        <f t="shared" si="32"/>
        <v>8678</v>
      </c>
      <c r="J142" s="474">
        <f t="shared" si="32"/>
        <v>14444</v>
      </c>
      <c r="K142" s="474">
        <f t="shared" si="32"/>
        <v>3935</v>
      </c>
      <c r="L142" s="474">
        <f t="shared" si="32"/>
        <v>2387</v>
      </c>
      <c r="M142" s="474">
        <f t="shared" si="32"/>
        <v>28983</v>
      </c>
      <c r="N142" s="474">
        <f t="shared" si="32"/>
        <v>118188</v>
      </c>
      <c r="O142" s="505">
        <v>2002</v>
      </c>
    </row>
    <row r="143" spans="1:15" ht="26.4">
      <c r="A143" s="163" t="s">
        <v>818</v>
      </c>
      <c r="B143" s="474">
        <v>4637</v>
      </c>
      <c r="C143" s="474">
        <v>2336</v>
      </c>
      <c r="D143" s="474">
        <v>1835</v>
      </c>
      <c r="E143" s="474">
        <v>2664</v>
      </c>
      <c r="F143" s="474">
        <v>964</v>
      </c>
      <c r="G143" s="474">
        <v>810</v>
      </c>
      <c r="H143" s="474">
        <v>990</v>
      </c>
      <c r="I143" s="474">
        <v>4751</v>
      </c>
      <c r="J143" s="474">
        <v>4622</v>
      </c>
      <c r="K143" s="474">
        <v>3324</v>
      </c>
      <c r="L143" s="474">
        <v>858</v>
      </c>
      <c r="M143" s="474">
        <v>16953</v>
      </c>
      <c r="N143" s="474">
        <f>SUM(B143:M143)</f>
        <v>44744</v>
      </c>
      <c r="O143" s="471" t="s">
        <v>674</v>
      </c>
    </row>
    <row r="144" spans="1:15" ht="26.4">
      <c r="A144" s="166" t="s">
        <v>819</v>
      </c>
      <c r="B144" s="474">
        <v>8319</v>
      </c>
      <c r="C144" s="474">
        <v>4711</v>
      </c>
      <c r="D144" s="474">
        <v>5268</v>
      </c>
      <c r="E144" s="474">
        <v>4277</v>
      </c>
      <c r="F144" s="474">
        <v>8122</v>
      </c>
      <c r="G144" s="474">
        <v>3691</v>
      </c>
      <c r="H144" s="474">
        <v>9646</v>
      </c>
      <c r="I144" s="474">
        <v>3835</v>
      </c>
      <c r="J144" s="474">
        <v>9694</v>
      </c>
      <c r="K144" s="474">
        <v>544</v>
      </c>
      <c r="L144" s="474">
        <v>1509</v>
      </c>
      <c r="M144" s="474">
        <v>11988</v>
      </c>
      <c r="N144" s="474">
        <f>SUM(B144:M144)</f>
        <v>71604</v>
      </c>
      <c r="O144" s="472" t="s">
        <v>702</v>
      </c>
    </row>
    <row r="145" spans="1:15" ht="26.4">
      <c r="A145" s="166" t="s">
        <v>821</v>
      </c>
      <c r="B145" s="474">
        <v>114</v>
      </c>
      <c r="C145" s="474">
        <v>215</v>
      </c>
      <c r="D145" s="474">
        <v>411</v>
      </c>
      <c r="E145" s="474">
        <v>221</v>
      </c>
      <c r="F145" s="474">
        <v>140</v>
      </c>
      <c r="G145" s="474">
        <v>127</v>
      </c>
      <c r="H145" s="474">
        <v>263</v>
      </c>
      <c r="I145" s="474">
        <v>92</v>
      </c>
      <c r="J145" s="474">
        <v>128</v>
      </c>
      <c r="K145" s="474">
        <v>67</v>
      </c>
      <c r="L145" s="474">
        <v>20</v>
      </c>
      <c r="M145" s="474">
        <v>42</v>
      </c>
      <c r="N145" s="474">
        <f>SUM(B145:M145)</f>
        <v>1840</v>
      </c>
      <c r="O145" s="478" t="s">
        <v>655</v>
      </c>
    </row>
    <row r="146" spans="1:15" ht="26.4">
      <c r="A146" s="479">
        <v>2003</v>
      </c>
      <c r="B146" s="474">
        <f>SUM(B147:B149)</f>
        <v>8994</v>
      </c>
      <c r="C146" s="474">
        <f>SUM(C147:C149)</f>
        <v>12304</v>
      </c>
      <c r="D146" s="474">
        <f>SUM(D147:D149)</f>
        <v>15369</v>
      </c>
      <c r="E146" s="474">
        <f>SUM(E147:E149)</f>
        <v>10110</v>
      </c>
      <c r="F146" s="474">
        <f t="shared" ref="F146:N146" si="33">SUM(F147:F149)</f>
        <v>7936</v>
      </c>
      <c r="G146" s="474">
        <f t="shared" si="33"/>
        <v>8956</v>
      </c>
      <c r="H146" s="474">
        <f t="shared" si="33"/>
        <v>8040</v>
      </c>
      <c r="I146" s="474">
        <f t="shared" si="33"/>
        <v>4202</v>
      </c>
      <c r="J146" s="474">
        <f t="shared" si="33"/>
        <v>18537</v>
      </c>
      <c r="K146" s="474">
        <f t="shared" si="33"/>
        <v>2380</v>
      </c>
      <c r="L146" s="474">
        <f t="shared" si="33"/>
        <v>564</v>
      </c>
      <c r="M146" s="474">
        <f t="shared" si="33"/>
        <v>16836</v>
      </c>
      <c r="N146" s="474">
        <f t="shared" si="33"/>
        <v>114228</v>
      </c>
      <c r="O146" s="505">
        <v>2003</v>
      </c>
    </row>
    <row r="147" spans="1:15" ht="26.4">
      <c r="A147" s="163" t="s">
        <v>818</v>
      </c>
      <c r="B147" s="474">
        <v>2301</v>
      </c>
      <c r="C147" s="474">
        <v>3383</v>
      </c>
      <c r="D147" s="474">
        <v>6384</v>
      </c>
      <c r="E147" s="474">
        <v>2995</v>
      </c>
      <c r="F147" s="474">
        <v>1572</v>
      </c>
      <c r="G147" s="474">
        <v>1878</v>
      </c>
      <c r="H147" s="474">
        <v>2475</v>
      </c>
      <c r="I147" s="477">
        <v>1001</v>
      </c>
      <c r="J147" s="477">
        <v>11077</v>
      </c>
      <c r="K147" s="503">
        <v>1268</v>
      </c>
      <c r="L147" s="503">
        <v>252</v>
      </c>
      <c r="M147" s="474">
        <v>3974</v>
      </c>
      <c r="N147" s="474">
        <f>SUM(B147:M147)</f>
        <v>38560</v>
      </c>
      <c r="O147" s="471" t="s">
        <v>674</v>
      </c>
    </row>
    <row r="148" spans="1:15" ht="26.4">
      <c r="A148" s="166" t="s">
        <v>819</v>
      </c>
      <c r="B148" s="474">
        <v>6629</v>
      </c>
      <c r="C148" s="474">
        <v>8836</v>
      </c>
      <c r="D148" s="474">
        <v>8929</v>
      </c>
      <c r="E148" s="474">
        <v>7034</v>
      </c>
      <c r="F148" s="474">
        <v>6219</v>
      </c>
      <c r="G148" s="474">
        <v>6777</v>
      </c>
      <c r="H148" s="474">
        <v>5532</v>
      </c>
      <c r="I148" s="474">
        <v>3075</v>
      </c>
      <c r="J148" s="474">
        <v>7291</v>
      </c>
      <c r="K148" s="474">
        <v>1100</v>
      </c>
      <c r="L148" s="474">
        <v>277</v>
      </c>
      <c r="M148" s="474">
        <v>12687</v>
      </c>
      <c r="N148" s="474">
        <f>SUM(B148:M148)</f>
        <v>74386</v>
      </c>
      <c r="O148" s="472" t="s">
        <v>702</v>
      </c>
    </row>
    <row r="149" spans="1:15" ht="26.4">
      <c r="A149" s="166" t="s">
        <v>821</v>
      </c>
      <c r="B149" s="474">
        <v>64</v>
      </c>
      <c r="C149" s="474">
        <v>85</v>
      </c>
      <c r="D149" s="474">
        <v>56</v>
      </c>
      <c r="E149" s="474">
        <v>81</v>
      </c>
      <c r="F149" s="474">
        <v>145</v>
      </c>
      <c r="G149" s="474">
        <v>301</v>
      </c>
      <c r="H149" s="474">
        <v>33</v>
      </c>
      <c r="I149" s="474">
        <v>126</v>
      </c>
      <c r="J149" s="474">
        <v>169</v>
      </c>
      <c r="K149" s="474">
        <v>12</v>
      </c>
      <c r="L149" s="474">
        <v>35</v>
      </c>
      <c r="M149" s="474">
        <v>175</v>
      </c>
      <c r="N149" s="474">
        <f>SUM(B149:M149)</f>
        <v>1282</v>
      </c>
      <c r="O149" s="478" t="s">
        <v>655</v>
      </c>
    </row>
    <row r="150" spans="1:15" ht="26.4">
      <c r="A150" s="479">
        <v>2004</v>
      </c>
      <c r="B150" s="474">
        <f t="shared" ref="B150:N150" si="34">SUM(B151:B153)</f>
        <v>16772</v>
      </c>
      <c r="C150" s="474">
        <f t="shared" si="34"/>
        <v>15695</v>
      </c>
      <c r="D150" s="474">
        <f t="shared" si="34"/>
        <v>7565</v>
      </c>
      <c r="E150" s="474">
        <f t="shared" si="34"/>
        <v>7777</v>
      </c>
      <c r="F150" s="474">
        <f t="shared" si="34"/>
        <v>10485</v>
      </c>
      <c r="G150" s="474">
        <f t="shared" si="34"/>
        <v>10228</v>
      </c>
      <c r="H150" s="474">
        <f t="shared" si="34"/>
        <v>12186</v>
      </c>
      <c r="I150" s="474">
        <f t="shared" si="34"/>
        <v>14091</v>
      </c>
      <c r="J150" s="474">
        <f t="shared" si="34"/>
        <v>23648</v>
      </c>
      <c r="K150" s="474">
        <f t="shared" si="34"/>
        <v>7180</v>
      </c>
      <c r="L150" s="474">
        <f t="shared" si="34"/>
        <v>6364</v>
      </c>
      <c r="M150" s="474">
        <f t="shared" si="34"/>
        <v>20003</v>
      </c>
      <c r="N150" s="474">
        <f t="shared" si="34"/>
        <v>151994</v>
      </c>
      <c r="O150" s="505">
        <v>2004</v>
      </c>
    </row>
    <row r="151" spans="1:15" ht="26.4">
      <c r="A151" s="163" t="s">
        <v>818</v>
      </c>
      <c r="B151" s="474">
        <v>14726</v>
      </c>
      <c r="C151" s="474">
        <v>7833</v>
      </c>
      <c r="D151" s="474">
        <v>3330</v>
      </c>
      <c r="E151" s="474">
        <v>4042</v>
      </c>
      <c r="F151" s="474">
        <v>7337</v>
      </c>
      <c r="G151" s="474">
        <v>4986</v>
      </c>
      <c r="H151" s="474">
        <v>6520</v>
      </c>
      <c r="I151" s="474">
        <v>9318</v>
      </c>
      <c r="J151" s="474">
        <v>10343</v>
      </c>
      <c r="K151" s="474">
        <v>6000</v>
      </c>
      <c r="L151" s="474">
        <v>4161</v>
      </c>
      <c r="M151" s="474">
        <v>11886</v>
      </c>
      <c r="N151" s="474">
        <f>SUM(B151:M151)</f>
        <v>90482</v>
      </c>
      <c r="O151" s="471" t="s">
        <v>674</v>
      </c>
    </row>
    <row r="152" spans="1:15" ht="26.4">
      <c r="A152" s="166" t="s">
        <v>819</v>
      </c>
      <c r="B152" s="474">
        <v>2046</v>
      </c>
      <c r="C152" s="474">
        <v>7802</v>
      </c>
      <c r="D152" s="474">
        <v>4211</v>
      </c>
      <c r="E152" s="474">
        <v>3596</v>
      </c>
      <c r="F152" s="474">
        <v>2958</v>
      </c>
      <c r="G152" s="474">
        <v>5110</v>
      </c>
      <c r="H152" s="474">
        <v>5344</v>
      </c>
      <c r="I152" s="474">
        <v>4664</v>
      </c>
      <c r="J152" s="474">
        <v>12952</v>
      </c>
      <c r="K152" s="474">
        <v>991</v>
      </c>
      <c r="L152" s="474">
        <v>2171</v>
      </c>
      <c r="M152" s="474">
        <v>7848</v>
      </c>
      <c r="N152" s="474">
        <f>SUM(B152:M152)</f>
        <v>59693</v>
      </c>
      <c r="O152" s="472" t="s">
        <v>702</v>
      </c>
    </row>
    <row r="153" spans="1:15" ht="26.4">
      <c r="A153" s="166" t="s">
        <v>821</v>
      </c>
      <c r="B153" s="474">
        <v>0</v>
      </c>
      <c r="C153" s="474">
        <v>60</v>
      </c>
      <c r="D153" s="474">
        <v>24</v>
      </c>
      <c r="E153" s="474">
        <v>139</v>
      </c>
      <c r="F153" s="474">
        <v>190</v>
      </c>
      <c r="G153" s="474">
        <v>132</v>
      </c>
      <c r="H153" s="474">
        <v>322</v>
      </c>
      <c r="I153" s="474">
        <v>109</v>
      </c>
      <c r="J153" s="474">
        <v>353</v>
      </c>
      <c r="K153" s="474">
        <v>189</v>
      </c>
      <c r="L153" s="474">
        <v>32</v>
      </c>
      <c r="M153" s="474">
        <v>269</v>
      </c>
      <c r="N153" s="474">
        <f>SUM(B153:M153)</f>
        <v>1819</v>
      </c>
      <c r="O153" s="478" t="s">
        <v>655</v>
      </c>
    </row>
    <row r="154" spans="1:15" ht="26.4">
      <c r="A154" s="479">
        <v>2005</v>
      </c>
      <c r="B154" s="474">
        <f t="shared" ref="B154:N154" si="35">SUM(B155:B157)</f>
        <v>10508</v>
      </c>
      <c r="C154" s="474">
        <f t="shared" si="35"/>
        <v>13280</v>
      </c>
      <c r="D154" s="474">
        <f t="shared" si="35"/>
        <v>11330</v>
      </c>
      <c r="E154" s="474">
        <f t="shared" si="35"/>
        <v>17176</v>
      </c>
      <c r="F154" s="474">
        <f t="shared" si="35"/>
        <v>7319</v>
      </c>
      <c r="G154" s="474">
        <f t="shared" si="35"/>
        <v>17020</v>
      </c>
      <c r="H154" s="474">
        <f t="shared" si="35"/>
        <v>18700</v>
      </c>
      <c r="I154" s="474">
        <f t="shared" si="35"/>
        <v>9926</v>
      </c>
      <c r="J154" s="474">
        <f t="shared" si="35"/>
        <v>9513</v>
      </c>
      <c r="K154" s="474">
        <f t="shared" si="35"/>
        <v>15509</v>
      </c>
      <c r="L154" s="474">
        <f t="shared" si="35"/>
        <v>10626</v>
      </c>
      <c r="M154" s="474">
        <f t="shared" si="35"/>
        <v>2124</v>
      </c>
      <c r="N154" s="474">
        <f t="shared" si="35"/>
        <v>143031</v>
      </c>
      <c r="O154" s="505">
        <v>2005</v>
      </c>
    </row>
    <row r="155" spans="1:15" ht="26.4">
      <c r="A155" s="163" t="s">
        <v>818</v>
      </c>
      <c r="B155" s="474">
        <v>3830</v>
      </c>
      <c r="C155" s="474">
        <v>7178</v>
      </c>
      <c r="D155" s="474">
        <v>6260</v>
      </c>
      <c r="E155" s="474">
        <v>10928</v>
      </c>
      <c r="F155" s="474">
        <v>3041</v>
      </c>
      <c r="G155" s="474">
        <v>13670</v>
      </c>
      <c r="H155" s="474">
        <v>12818</v>
      </c>
      <c r="I155" s="474">
        <v>3683</v>
      </c>
      <c r="J155" s="474">
        <v>2335</v>
      </c>
      <c r="K155" s="474">
        <v>13105</v>
      </c>
      <c r="L155" s="474">
        <v>9275</v>
      </c>
      <c r="M155" s="474">
        <v>618</v>
      </c>
      <c r="N155" s="474">
        <f>SUM(B155:M155)</f>
        <v>86741</v>
      </c>
      <c r="O155" s="471" t="s">
        <v>674</v>
      </c>
    </row>
    <row r="156" spans="1:15" ht="26.4">
      <c r="A156" s="166" t="s">
        <v>819</v>
      </c>
      <c r="B156" s="474">
        <v>6587</v>
      </c>
      <c r="C156" s="474">
        <v>5739</v>
      </c>
      <c r="D156" s="474">
        <v>4756</v>
      </c>
      <c r="E156" s="474">
        <v>6069</v>
      </c>
      <c r="F156" s="474">
        <v>3832</v>
      </c>
      <c r="G156" s="474">
        <v>3213</v>
      </c>
      <c r="H156" s="474">
        <v>5610</v>
      </c>
      <c r="I156" s="474">
        <v>5829</v>
      </c>
      <c r="J156" s="474">
        <v>6912</v>
      </c>
      <c r="K156" s="474">
        <v>2228</v>
      </c>
      <c r="L156" s="474">
        <v>1333</v>
      </c>
      <c r="M156" s="474">
        <v>1496</v>
      </c>
      <c r="N156" s="474">
        <f>SUM(B156:M156)</f>
        <v>53604</v>
      </c>
      <c r="O156" s="472" t="s">
        <v>702</v>
      </c>
    </row>
    <row r="157" spans="1:15" ht="26.4">
      <c r="A157" s="166" t="s">
        <v>821</v>
      </c>
      <c r="B157" s="474">
        <v>91</v>
      </c>
      <c r="C157" s="474">
        <v>363</v>
      </c>
      <c r="D157" s="474">
        <v>314</v>
      </c>
      <c r="E157" s="474">
        <v>179</v>
      </c>
      <c r="F157" s="474">
        <v>446</v>
      </c>
      <c r="G157" s="474">
        <v>137</v>
      </c>
      <c r="H157" s="474">
        <v>272</v>
      </c>
      <c r="I157" s="474">
        <v>414</v>
      </c>
      <c r="J157" s="474">
        <v>266</v>
      </c>
      <c r="K157" s="474">
        <v>176</v>
      </c>
      <c r="L157" s="474">
        <v>18</v>
      </c>
      <c r="M157" s="474">
        <v>10</v>
      </c>
      <c r="N157" s="474">
        <f>SUM(B157:M157)</f>
        <v>2686</v>
      </c>
      <c r="O157" s="478" t="s">
        <v>655</v>
      </c>
    </row>
    <row r="158" spans="1:15" ht="26.4">
      <c r="A158" s="479">
        <v>2006</v>
      </c>
      <c r="B158" s="474">
        <f t="shared" ref="B158:N158" si="36">SUM(B159:B161)</f>
        <v>6703</v>
      </c>
      <c r="C158" s="474">
        <f t="shared" si="36"/>
        <v>10589</v>
      </c>
      <c r="D158" s="474">
        <f t="shared" si="36"/>
        <v>27360</v>
      </c>
      <c r="E158" s="474">
        <f t="shared" si="36"/>
        <v>10181</v>
      </c>
      <c r="F158" s="474">
        <f t="shared" si="36"/>
        <v>10684</v>
      </c>
      <c r="G158" s="474">
        <f t="shared" si="36"/>
        <v>18235</v>
      </c>
      <c r="H158" s="474">
        <f t="shared" si="36"/>
        <v>11781</v>
      </c>
      <c r="I158" s="474">
        <f t="shared" si="36"/>
        <v>11796</v>
      </c>
      <c r="J158" s="474">
        <f t="shared" si="36"/>
        <v>24043</v>
      </c>
      <c r="K158" s="474">
        <f t="shared" si="36"/>
        <v>3798</v>
      </c>
      <c r="L158" s="474">
        <f t="shared" si="36"/>
        <v>10645</v>
      </c>
      <c r="M158" s="474">
        <f t="shared" si="36"/>
        <v>14474</v>
      </c>
      <c r="N158" s="474">
        <f t="shared" si="36"/>
        <v>160289</v>
      </c>
      <c r="O158" s="505">
        <v>2006</v>
      </c>
    </row>
    <row r="159" spans="1:15" ht="26.4">
      <c r="A159" s="163" t="s">
        <v>673</v>
      </c>
      <c r="B159" s="500">
        <v>1653</v>
      </c>
      <c r="C159" s="500">
        <v>7891</v>
      </c>
      <c r="D159" s="500">
        <v>16197</v>
      </c>
      <c r="E159" s="500">
        <v>5548</v>
      </c>
      <c r="F159" s="500">
        <v>4599</v>
      </c>
      <c r="G159" s="500">
        <v>13010</v>
      </c>
      <c r="H159" s="500">
        <v>5767</v>
      </c>
      <c r="I159" s="500">
        <v>6185</v>
      </c>
      <c r="J159" s="500">
        <v>14529</v>
      </c>
      <c r="K159" s="500">
        <v>1674</v>
      </c>
      <c r="L159" s="500">
        <v>4488</v>
      </c>
      <c r="M159" s="500">
        <v>8086</v>
      </c>
      <c r="N159" s="474">
        <f>SUM(B159:M159)</f>
        <v>89627</v>
      </c>
      <c r="O159" s="471" t="s">
        <v>674</v>
      </c>
    </row>
    <row r="160" spans="1:15" ht="26.4">
      <c r="A160" s="166" t="s">
        <v>701</v>
      </c>
      <c r="B160" s="500">
        <v>4901</v>
      </c>
      <c r="C160" s="500">
        <v>2252</v>
      </c>
      <c r="D160" s="500">
        <v>10883</v>
      </c>
      <c r="E160" s="500">
        <v>4539</v>
      </c>
      <c r="F160" s="500">
        <v>5865</v>
      </c>
      <c r="G160" s="500">
        <v>5108</v>
      </c>
      <c r="H160" s="500">
        <v>5731</v>
      </c>
      <c r="I160" s="500">
        <v>5444</v>
      </c>
      <c r="J160" s="500">
        <v>9233</v>
      </c>
      <c r="K160" s="500">
        <v>2108</v>
      </c>
      <c r="L160" s="500">
        <v>6112</v>
      </c>
      <c r="M160" s="500">
        <v>6224</v>
      </c>
      <c r="N160" s="474">
        <f>SUM(B160:M160)</f>
        <v>68400</v>
      </c>
      <c r="O160" s="472" t="s">
        <v>702</v>
      </c>
    </row>
    <row r="161" spans="1:15" ht="26.4">
      <c r="A161" s="166" t="s">
        <v>654</v>
      </c>
      <c r="B161" s="504">
        <v>149</v>
      </c>
      <c r="C161" s="504">
        <v>446</v>
      </c>
      <c r="D161" s="504">
        <v>280</v>
      </c>
      <c r="E161" s="504">
        <v>94</v>
      </c>
      <c r="F161" s="504">
        <v>220</v>
      </c>
      <c r="G161" s="504">
        <v>117</v>
      </c>
      <c r="H161" s="504">
        <v>283</v>
      </c>
      <c r="I161" s="504">
        <v>167</v>
      </c>
      <c r="J161" s="504">
        <v>281</v>
      </c>
      <c r="K161" s="504">
        <v>16</v>
      </c>
      <c r="L161" s="504">
        <v>45</v>
      </c>
      <c r="M161" s="504">
        <v>164</v>
      </c>
      <c r="N161" s="474">
        <f>SUM(B161:M161)</f>
        <v>2262</v>
      </c>
      <c r="O161" s="478" t="s">
        <v>655</v>
      </c>
    </row>
    <row r="162" spans="1:15" ht="26.4">
      <c r="A162" s="479">
        <v>2007</v>
      </c>
      <c r="B162" s="474">
        <f t="shared" ref="B162:N162" si="37">SUM(B163:B165)</f>
        <v>16549</v>
      </c>
      <c r="C162" s="474">
        <f t="shared" si="37"/>
        <v>10638</v>
      </c>
      <c r="D162" s="474">
        <f t="shared" si="37"/>
        <v>23408</v>
      </c>
      <c r="E162" s="474">
        <f t="shared" si="37"/>
        <v>12599</v>
      </c>
      <c r="F162" s="474">
        <f t="shared" si="37"/>
        <v>15124</v>
      </c>
      <c r="G162" s="474">
        <f t="shared" si="37"/>
        <v>13754</v>
      </c>
      <c r="H162" s="474">
        <f t="shared" si="37"/>
        <v>12300</v>
      </c>
      <c r="I162" s="474">
        <f t="shared" si="37"/>
        <v>27780</v>
      </c>
      <c r="J162" s="474">
        <f t="shared" si="37"/>
        <v>25225</v>
      </c>
      <c r="K162" s="474">
        <f t="shared" si="37"/>
        <v>7592</v>
      </c>
      <c r="L162" s="474">
        <f t="shared" si="37"/>
        <v>15825</v>
      </c>
      <c r="M162" s="474">
        <f t="shared" si="37"/>
        <v>17193</v>
      </c>
      <c r="N162" s="474">
        <f t="shared" si="37"/>
        <v>197987</v>
      </c>
      <c r="O162" s="505">
        <v>2007</v>
      </c>
    </row>
    <row r="163" spans="1:15" ht="26.4">
      <c r="A163" s="163" t="s">
        <v>673</v>
      </c>
      <c r="B163" s="500">
        <v>11225</v>
      </c>
      <c r="C163" s="500">
        <v>5317</v>
      </c>
      <c r="D163" s="500">
        <v>15369</v>
      </c>
      <c r="E163" s="500">
        <v>7836</v>
      </c>
      <c r="F163" s="500">
        <v>7349</v>
      </c>
      <c r="G163" s="500">
        <v>6951</v>
      </c>
      <c r="H163" s="500">
        <v>4511</v>
      </c>
      <c r="I163" s="500">
        <v>14774</v>
      </c>
      <c r="J163" s="500">
        <v>15351</v>
      </c>
      <c r="K163" s="500">
        <v>3589</v>
      </c>
      <c r="L163" s="500">
        <v>6898</v>
      </c>
      <c r="M163" s="500">
        <v>8996</v>
      </c>
      <c r="N163" s="474">
        <f>SUM(B163:M163)</f>
        <v>108166</v>
      </c>
      <c r="O163" s="471" t="s">
        <v>674</v>
      </c>
    </row>
    <row r="164" spans="1:15" ht="26.4">
      <c r="A164" s="166" t="s">
        <v>701</v>
      </c>
      <c r="B164" s="500">
        <v>5012</v>
      </c>
      <c r="C164" s="500">
        <v>5067</v>
      </c>
      <c r="D164" s="500">
        <v>7488</v>
      </c>
      <c r="E164" s="500">
        <v>4212</v>
      </c>
      <c r="F164" s="500">
        <v>7312</v>
      </c>
      <c r="G164" s="500">
        <v>6217</v>
      </c>
      <c r="H164" s="500">
        <v>7419</v>
      </c>
      <c r="I164" s="500">
        <v>12635</v>
      </c>
      <c r="J164" s="500">
        <v>9531</v>
      </c>
      <c r="K164" s="500">
        <v>3761</v>
      </c>
      <c r="L164" s="500">
        <v>8901</v>
      </c>
      <c r="M164" s="500">
        <v>8004</v>
      </c>
      <c r="N164" s="474">
        <f>SUM(B164:M164)</f>
        <v>85559</v>
      </c>
      <c r="O164" s="472" t="s">
        <v>702</v>
      </c>
    </row>
    <row r="165" spans="1:15" ht="26.4">
      <c r="A165" s="166" t="s">
        <v>654</v>
      </c>
      <c r="B165" s="504">
        <v>312</v>
      </c>
      <c r="C165" s="504">
        <v>254</v>
      </c>
      <c r="D165" s="504">
        <v>551</v>
      </c>
      <c r="E165" s="504">
        <v>551</v>
      </c>
      <c r="F165" s="504">
        <v>463</v>
      </c>
      <c r="G165" s="504">
        <v>586</v>
      </c>
      <c r="H165" s="504">
        <v>370</v>
      </c>
      <c r="I165" s="504">
        <v>371</v>
      </c>
      <c r="J165" s="504">
        <v>343</v>
      </c>
      <c r="K165" s="504">
        <v>242</v>
      </c>
      <c r="L165" s="504">
        <v>26</v>
      </c>
      <c r="M165" s="504">
        <v>193</v>
      </c>
      <c r="N165" s="474">
        <f>SUM(B165:M165)</f>
        <v>4262</v>
      </c>
      <c r="O165" s="478" t="s">
        <v>655</v>
      </c>
    </row>
    <row r="166" spans="1:15" ht="26.4">
      <c r="A166" s="479">
        <v>2008</v>
      </c>
      <c r="B166" s="474">
        <f t="shared" ref="B166:N166" si="38">SUM(B167:B169)</f>
        <v>30419</v>
      </c>
      <c r="C166" s="474">
        <f t="shared" si="38"/>
        <v>22632</v>
      </c>
      <c r="D166" s="474">
        <f t="shared" si="38"/>
        <v>20487</v>
      </c>
      <c r="E166" s="474">
        <f t="shared" si="38"/>
        <v>31345</v>
      </c>
      <c r="F166" s="474">
        <f t="shared" si="38"/>
        <v>11779</v>
      </c>
      <c r="G166" s="474">
        <f t="shared" si="38"/>
        <v>5075</v>
      </c>
      <c r="H166" s="474">
        <f t="shared" si="38"/>
        <v>15716</v>
      </c>
      <c r="I166" s="474">
        <f t="shared" si="38"/>
        <v>5827</v>
      </c>
      <c r="J166" s="474">
        <f t="shared" si="38"/>
        <v>5798</v>
      </c>
      <c r="K166" s="474">
        <f t="shared" si="38"/>
        <v>34749</v>
      </c>
      <c r="L166" s="474">
        <f t="shared" si="38"/>
        <v>6548</v>
      </c>
      <c r="M166" s="474">
        <f t="shared" si="38"/>
        <v>28655</v>
      </c>
      <c r="N166" s="474">
        <f t="shared" si="38"/>
        <v>219030</v>
      </c>
      <c r="O166" s="505">
        <v>2008</v>
      </c>
    </row>
    <row r="167" spans="1:15" ht="26.4">
      <c r="A167" s="163" t="s">
        <v>673</v>
      </c>
      <c r="B167" s="500">
        <v>22000</v>
      </c>
      <c r="C167" s="500">
        <v>13333</v>
      </c>
      <c r="D167" s="500">
        <v>11989</v>
      </c>
      <c r="E167" s="500">
        <v>21755</v>
      </c>
      <c r="F167" s="500">
        <v>7768</v>
      </c>
      <c r="G167" s="500">
        <v>2902</v>
      </c>
      <c r="H167" s="500">
        <v>8540</v>
      </c>
      <c r="I167" s="500">
        <v>3043</v>
      </c>
      <c r="J167" s="500">
        <v>1421</v>
      </c>
      <c r="K167" s="500">
        <v>23525</v>
      </c>
      <c r="L167" s="500">
        <v>2770</v>
      </c>
      <c r="M167" s="500">
        <v>22777</v>
      </c>
      <c r="N167" s="474">
        <f>SUM(B167:M167)</f>
        <v>141823</v>
      </c>
      <c r="O167" s="471" t="s">
        <v>674</v>
      </c>
    </row>
    <row r="168" spans="1:15" ht="26.4">
      <c r="A168" s="166" t="s">
        <v>701</v>
      </c>
      <c r="B168" s="500">
        <v>8191</v>
      </c>
      <c r="C168" s="500">
        <v>8956</v>
      </c>
      <c r="D168" s="500">
        <v>8289</v>
      </c>
      <c r="E168" s="500">
        <v>8831</v>
      </c>
      <c r="F168" s="500">
        <v>3952</v>
      </c>
      <c r="G168" s="500">
        <v>1957</v>
      </c>
      <c r="H168" s="500">
        <v>6758</v>
      </c>
      <c r="I168" s="500">
        <v>2683</v>
      </c>
      <c r="J168" s="500">
        <v>4276</v>
      </c>
      <c r="K168" s="500">
        <v>11093</v>
      </c>
      <c r="L168" s="500">
        <v>3727</v>
      </c>
      <c r="M168" s="500">
        <v>5830</v>
      </c>
      <c r="N168" s="474">
        <f>SUM(B168:M168)</f>
        <v>74543</v>
      </c>
      <c r="O168" s="472" t="s">
        <v>702</v>
      </c>
    </row>
    <row r="169" spans="1:15" ht="26.4">
      <c r="A169" s="166" t="s">
        <v>654</v>
      </c>
      <c r="B169" s="504">
        <v>228</v>
      </c>
      <c r="C169" s="504">
        <v>343</v>
      </c>
      <c r="D169" s="504">
        <v>209</v>
      </c>
      <c r="E169" s="504">
        <v>759</v>
      </c>
      <c r="F169" s="504">
        <v>59</v>
      </c>
      <c r="G169" s="504">
        <v>216</v>
      </c>
      <c r="H169" s="504">
        <v>418</v>
      </c>
      <c r="I169" s="504">
        <v>101</v>
      </c>
      <c r="J169" s="504">
        <v>101</v>
      </c>
      <c r="K169" s="504">
        <v>131</v>
      </c>
      <c r="L169" s="504">
        <v>51</v>
      </c>
      <c r="M169" s="504">
        <v>48</v>
      </c>
      <c r="N169" s="474">
        <f>SUM(B169:M169)</f>
        <v>2664</v>
      </c>
      <c r="O169" s="478" t="s">
        <v>655</v>
      </c>
    </row>
    <row r="170" spans="1:15" ht="26.4">
      <c r="A170" s="479">
        <v>2009</v>
      </c>
      <c r="B170" s="500">
        <f t="shared" ref="B170:N170" si="39">SUM(B171:B173)</f>
        <v>8689</v>
      </c>
      <c r="C170" s="500">
        <f t="shared" si="39"/>
        <v>6779</v>
      </c>
      <c r="D170" s="500">
        <f t="shared" si="39"/>
        <v>32789</v>
      </c>
      <c r="E170" s="500">
        <f t="shared" si="39"/>
        <v>22698</v>
      </c>
      <c r="F170" s="500">
        <f t="shared" si="39"/>
        <v>28068</v>
      </c>
      <c r="G170" s="500">
        <f t="shared" si="39"/>
        <v>13957</v>
      </c>
      <c r="H170" s="500">
        <f t="shared" si="39"/>
        <v>25742</v>
      </c>
      <c r="I170" s="500">
        <f t="shared" si="39"/>
        <v>32456</v>
      </c>
      <c r="J170" s="500">
        <f t="shared" si="39"/>
        <v>23875</v>
      </c>
      <c r="K170" s="500">
        <f t="shared" si="39"/>
        <v>10671</v>
      </c>
      <c r="L170" s="500">
        <f t="shared" si="39"/>
        <v>8984</v>
      </c>
      <c r="M170" s="500">
        <f t="shared" si="39"/>
        <v>7834</v>
      </c>
      <c r="N170" s="500">
        <f t="shared" si="39"/>
        <v>222542</v>
      </c>
      <c r="O170" s="505">
        <v>2009</v>
      </c>
    </row>
    <row r="171" spans="1:15" ht="26.4">
      <c r="A171" s="163" t="s">
        <v>673</v>
      </c>
      <c r="B171" s="474">
        <v>5067</v>
      </c>
      <c r="C171" s="474">
        <v>4164</v>
      </c>
      <c r="D171" s="474">
        <v>20944</v>
      </c>
      <c r="E171" s="474">
        <v>12779</v>
      </c>
      <c r="F171" s="474">
        <v>17011</v>
      </c>
      <c r="G171" s="474">
        <v>7753</v>
      </c>
      <c r="H171" s="474">
        <v>14696</v>
      </c>
      <c r="I171" s="474">
        <v>21023</v>
      </c>
      <c r="J171" s="474">
        <v>14096</v>
      </c>
      <c r="K171" s="474">
        <v>7326</v>
      </c>
      <c r="L171" s="474">
        <v>4448</v>
      </c>
      <c r="M171" s="474">
        <v>3095</v>
      </c>
      <c r="N171" s="500">
        <f>SUM(B171:M171)</f>
        <v>132402</v>
      </c>
      <c r="O171" s="471" t="s">
        <v>674</v>
      </c>
    </row>
    <row r="172" spans="1:15" ht="26.4">
      <c r="A172" s="166" t="s">
        <v>701</v>
      </c>
      <c r="B172" s="474">
        <v>3393</v>
      </c>
      <c r="C172" s="474">
        <v>2494</v>
      </c>
      <c r="D172" s="474">
        <v>11545</v>
      </c>
      <c r="E172" s="474">
        <v>9701</v>
      </c>
      <c r="F172" s="474">
        <v>10410</v>
      </c>
      <c r="G172" s="474">
        <v>6065</v>
      </c>
      <c r="H172" s="474">
        <v>10979</v>
      </c>
      <c r="I172" s="474">
        <v>11348</v>
      </c>
      <c r="J172" s="474">
        <v>9573</v>
      </c>
      <c r="K172" s="474">
        <v>3257</v>
      </c>
      <c r="L172" s="474">
        <v>4455</v>
      </c>
      <c r="M172" s="474">
        <v>4502</v>
      </c>
      <c r="N172" s="500">
        <f>SUM(B172:M172)</f>
        <v>87722</v>
      </c>
      <c r="O172" s="472" t="s">
        <v>702</v>
      </c>
    </row>
    <row r="173" spans="1:15" ht="26.4">
      <c r="A173" s="166" t="s">
        <v>654</v>
      </c>
      <c r="B173" s="487">
        <v>229</v>
      </c>
      <c r="C173" s="487">
        <v>121</v>
      </c>
      <c r="D173" s="487">
        <v>300</v>
      </c>
      <c r="E173" s="487">
        <v>218</v>
      </c>
      <c r="F173" s="487">
        <v>647</v>
      </c>
      <c r="G173" s="487">
        <v>139</v>
      </c>
      <c r="H173" s="487">
        <v>67</v>
      </c>
      <c r="I173" s="487">
        <v>85</v>
      </c>
      <c r="J173" s="487">
        <v>206</v>
      </c>
      <c r="K173" s="487">
        <v>88</v>
      </c>
      <c r="L173" s="487">
        <v>81</v>
      </c>
      <c r="M173" s="487">
        <v>237</v>
      </c>
      <c r="N173" s="500">
        <f>SUM(B173:M173)</f>
        <v>2418</v>
      </c>
      <c r="O173" s="478" t="s">
        <v>655</v>
      </c>
    </row>
    <row r="174" spans="1:15" ht="26.4">
      <c r="A174" s="479">
        <v>2010</v>
      </c>
      <c r="B174" s="500">
        <f t="shared" ref="B174:K174" si="40">SUM(B175:B177)</f>
        <v>13029</v>
      </c>
      <c r="C174" s="500">
        <f t="shared" si="40"/>
        <v>13631</v>
      </c>
      <c r="D174" s="500">
        <f t="shared" si="40"/>
        <v>13440</v>
      </c>
      <c r="E174" s="500">
        <f t="shared" si="40"/>
        <v>12198</v>
      </c>
      <c r="F174" s="500">
        <f t="shared" si="40"/>
        <v>16883</v>
      </c>
      <c r="G174" s="500">
        <f t="shared" si="40"/>
        <v>3627</v>
      </c>
      <c r="H174" s="500">
        <f t="shared" si="40"/>
        <v>23436</v>
      </c>
      <c r="I174" s="500">
        <f t="shared" si="40"/>
        <v>23882</v>
      </c>
      <c r="J174" s="500">
        <f t="shared" si="40"/>
        <v>18364</v>
      </c>
      <c r="K174" s="500">
        <f t="shared" si="40"/>
        <v>28289</v>
      </c>
      <c r="L174" s="500">
        <f>SUM(L175:L177)</f>
        <v>3232</v>
      </c>
      <c r="M174" s="500">
        <f>SUM(M175:M177)</f>
        <v>16634</v>
      </c>
      <c r="N174" s="500">
        <f>SUM(N175:N177)</f>
        <v>186645</v>
      </c>
      <c r="O174" s="505">
        <v>2010</v>
      </c>
    </row>
    <row r="175" spans="1:15" ht="26.4">
      <c r="A175" s="163" t="s">
        <v>673</v>
      </c>
      <c r="B175" s="487">
        <v>6325</v>
      </c>
      <c r="C175" s="487">
        <v>8011</v>
      </c>
      <c r="D175" s="487">
        <v>5844</v>
      </c>
      <c r="E175" s="487">
        <v>5925</v>
      </c>
      <c r="F175" s="487">
        <v>8014</v>
      </c>
      <c r="G175" s="487">
        <v>94</v>
      </c>
      <c r="H175" s="487">
        <v>19894</v>
      </c>
      <c r="I175" s="487">
        <v>18367</v>
      </c>
      <c r="J175" s="487">
        <v>12550</v>
      </c>
      <c r="K175" s="487">
        <v>18804</v>
      </c>
      <c r="L175" s="487">
        <v>412</v>
      </c>
      <c r="M175" s="487">
        <v>12412</v>
      </c>
      <c r="N175" s="500">
        <f>SUM(B175:M175)</f>
        <v>116652</v>
      </c>
      <c r="O175" s="471" t="s">
        <v>674</v>
      </c>
    </row>
    <row r="176" spans="1:15" ht="26.4">
      <c r="A176" s="166" t="s">
        <v>701</v>
      </c>
      <c r="B176" s="487">
        <v>6453</v>
      </c>
      <c r="C176" s="487">
        <v>5071</v>
      </c>
      <c r="D176" s="487">
        <v>6758</v>
      </c>
      <c r="E176" s="487">
        <v>5719</v>
      </c>
      <c r="F176" s="487">
        <v>8206</v>
      </c>
      <c r="G176" s="487">
        <v>3062</v>
      </c>
      <c r="H176" s="487">
        <v>3229</v>
      </c>
      <c r="I176" s="487">
        <v>4551</v>
      </c>
      <c r="J176" s="487">
        <v>5176</v>
      </c>
      <c r="K176" s="487">
        <v>8378</v>
      </c>
      <c r="L176" s="487">
        <v>2564</v>
      </c>
      <c r="M176" s="487">
        <v>3714</v>
      </c>
      <c r="N176" s="500">
        <f>SUM(B176:M176)</f>
        <v>62881</v>
      </c>
      <c r="O176" s="472" t="s">
        <v>702</v>
      </c>
    </row>
    <row r="177" spans="1:15" ht="26.4">
      <c r="A177" s="166" t="s">
        <v>654</v>
      </c>
      <c r="B177" s="487">
        <v>251</v>
      </c>
      <c r="C177" s="487">
        <v>549</v>
      </c>
      <c r="D177" s="487">
        <v>838</v>
      </c>
      <c r="E177" s="487">
        <v>554</v>
      </c>
      <c r="F177" s="487">
        <v>663</v>
      </c>
      <c r="G177" s="487">
        <v>471</v>
      </c>
      <c r="H177" s="487">
        <v>313</v>
      </c>
      <c r="I177" s="487">
        <v>964</v>
      </c>
      <c r="J177" s="487">
        <v>638</v>
      </c>
      <c r="K177" s="487">
        <v>1107</v>
      </c>
      <c r="L177" s="487">
        <v>256</v>
      </c>
      <c r="M177" s="487">
        <v>508</v>
      </c>
      <c r="N177" s="500">
        <f>SUM(B177:M177)</f>
        <v>7112</v>
      </c>
      <c r="O177" s="478" t="s">
        <v>655</v>
      </c>
    </row>
    <row r="178" spans="1:15" ht="16.8">
      <c r="A178" s="324"/>
      <c r="B178" s="324"/>
      <c r="C178" s="324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</row>
    <row r="179" spans="1:15" ht="16.8">
      <c r="A179" s="324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</row>
    <row r="180" spans="1:15" ht="16.8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</row>
    <row r="181" spans="1:15" ht="16.8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</row>
    <row r="182" spans="1:15" ht="16.8">
      <c r="A182" s="324"/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</row>
    <row r="183" spans="1:15" ht="16.8">
      <c r="A183" s="324"/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</row>
    <row r="184" spans="1:15" ht="16.8">
      <c r="A184" s="324"/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</row>
    <row r="185" spans="1:15" ht="16.8">
      <c r="A185" s="324"/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</row>
    <row r="186" spans="1:15" ht="16.8">
      <c r="A186" s="324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</row>
    <row r="187" spans="1:15" ht="16.8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</row>
    <row r="188" spans="1:15" ht="16.8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</row>
    <row r="189" spans="1:15" ht="16.8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</row>
    <row r="190" spans="1:15" ht="16.8">
      <c r="A190" s="324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</row>
    <row r="191" spans="1:15" ht="16.8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</row>
    <row r="192" spans="1:15" ht="16.8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</row>
    <row r="193" spans="1:15" ht="16.8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</row>
    <row r="194" spans="1:15" ht="16.8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</row>
    <row r="195" spans="1:15" ht="16.8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</row>
    <row r="196" spans="1:15" ht="16.8">
      <c r="A196" s="324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</row>
    <row r="197" spans="1:15" ht="16.8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</row>
    <row r="198" spans="1:15" ht="16.8">
      <c r="A198" s="324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</row>
    <row r="199" spans="1:15" ht="16.8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</row>
    <row r="200" spans="1:15" ht="27">
      <c r="A200" s="479">
        <v>2017</v>
      </c>
      <c r="B200" s="500">
        <f t="shared" ref="B200:M200" si="41">SUM(B201:B203)</f>
        <v>40886</v>
      </c>
      <c r="C200" s="500">
        <f t="shared" si="41"/>
        <v>47224</v>
      </c>
      <c r="D200" s="500">
        <f t="shared" si="41"/>
        <v>30403</v>
      </c>
      <c r="E200" s="500">
        <f t="shared" si="41"/>
        <v>18928</v>
      </c>
      <c r="F200" s="500">
        <f t="shared" si="41"/>
        <v>29394</v>
      </c>
      <c r="G200" s="500">
        <f t="shared" si="41"/>
        <v>9829</v>
      </c>
      <c r="H200" s="500">
        <f t="shared" si="41"/>
        <v>31855</v>
      </c>
      <c r="I200" s="500">
        <f t="shared" si="41"/>
        <v>50706</v>
      </c>
      <c r="J200" s="500">
        <f t="shared" si="41"/>
        <v>34034</v>
      </c>
      <c r="K200" s="500">
        <f t="shared" si="41"/>
        <v>39043</v>
      </c>
      <c r="L200" s="500">
        <f t="shared" si="41"/>
        <v>10519</v>
      </c>
      <c r="M200" s="500">
        <f t="shared" si="41"/>
        <v>31728</v>
      </c>
      <c r="N200" s="500">
        <f t="shared" ref="N200:N215" si="42">SUM(B200:M200)</f>
        <v>374549</v>
      </c>
      <c r="O200" s="509">
        <v>2017</v>
      </c>
    </row>
    <row r="201" spans="1:15" ht="27">
      <c r="A201" s="163" t="s">
        <v>673</v>
      </c>
      <c r="B201" s="487">
        <v>16596</v>
      </c>
      <c r="C201" s="487">
        <v>20189</v>
      </c>
      <c r="D201" s="487">
        <v>8069</v>
      </c>
      <c r="E201" s="487">
        <v>3388</v>
      </c>
      <c r="F201" s="487">
        <v>6101</v>
      </c>
      <c r="G201" s="487">
        <v>402</v>
      </c>
      <c r="H201" s="487">
        <v>10634</v>
      </c>
      <c r="I201" s="487">
        <v>19453</v>
      </c>
      <c r="J201" s="487">
        <v>8654</v>
      </c>
      <c r="K201" s="487">
        <v>12712</v>
      </c>
      <c r="L201" s="487">
        <v>127</v>
      </c>
      <c r="M201" s="487">
        <v>9899</v>
      </c>
      <c r="N201" s="500">
        <f t="shared" si="42"/>
        <v>116224</v>
      </c>
      <c r="O201" s="510" t="s">
        <v>674</v>
      </c>
    </row>
    <row r="202" spans="1:15" ht="27">
      <c r="A202" s="166" t="s">
        <v>701</v>
      </c>
      <c r="B202" s="487">
        <v>22610</v>
      </c>
      <c r="C202" s="487">
        <v>26226</v>
      </c>
      <c r="D202" s="487">
        <v>20988</v>
      </c>
      <c r="E202" s="487">
        <v>13881</v>
      </c>
      <c r="F202" s="487">
        <v>21482</v>
      </c>
      <c r="G202" s="487">
        <v>8131</v>
      </c>
      <c r="H202" s="487">
        <v>20190</v>
      </c>
      <c r="I202" s="487">
        <v>29980</v>
      </c>
      <c r="J202" s="487">
        <v>23648</v>
      </c>
      <c r="K202" s="487">
        <v>24305</v>
      </c>
      <c r="L202" s="487">
        <v>8600</v>
      </c>
      <c r="M202" s="487">
        <v>19849</v>
      </c>
      <c r="N202" s="500">
        <f t="shared" si="42"/>
        <v>239890</v>
      </c>
      <c r="O202" s="510" t="s">
        <v>702</v>
      </c>
    </row>
    <row r="203" spans="1:15" ht="27">
      <c r="A203" s="166" t="s">
        <v>654</v>
      </c>
      <c r="B203" s="487">
        <v>1680</v>
      </c>
      <c r="C203" s="487">
        <v>809</v>
      </c>
      <c r="D203" s="487">
        <v>1346</v>
      </c>
      <c r="E203" s="487">
        <v>1659</v>
      </c>
      <c r="F203" s="487">
        <v>1811</v>
      </c>
      <c r="G203" s="487">
        <v>1296</v>
      </c>
      <c r="H203" s="487">
        <v>1031</v>
      </c>
      <c r="I203" s="487">
        <v>1273</v>
      </c>
      <c r="J203" s="487">
        <v>1732</v>
      </c>
      <c r="K203" s="487">
        <v>2026</v>
      </c>
      <c r="L203" s="487">
        <v>1792</v>
      </c>
      <c r="M203" s="487">
        <v>1980</v>
      </c>
      <c r="N203" s="500">
        <f t="shared" si="42"/>
        <v>18435</v>
      </c>
      <c r="O203" s="509" t="s">
        <v>655</v>
      </c>
    </row>
    <row r="204" spans="1:15" ht="27">
      <c r="A204" s="479">
        <v>2018</v>
      </c>
      <c r="B204" s="500">
        <f t="shared" ref="B204:M204" si="43">SUM(B205:B207)</f>
        <v>31653</v>
      </c>
      <c r="C204" s="500">
        <f t="shared" si="43"/>
        <v>46082</v>
      </c>
      <c r="D204" s="500">
        <f t="shared" si="43"/>
        <v>39431</v>
      </c>
      <c r="E204" s="500">
        <f t="shared" si="43"/>
        <v>41484</v>
      </c>
      <c r="F204" s="500">
        <f t="shared" si="43"/>
        <v>39529</v>
      </c>
      <c r="G204" s="500">
        <f t="shared" si="43"/>
        <v>15029</v>
      </c>
      <c r="H204" s="500">
        <f t="shared" si="43"/>
        <v>59135</v>
      </c>
      <c r="I204" s="500">
        <f t="shared" si="43"/>
        <v>53605</v>
      </c>
      <c r="J204" s="500">
        <f t="shared" si="43"/>
        <v>55965</v>
      </c>
      <c r="K204" s="500">
        <f t="shared" si="43"/>
        <v>41386</v>
      </c>
      <c r="L204" s="500">
        <f t="shared" si="43"/>
        <v>13580</v>
      </c>
      <c r="M204" s="500">
        <f t="shared" si="43"/>
        <v>16092</v>
      </c>
      <c r="N204" s="500">
        <f t="shared" si="42"/>
        <v>452971</v>
      </c>
      <c r="O204" s="509">
        <v>2018</v>
      </c>
    </row>
    <row r="205" spans="1:15" ht="27">
      <c r="A205" s="163" t="s">
        <v>673</v>
      </c>
      <c r="B205" s="487">
        <v>9900</v>
      </c>
      <c r="C205" s="487">
        <v>14246</v>
      </c>
      <c r="D205" s="487">
        <v>8858</v>
      </c>
      <c r="E205" s="487">
        <v>7188</v>
      </c>
      <c r="F205" s="487">
        <v>8912</v>
      </c>
      <c r="G205" s="487">
        <v>0</v>
      </c>
      <c r="H205" s="487">
        <v>21578</v>
      </c>
      <c r="I205" s="487">
        <v>15217</v>
      </c>
      <c r="J205" s="487">
        <v>18603</v>
      </c>
      <c r="K205" s="487">
        <v>9527</v>
      </c>
      <c r="L205" s="487">
        <v>3346</v>
      </c>
      <c r="M205" s="487">
        <v>353</v>
      </c>
      <c r="N205" s="500">
        <f t="shared" si="42"/>
        <v>117728</v>
      </c>
      <c r="O205" s="509" t="s">
        <v>674</v>
      </c>
    </row>
    <row r="206" spans="1:15" ht="27">
      <c r="A206" s="166" t="s">
        <v>701</v>
      </c>
      <c r="B206" s="487">
        <v>19774</v>
      </c>
      <c r="C206" s="487">
        <v>28732</v>
      </c>
      <c r="D206" s="487">
        <v>27276</v>
      </c>
      <c r="E206" s="487">
        <v>31265</v>
      </c>
      <c r="F206" s="487">
        <v>27169</v>
      </c>
      <c r="G206" s="487">
        <v>12441</v>
      </c>
      <c r="H206" s="487">
        <v>33867</v>
      </c>
      <c r="I206" s="487">
        <v>34477</v>
      </c>
      <c r="J206" s="487">
        <v>34334</v>
      </c>
      <c r="K206" s="487">
        <v>27253</v>
      </c>
      <c r="L206" s="487">
        <v>5764</v>
      </c>
      <c r="M206" s="487">
        <v>11845</v>
      </c>
      <c r="N206" s="500">
        <f t="shared" si="42"/>
        <v>294197</v>
      </c>
      <c r="O206" s="509" t="s">
        <v>702</v>
      </c>
    </row>
    <row r="207" spans="1:15" ht="27">
      <c r="A207" s="166" t="s">
        <v>654</v>
      </c>
      <c r="B207" s="487">
        <v>1979</v>
      </c>
      <c r="C207" s="487">
        <v>3104</v>
      </c>
      <c r="D207" s="487">
        <v>3297</v>
      </c>
      <c r="E207" s="487">
        <v>3031</v>
      </c>
      <c r="F207" s="487">
        <v>3448</v>
      </c>
      <c r="G207" s="487">
        <v>2588</v>
      </c>
      <c r="H207" s="487">
        <v>3690</v>
      </c>
      <c r="I207" s="487">
        <v>3911</v>
      </c>
      <c r="J207" s="487">
        <v>3028</v>
      </c>
      <c r="K207" s="487">
        <v>4606</v>
      </c>
      <c r="L207" s="487">
        <v>4470</v>
      </c>
      <c r="M207" s="487">
        <v>3894</v>
      </c>
      <c r="N207" s="500">
        <f t="shared" si="42"/>
        <v>41046</v>
      </c>
      <c r="O207" s="509" t="s">
        <v>655</v>
      </c>
    </row>
    <row r="208" spans="1:15" ht="27">
      <c r="A208" s="479">
        <v>2019</v>
      </c>
      <c r="B208" s="500">
        <f t="shared" ref="B208:M208" si="44">SUM(B209:B211)</f>
        <v>31711</v>
      </c>
      <c r="C208" s="500">
        <f t="shared" si="44"/>
        <v>50623</v>
      </c>
      <c r="D208" s="500">
        <f t="shared" si="44"/>
        <v>34337</v>
      </c>
      <c r="E208" s="500">
        <f t="shared" si="44"/>
        <v>55943</v>
      </c>
      <c r="F208" s="500">
        <f t="shared" si="44"/>
        <v>50460</v>
      </c>
      <c r="G208" s="500">
        <f t="shared" si="44"/>
        <v>14981</v>
      </c>
      <c r="H208" s="500">
        <f t="shared" si="44"/>
        <v>26799</v>
      </c>
      <c r="I208" s="500">
        <f t="shared" si="44"/>
        <v>23834</v>
      </c>
      <c r="J208" s="500">
        <f t="shared" si="44"/>
        <v>46182</v>
      </c>
      <c r="K208" s="500">
        <f t="shared" si="44"/>
        <v>37115</v>
      </c>
      <c r="L208" s="500">
        <f t="shared" si="44"/>
        <v>30521</v>
      </c>
      <c r="M208" s="500">
        <f t="shared" si="44"/>
        <v>49883</v>
      </c>
      <c r="N208" s="500">
        <f t="shared" si="42"/>
        <v>452389</v>
      </c>
      <c r="O208" s="509">
        <v>2019</v>
      </c>
    </row>
    <row r="209" spans="1:15" ht="27">
      <c r="A209" s="163" t="s">
        <v>673</v>
      </c>
      <c r="B209" s="487">
        <v>340</v>
      </c>
      <c r="C209" s="487">
        <v>7521</v>
      </c>
      <c r="D209" s="487">
        <v>1820</v>
      </c>
      <c r="E209" s="487">
        <v>19691</v>
      </c>
      <c r="F209" s="487">
        <v>21549</v>
      </c>
      <c r="G209" s="487">
        <v>2941</v>
      </c>
      <c r="H209" s="487">
        <v>2619</v>
      </c>
      <c r="I209" s="487">
        <v>5530</v>
      </c>
      <c r="J209" s="487">
        <v>18593</v>
      </c>
      <c r="K209" s="487">
        <v>9180</v>
      </c>
      <c r="L209" s="487">
        <v>4137</v>
      </c>
      <c r="M209" s="487">
        <v>17186</v>
      </c>
      <c r="N209" s="500">
        <f t="shared" si="42"/>
        <v>111107</v>
      </c>
      <c r="O209" s="509" t="s">
        <v>674</v>
      </c>
    </row>
    <row r="210" spans="1:15" ht="27">
      <c r="A210" s="166" t="s">
        <v>701</v>
      </c>
      <c r="B210" s="487">
        <v>28344</v>
      </c>
      <c r="C210" s="487">
        <v>40552</v>
      </c>
      <c r="D210" s="487">
        <v>29434</v>
      </c>
      <c r="E210" s="487">
        <v>33302</v>
      </c>
      <c r="F210" s="487">
        <v>26035</v>
      </c>
      <c r="G210" s="487">
        <v>9019</v>
      </c>
      <c r="H210" s="487">
        <v>21082</v>
      </c>
      <c r="I210" s="487">
        <v>16678</v>
      </c>
      <c r="J210" s="487">
        <v>25588</v>
      </c>
      <c r="K210" s="487">
        <v>24330</v>
      </c>
      <c r="L210" s="487">
        <v>22875</v>
      </c>
      <c r="M210" s="487">
        <v>29742</v>
      </c>
      <c r="N210" s="500">
        <f t="shared" si="42"/>
        <v>306981</v>
      </c>
      <c r="O210" s="509" t="s">
        <v>702</v>
      </c>
    </row>
    <row r="211" spans="1:15" ht="27">
      <c r="A211" s="166" t="s">
        <v>654</v>
      </c>
      <c r="B211" s="487">
        <v>3027</v>
      </c>
      <c r="C211" s="487">
        <v>2550</v>
      </c>
      <c r="D211" s="487">
        <v>3083</v>
      </c>
      <c r="E211" s="487">
        <v>2950</v>
      </c>
      <c r="F211" s="487">
        <v>2876</v>
      </c>
      <c r="G211" s="487">
        <v>3021</v>
      </c>
      <c r="H211" s="487">
        <v>3098</v>
      </c>
      <c r="I211" s="487">
        <v>1626</v>
      </c>
      <c r="J211" s="487">
        <v>2001</v>
      </c>
      <c r="K211" s="487">
        <v>3605</v>
      </c>
      <c r="L211" s="487">
        <v>3509</v>
      </c>
      <c r="M211" s="487">
        <v>2955</v>
      </c>
      <c r="N211" s="500">
        <f t="shared" si="42"/>
        <v>34301</v>
      </c>
      <c r="O211" s="509" t="s">
        <v>655</v>
      </c>
    </row>
    <row r="212" spans="1:15" ht="27">
      <c r="A212" s="479">
        <v>2020</v>
      </c>
      <c r="B212" s="500">
        <f t="shared" ref="B212:M212" si="45">SUM(B213:B215)</f>
        <v>40454</v>
      </c>
      <c r="C212" s="500">
        <f t="shared" si="45"/>
        <v>32655</v>
      </c>
      <c r="D212" s="500">
        <f t="shared" si="45"/>
        <v>28817</v>
      </c>
      <c r="E212" s="500">
        <f t="shared" si="45"/>
        <v>9258</v>
      </c>
      <c r="F212" s="500">
        <f t="shared" si="45"/>
        <v>9758</v>
      </c>
      <c r="G212" s="500">
        <f t="shared" si="45"/>
        <v>26417</v>
      </c>
      <c r="H212" s="500">
        <f t="shared" si="45"/>
        <v>21209</v>
      </c>
      <c r="I212" s="500">
        <f t="shared" si="45"/>
        <v>35273</v>
      </c>
      <c r="J212" s="500">
        <f t="shared" si="45"/>
        <v>31623</v>
      </c>
      <c r="K212" s="500">
        <f t="shared" si="45"/>
        <v>36704</v>
      </c>
      <c r="L212" s="500">
        <f t="shared" si="45"/>
        <v>20112</v>
      </c>
      <c r="M212" s="500">
        <f t="shared" si="45"/>
        <v>22350</v>
      </c>
      <c r="N212" s="500">
        <f t="shared" si="42"/>
        <v>314630</v>
      </c>
      <c r="O212" s="509">
        <v>2020</v>
      </c>
    </row>
    <row r="213" spans="1:15" ht="27">
      <c r="A213" s="163" t="s">
        <v>673</v>
      </c>
      <c r="B213" s="487">
        <v>9451</v>
      </c>
      <c r="C213" s="487">
        <v>5851</v>
      </c>
      <c r="D213" s="487">
        <v>5892</v>
      </c>
      <c r="E213" s="487">
        <v>1034</v>
      </c>
      <c r="F213" s="487">
        <v>319</v>
      </c>
      <c r="G213" s="487">
        <v>11626</v>
      </c>
      <c r="H213" s="487">
        <v>4108</v>
      </c>
      <c r="I213" s="487">
        <v>14905</v>
      </c>
      <c r="J213" s="487">
        <v>7077</v>
      </c>
      <c r="K213" s="487">
        <v>9178</v>
      </c>
      <c r="L213" s="487">
        <v>0</v>
      </c>
      <c r="M213" s="487">
        <v>2592</v>
      </c>
      <c r="N213" s="500">
        <f t="shared" si="42"/>
        <v>72033</v>
      </c>
      <c r="O213" s="509" t="s">
        <v>674</v>
      </c>
    </row>
    <row r="214" spans="1:15" ht="27">
      <c r="A214" s="166" t="s">
        <v>701</v>
      </c>
      <c r="B214" s="487">
        <v>27493</v>
      </c>
      <c r="C214" s="487">
        <v>23612</v>
      </c>
      <c r="D214" s="487">
        <v>18912</v>
      </c>
      <c r="E214" s="487">
        <v>5305</v>
      </c>
      <c r="F214" s="487">
        <v>5619</v>
      </c>
      <c r="G214" s="487">
        <v>10764</v>
      </c>
      <c r="H214" s="487">
        <v>11148</v>
      </c>
      <c r="I214" s="487">
        <v>17449</v>
      </c>
      <c r="J214" s="487">
        <v>21923</v>
      </c>
      <c r="K214" s="487">
        <v>24225</v>
      </c>
      <c r="L214" s="487">
        <v>8241</v>
      </c>
      <c r="M214" s="487">
        <v>11587</v>
      </c>
      <c r="N214" s="500">
        <f t="shared" si="42"/>
        <v>186278</v>
      </c>
      <c r="O214" s="509" t="s">
        <v>702</v>
      </c>
    </row>
    <row r="215" spans="1:15" ht="27">
      <c r="A215" s="166" t="s">
        <v>654</v>
      </c>
      <c r="B215" s="487">
        <v>3510</v>
      </c>
      <c r="C215" s="487">
        <v>3192</v>
      </c>
      <c r="D215" s="487">
        <v>4013</v>
      </c>
      <c r="E215" s="487">
        <v>2919</v>
      </c>
      <c r="F215" s="487">
        <v>3820</v>
      </c>
      <c r="G215" s="487">
        <v>4027</v>
      </c>
      <c r="H215" s="487">
        <v>5953</v>
      </c>
      <c r="I215" s="487">
        <v>2919</v>
      </c>
      <c r="J215" s="487">
        <v>2623</v>
      </c>
      <c r="K215" s="487">
        <v>3301</v>
      </c>
      <c r="L215" s="487">
        <v>11871</v>
      </c>
      <c r="M215" s="487">
        <v>8171</v>
      </c>
      <c r="N215" s="500">
        <f t="shared" si="42"/>
        <v>56319</v>
      </c>
      <c r="O215" s="509" t="s">
        <v>655</v>
      </c>
    </row>
    <row r="216" spans="1:15" ht="26.4">
      <c r="A216" s="507">
        <v>2021</v>
      </c>
      <c r="B216" s="164">
        <f>SUM(B217:B219)</f>
        <v>28195</v>
      </c>
      <c r="C216" s="164">
        <f t="shared" ref="C216:M216" si="46">SUM(C217:C219)</f>
        <v>29691</v>
      </c>
      <c r="D216" s="164">
        <f t="shared" si="46"/>
        <v>28423</v>
      </c>
      <c r="E216" s="164">
        <f t="shared" si="46"/>
        <v>34352</v>
      </c>
      <c r="F216" s="164">
        <f t="shared" si="46"/>
        <v>22299</v>
      </c>
      <c r="G216" s="164">
        <f t="shared" si="46"/>
        <v>10324</v>
      </c>
      <c r="H216" s="164">
        <f t="shared" si="46"/>
        <v>15646</v>
      </c>
      <c r="I216" s="164">
        <f t="shared" si="46"/>
        <v>58076</v>
      </c>
      <c r="J216" s="164">
        <f t="shared" si="46"/>
        <v>53740</v>
      </c>
      <c r="K216" s="164">
        <f t="shared" si="46"/>
        <v>46364</v>
      </c>
      <c r="L216" s="164">
        <f t="shared" si="46"/>
        <v>36434</v>
      </c>
      <c r="M216" s="164">
        <f t="shared" si="46"/>
        <v>56039</v>
      </c>
      <c r="N216" s="164">
        <f>SUM(N217:N219)</f>
        <v>419583</v>
      </c>
      <c r="O216" s="508">
        <v>2021</v>
      </c>
    </row>
    <row r="217" spans="1:15" ht="26.4">
      <c r="A217" s="163" t="s">
        <v>673</v>
      </c>
      <c r="B217" s="164">
        <v>5463</v>
      </c>
      <c r="C217" s="164">
        <v>4794</v>
      </c>
      <c r="D217" s="164">
        <v>6280</v>
      </c>
      <c r="E217" s="164">
        <v>8460</v>
      </c>
      <c r="F217" s="164">
        <v>2934</v>
      </c>
      <c r="G217" s="164">
        <v>212</v>
      </c>
      <c r="H217" s="164">
        <v>0</v>
      </c>
      <c r="I217" s="164">
        <v>24244</v>
      </c>
      <c r="J217" s="164">
        <v>9215</v>
      </c>
      <c r="K217" s="165">
        <v>2692</v>
      </c>
      <c r="L217" s="165">
        <v>1018</v>
      </c>
      <c r="M217" s="165">
        <v>2809</v>
      </c>
      <c r="N217" s="165">
        <v>68121</v>
      </c>
      <c r="O217" s="508" t="s">
        <v>674</v>
      </c>
    </row>
    <row r="218" spans="1:15" ht="26.4">
      <c r="A218" s="166" t="s">
        <v>701</v>
      </c>
      <c r="B218" s="164">
        <v>15482</v>
      </c>
      <c r="C218" s="164">
        <v>19628</v>
      </c>
      <c r="D218" s="164">
        <v>16615</v>
      </c>
      <c r="E218" s="164">
        <v>19585</v>
      </c>
      <c r="F218" s="164">
        <v>14714</v>
      </c>
      <c r="G218" s="164">
        <v>4563</v>
      </c>
      <c r="H218" s="164">
        <v>11490</v>
      </c>
      <c r="I218" s="164">
        <v>29696</v>
      </c>
      <c r="J218" s="164">
        <v>39512</v>
      </c>
      <c r="K218" s="165">
        <v>35339</v>
      </c>
      <c r="L218" s="165">
        <v>25965</v>
      </c>
      <c r="M218" s="165">
        <v>44990</v>
      </c>
      <c r="N218" s="165">
        <v>277579</v>
      </c>
      <c r="O218" s="508" t="s">
        <v>702</v>
      </c>
    </row>
    <row r="219" spans="1:15" ht="26.4">
      <c r="A219" s="166" t="s">
        <v>654</v>
      </c>
      <c r="B219" s="164">
        <v>7250</v>
      </c>
      <c r="C219" s="164">
        <v>5269</v>
      </c>
      <c r="D219" s="164">
        <v>5528</v>
      </c>
      <c r="E219" s="164">
        <v>6307</v>
      </c>
      <c r="F219" s="164">
        <v>4651</v>
      </c>
      <c r="G219" s="164">
        <v>5549</v>
      </c>
      <c r="H219" s="164">
        <v>4156</v>
      </c>
      <c r="I219" s="164">
        <v>4136</v>
      </c>
      <c r="J219" s="164">
        <v>5013</v>
      </c>
      <c r="K219" s="165">
        <v>8333</v>
      </c>
      <c r="L219" s="165">
        <v>9451</v>
      </c>
      <c r="M219" s="165">
        <v>8240</v>
      </c>
      <c r="N219" s="165">
        <v>73883</v>
      </c>
      <c r="O219" s="508" t="s">
        <v>655</v>
      </c>
    </row>
    <row r="220" spans="1:15" ht="26.4">
      <c r="A220" s="507">
        <v>2022</v>
      </c>
      <c r="B220" s="164">
        <v>50484</v>
      </c>
      <c r="C220" s="164">
        <v>49522</v>
      </c>
      <c r="D220" s="164">
        <v>45176</v>
      </c>
      <c r="E220" s="164">
        <v>39571</v>
      </c>
      <c r="F220" s="164">
        <v>43026</v>
      </c>
      <c r="G220" s="164">
        <v>35318</v>
      </c>
      <c r="H220" s="164">
        <v>40106</v>
      </c>
      <c r="I220" s="164">
        <v>77326</v>
      </c>
      <c r="J220" s="164">
        <v>77418</v>
      </c>
      <c r="K220" s="164">
        <v>47835</v>
      </c>
      <c r="L220" s="164">
        <v>39566</v>
      </c>
      <c r="M220" s="164">
        <v>33862</v>
      </c>
      <c r="N220" s="164">
        <v>579210</v>
      </c>
      <c r="O220" s="508">
        <v>2022</v>
      </c>
    </row>
    <row r="221" spans="1:15" ht="26.4">
      <c r="A221" s="163" t="s">
        <v>673</v>
      </c>
      <c r="B221" s="164">
        <v>1194</v>
      </c>
      <c r="C221" s="164">
        <v>0</v>
      </c>
      <c r="D221" s="164">
        <v>5283</v>
      </c>
      <c r="E221" s="164">
        <v>7022</v>
      </c>
      <c r="F221" s="164">
        <v>12834</v>
      </c>
      <c r="G221" s="164">
        <v>21450</v>
      </c>
      <c r="H221" s="164">
        <v>5652</v>
      </c>
      <c r="I221" s="164">
        <v>16456</v>
      </c>
      <c r="J221" s="164">
        <v>23737</v>
      </c>
      <c r="K221" s="165">
        <v>2647</v>
      </c>
      <c r="L221" s="165">
        <v>16344</v>
      </c>
      <c r="M221" s="165">
        <v>5522</v>
      </c>
      <c r="N221" s="165">
        <v>118141</v>
      </c>
      <c r="O221" s="508" t="s">
        <v>674</v>
      </c>
    </row>
    <row r="222" spans="1:15" ht="26.4">
      <c r="A222" s="166" t="s">
        <v>701</v>
      </c>
      <c r="B222" s="164">
        <v>40429</v>
      </c>
      <c r="C222" s="164">
        <v>42084</v>
      </c>
      <c r="D222" s="164">
        <v>33677</v>
      </c>
      <c r="E222" s="164">
        <v>25188</v>
      </c>
      <c r="F222" s="164">
        <v>22020</v>
      </c>
      <c r="G222" s="164">
        <v>5654</v>
      </c>
      <c r="H222" s="164">
        <v>25903</v>
      </c>
      <c r="I222" s="164">
        <v>47965</v>
      </c>
      <c r="J222" s="164">
        <v>40249</v>
      </c>
      <c r="K222" s="165">
        <v>31590</v>
      </c>
      <c r="L222" s="165">
        <v>12296</v>
      </c>
      <c r="M222" s="165">
        <v>15904</v>
      </c>
      <c r="N222" s="165">
        <v>342959</v>
      </c>
      <c r="O222" s="508" t="s">
        <v>702</v>
      </c>
    </row>
    <row r="223" spans="1:15" ht="26.4">
      <c r="A223" s="166" t="s">
        <v>654</v>
      </c>
      <c r="B223" s="164">
        <v>6270</v>
      </c>
      <c r="C223" s="164">
        <v>4276</v>
      </c>
      <c r="D223" s="164">
        <v>3211</v>
      </c>
      <c r="E223" s="164">
        <v>3542</v>
      </c>
      <c r="F223" s="164">
        <v>3911</v>
      </c>
      <c r="G223" s="164">
        <v>4178</v>
      </c>
      <c r="H223" s="164">
        <v>3432</v>
      </c>
      <c r="I223" s="164">
        <v>4837</v>
      </c>
      <c r="J223" s="164">
        <v>4541</v>
      </c>
      <c r="K223" s="165">
        <v>6365</v>
      </c>
      <c r="L223" s="165">
        <v>8640</v>
      </c>
      <c r="M223" s="165">
        <v>9012</v>
      </c>
      <c r="N223" s="165">
        <v>62215</v>
      </c>
      <c r="O223" s="508" t="s">
        <v>655</v>
      </c>
    </row>
    <row r="224" spans="1:15" ht="26.4">
      <c r="A224" s="507">
        <v>2023</v>
      </c>
      <c r="B224" s="508">
        <v>69891</v>
      </c>
      <c r="C224" s="508">
        <v>42096</v>
      </c>
      <c r="D224" s="508">
        <v>32106</v>
      </c>
      <c r="E224" s="508">
        <v>22109</v>
      </c>
      <c r="F224" s="508">
        <v>24638</v>
      </c>
      <c r="G224" s="508">
        <v>15609</v>
      </c>
      <c r="H224" s="508">
        <v>19084</v>
      </c>
      <c r="I224" s="508">
        <v>50066</v>
      </c>
      <c r="J224" s="508">
        <v>34293</v>
      </c>
      <c r="K224" s="508">
        <v>31007</v>
      </c>
      <c r="L224" s="508">
        <v>16709</v>
      </c>
      <c r="M224" s="508">
        <v>30704</v>
      </c>
      <c r="N224" s="508">
        <v>388312</v>
      </c>
      <c r="O224" s="508">
        <v>2023</v>
      </c>
    </row>
    <row r="225" spans="1:15" ht="26.4">
      <c r="A225" s="163" t="s">
        <v>673</v>
      </c>
      <c r="B225" s="508">
        <v>10621</v>
      </c>
      <c r="C225" s="508">
        <v>6422</v>
      </c>
      <c r="D225" s="508">
        <v>3576</v>
      </c>
      <c r="E225" s="508">
        <v>3213</v>
      </c>
      <c r="F225" s="508">
        <v>5621</v>
      </c>
      <c r="G225" s="508">
        <v>3685</v>
      </c>
      <c r="H225" s="508">
        <v>222</v>
      </c>
      <c r="I225" s="508">
        <v>19642</v>
      </c>
      <c r="J225" s="508">
        <v>11088</v>
      </c>
      <c r="K225" s="508">
        <v>10120</v>
      </c>
      <c r="L225" s="508">
        <v>2429</v>
      </c>
      <c r="M225" s="508">
        <v>707</v>
      </c>
      <c r="N225" s="508">
        <v>77346</v>
      </c>
      <c r="O225" s="508" t="s">
        <v>674</v>
      </c>
    </row>
    <row r="226" spans="1:15" ht="26.4">
      <c r="A226" s="166" t="s">
        <v>701</v>
      </c>
      <c r="B226" s="508">
        <v>51606</v>
      </c>
      <c r="C226" s="508">
        <v>28926</v>
      </c>
      <c r="D226" s="508">
        <v>21622</v>
      </c>
      <c r="E226" s="508">
        <v>14532</v>
      </c>
      <c r="F226" s="508">
        <v>15032</v>
      </c>
      <c r="G226" s="508">
        <v>7133</v>
      </c>
      <c r="H226" s="508">
        <v>15272</v>
      </c>
      <c r="I226" s="508">
        <v>25506</v>
      </c>
      <c r="J226" s="508">
        <v>20183</v>
      </c>
      <c r="K226" s="508">
        <v>15782</v>
      </c>
      <c r="L226" s="508">
        <v>7801</v>
      </c>
      <c r="M226" s="508">
        <v>22239</v>
      </c>
      <c r="N226" s="508">
        <v>245634</v>
      </c>
      <c r="O226" s="508" t="s">
        <v>702</v>
      </c>
    </row>
    <row r="227" spans="1:15" ht="26.4">
      <c r="A227" s="166" t="s">
        <v>654</v>
      </c>
      <c r="B227" s="508">
        <v>7664</v>
      </c>
      <c r="C227" s="508">
        <v>6748</v>
      </c>
      <c r="D227" s="508">
        <v>6908</v>
      </c>
      <c r="E227" s="508">
        <v>4364</v>
      </c>
      <c r="F227" s="508">
        <v>3985</v>
      </c>
      <c r="G227" s="508">
        <v>4791</v>
      </c>
      <c r="H227" s="508">
        <v>3590</v>
      </c>
      <c r="I227" s="508">
        <v>4918</v>
      </c>
      <c r="J227" s="508">
        <v>3022</v>
      </c>
      <c r="K227" s="508">
        <v>5105</v>
      </c>
      <c r="L227" s="508">
        <v>6479</v>
      </c>
      <c r="M227" s="508">
        <v>7758</v>
      </c>
      <c r="N227" s="487">
        <v>65332</v>
      </c>
      <c r="O227" s="508" t="s">
        <v>655</v>
      </c>
    </row>
    <row r="228" spans="1:15" ht="27">
      <c r="A228" s="501"/>
      <c r="B228" s="167"/>
      <c r="C228" s="167"/>
      <c r="D228" s="167"/>
      <c r="E228" s="167"/>
      <c r="F228" s="167"/>
      <c r="G228" s="167"/>
      <c r="H228" s="167"/>
      <c r="I228" s="167"/>
      <c r="J228" s="167"/>
      <c r="K228" s="149"/>
      <c r="L228" s="149"/>
      <c r="M228" s="158"/>
      <c r="N228" s="168"/>
      <c r="O228" s="167"/>
    </row>
    <row r="229" spans="1:15" ht="27">
      <c r="A229" s="501"/>
      <c r="B229" s="167"/>
      <c r="C229" s="167"/>
      <c r="D229" s="167"/>
      <c r="E229" s="167"/>
      <c r="F229" s="167"/>
      <c r="G229" s="167"/>
      <c r="H229" s="167"/>
      <c r="I229" s="167"/>
      <c r="J229" s="167"/>
      <c r="K229" s="149"/>
      <c r="L229" s="149"/>
      <c r="M229" s="158"/>
      <c r="N229" s="168"/>
      <c r="O229" s="167"/>
    </row>
    <row r="230" spans="1:15" ht="27">
      <c r="A230" s="501"/>
      <c r="B230" s="167"/>
      <c r="C230" s="167"/>
      <c r="D230" s="167"/>
      <c r="E230" s="167"/>
      <c r="F230" s="167"/>
      <c r="G230" s="167"/>
      <c r="H230" s="167"/>
      <c r="I230" s="167"/>
      <c r="J230" s="167"/>
      <c r="K230" s="149"/>
      <c r="L230" s="149"/>
      <c r="M230" s="158"/>
      <c r="N230" s="168"/>
      <c r="O230" s="167"/>
    </row>
    <row r="232" spans="1:15" ht="27">
      <c r="A232" s="143" t="s">
        <v>791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49"/>
      <c r="L232" s="149"/>
      <c r="M232" s="158"/>
      <c r="N232" s="168"/>
      <c r="O232" s="144" t="s">
        <v>792</v>
      </c>
    </row>
  </sheetData>
  <mergeCells count="5">
    <mergeCell ref="A4:A5"/>
    <mergeCell ref="O4:O5"/>
    <mergeCell ref="A126:O127"/>
    <mergeCell ref="A128:A129"/>
    <mergeCell ref="O128:O1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O202"/>
  <sheetViews>
    <sheetView zoomScale="86" workbookViewId="0">
      <selection activeCell="G2" sqref="G2"/>
    </sheetView>
  </sheetViews>
  <sheetFormatPr baseColWidth="10" defaultRowHeight="14.4"/>
  <cols>
    <col min="1" max="1" width="21.6640625" customWidth="1"/>
    <col min="10" max="10" width="16.44140625" customWidth="1"/>
    <col min="11" max="11" width="13.6640625" customWidth="1"/>
    <col min="12" max="12" width="14.6640625" customWidth="1"/>
    <col min="13" max="13" width="15.6640625" customWidth="1"/>
    <col min="15" max="15" width="18.109375" customWidth="1"/>
  </cols>
  <sheetData>
    <row r="1" spans="1:15" ht="27">
      <c r="A1" s="145"/>
      <c r="B1" s="172"/>
      <c r="C1" s="172"/>
      <c r="D1" s="172"/>
      <c r="E1" s="172"/>
      <c r="F1" s="172"/>
      <c r="G1" s="172"/>
      <c r="H1" s="172"/>
      <c r="I1" s="173"/>
      <c r="J1" s="173"/>
      <c r="K1" s="174"/>
      <c r="L1" s="174"/>
      <c r="M1" s="147"/>
      <c r="N1" s="174"/>
      <c r="O1" s="174" t="s">
        <v>1558</v>
      </c>
    </row>
    <row r="2" spans="1:15" ht="27">
      <c r="A2" s="175" t="s">
        <v>1559</v>
      </c>
      <c r="B2" s="167"/>
      <c r="C2" s="167"/>
      <c r="D2" s="171"/>
      <c r="E2" s="171"/>
      <c r="F2" s="171"/>
      <c r="G2" s="171"/>
      <c r="H2" s="171"/>
      <c r="I2" s="171"/>
      <c r="J2" s="171"/>
      <c r="K2" s="149"/>
      <c r="L2" s="149"/>
      <c r="M2" s="158"/>
      <c r="N2" s="168"/>
      <c r="O2" s="149"/>
    </row>
    <row r="3" spans="1:15" ht="15.6" customHeight="1">
      <c r="A3" s="841" t="s">
        <v>1100</v>
      </c>
      <c r="B3" s="446" t="s">
        <v>163</v>
      </c>
      <c r="C3" s="446" t="s">
        <v>165</v>
      </c>
      <c r="D3" s="446" t="s">
        <v>167</v>
      </c>
      <c r="E3" s="446" t="s">
        <v>169</v>
      </c>
      <c r="F3" s="446" t="s">
        <v>171</v>
      </c>
      <c r="G3" s="446" t="s">
        <v>173</v>
      </c>
      <c r="H3" s="446" t="s">
        <v>175</v>
      </c>
      <c r="I3" s="446" t="s">
        <v>177</v>
      </c>
      <c r="J3" s="446" t="s">
        <v>179</v>
      </c>
      <c r="K3" s="446" t="s">
        <v>181</v>
      </c>
      <c r="L3" s="446" t="s">
        <v>183</v>
      </c>
      <c r="M3" s="446" t="s">
        <v>185</v>
      </c>
      <c r="N3" s="446" t="s">
        <v>48</v>
      </c>
      <c r="O3" s="841" t="s">
        <v>1099</v>
      </c>
    </row>
    <row r="4" spans="1:15" ht="30">
      <c r="A4" s="842"/>
      <c r="B4" s="446" t="s">
        <v>244</v>
      </c>
      <c r="C4" s="446" t="s">
        <v>245</v>
      </c>
      <c r="D4" s="446" t="s">
        <v>246</v>
      </c>
      <c r="E4" s="446" t="s">
        <v>247</v>
      </c>
      <c r="F4" s="446" t="s">
        <v>172</v>
      </c>
      <c r="G4" s="446" t="s">
        <v>248</v>
      </c>
      <c r="H4" s="446" t="s">
        <v>249</v>
      </c>
      <c r="I4" s="446" t="s">
        <v>250</v>
      </c>
      <c r="J4" s="446" t="s">
        <v>180</v>
      </c>
      <c r="K4" s="446" t="s">
        <v>182</v>
      </c>
      <c r="L4" s="446" t="s">
        <v>184</v>
      </c>
      <c r="M4" s="446" t="s">
        <v>186</v>
      </c>
      <c r="N4" s="446" t="s">
        <v>4</v>
      </c>
      <c r="O4" s="842"/>
    </row>
    <row r="5" spans="1:15" ht="26.4">
      <c r="A5" s="507">
        <v>2000</v>
      </c>
      <c r="B5" s="487">
        <f>SUM(B6:B9)</f>
        <v>1701</v>
      </c>
      <c r="C5" s="487">
        <f t="shared" ref="C5:N5" si="0">SUM(C6:C9)</f>
        <v>4397</v>
      </c>
      <c r="D5" s="487">
        <f t="shared" si="0"/>
        <v>5764</v>
      </c>
      <c r="E5" s="487">
        <f t="shared" si="0"/>
        <v>2415</v>
      </c>
      <c r="F5" s="487">
        <f t="shared" si="0"/>
        <v>4264</v>
      </c>
      <c r="G5" s="487">
        <f t="shared" si="0"/>
        <v>2311</v>
      </c>
      <c r="H5" s="487">
        <f t="shared" si="0"/>
        <v>5790</v>
      </c>
      <c r="I5" s="487">
        <f t="shared" si="0"/>
        <v>4317</v>
      </c>
      <c r="J5" s="487">
        <f t="shared" si="0"/>
        <v>5569</v>
      </c>
      <c r="K5" s="487">
        <f t="shared" si="0"/>
        <v>1083</v>
      </c>
      <c r="L5" s="487">
        <f t="shared" si="0"/>
        <v>166</v>
      </c>
      <c r="M5" s="487">
        <f t="shared" si="0"/>
        <v>1496</v>
      </c>
      <c r="N5" s="487">
        <f t="shared" si="0"/>
        <v>39273</v>
      </c>
      <c r="O5" s="505">
        <v>2000</v>
      </c>
    </row>
    <row r="6" spans="1:15" ht="26.4">
      <c r="A6" s="513" t="s">
        <v>73</v>
      </c>
      <c r="B6" s="487">
        <v>457</v>
      </c>
      <c r="C6" s="487">
        <v>1225</v>
      </c>
      <c r="D6" s="487">
        <v>794</v>
      </c>
      <c r="E6" s="487">
        <v>934</v>
      </c>
      <c r="F6" s="487">
        <v>619</v>
      </c>
      <c r="G6" s="487">
        <v>701</v>
      </c>
      <c r="H6" s="487">
        <v>1503</v>
      </c>
      <c r="I6" s="487">
        <v>1079</v>
      </c>
      <c r="J6" s="487">
        <v>633</v>
      </c>
      <c r="K6" s="487">
        <v>262</v>
      </c>
      <c r="L6" s="487">
        <v>60</v>
      </c>
      <c r="M6" s="487">
        <v>295</v>
      </c>
      <c r="N6" s="487">
        <f>SUM(B6:M6)</f>
        <v>8562</v>
      </c>
      <c r="O6" s="471" t="s">
        <v>823</v>
      </c>
    </row>
    <row r="7" spans="1:15" ht="26.4">
      <c r="A7" s="514" t="s">
        <v>71</v>
      </c>
      <c r="B7" s="487">
        <v>84</v>
      </c>
      <c r="C7" s="487">
        <v>246</v>
      </c>
      <c r="D7" s="487">
        <v>227</v>
      </c>
      <c r="E7" s="487">
        <v>307</v>
      </c>
      <c r="F7" s="487">
        <v>149</v>
      </c>
      <c r="G7" s="487">
        <v>104</v>
      </c>
      <c r="H7" s="487">
        <v>102</v>
      </c>
      <c r="I7" s="487">
        <v>79</v>
      </c>
      <c r="J7" s="487">
        <v>644</v>
      </c>
      <c r="K7" s="487">
        <v>217</v>
      </c>
      <c r="L7" s="487">
        <v>1</v>
      </c>
      <c r="M7" s="487">
        <v>28</v>
      </c>
      <c r="N7" s="487">
        <f t="shared" ref="N7:N12" si="1">SUM(B7:M7)</f>
        <v>2188</v>
      </c>
      <c r="O7" s="472" t="s">
        <v>824</v>
      </c>
    </row>
    <row r="8" spans="1:15" ht="26.4">
      <c r="A8" s="514" t="s">
        <v>77</v>
      </c>
      <c r="B8" s="487">
        <v>45</v>
      </c>
      <c r="C8" s="487">
        <v>126</v>
      </c>
      <c r="D8" s="487">
        <v>73</v>
      </c>
      <c r="E8" s="487">
        <v>49</v>
      </c>
      <c r="F8" s="487">
        <v>81</v>
      </c>
      <c r="G8" s="487">
        <v>31</v>
      </c>
      <c r="H8" s="487">
        <v>105</v>
      </c>
      <c r="I8" s="487">
        <v>26</v>
      </c>
      <c r="J8" s="487">
        <v>147</v>
      </c>
      <c r="K8" s="487">
        <v>3</v>
      </c>
      <c r="L8" s="487">
        <v>10</v>
      </c>
      <c r="M8" s="487">
        <v>119</v>
      </c>
      <c r="N8" s="487">
        <f t="shared" si="1"/>
        <v>815</v>
      </c>
      <c r="O8" s="478" t="s">
        <v>797</v>
      </c>
    </row>
    <row r="9" spans="1:15" ht="26.4">
      <c r="A9" s="513" t="s">
        <v>801</v>
      </c>
      <c r="B9" s="487">
        <f>SUM(B10:B12)</f>
        <v>1115</v>
      </c>
      <c r="C9" s="487">
        <f>SUM(C10:C12)</f>
        <v>2800</v>
      </c>
      <c r="D9" s="487">
        <f t="shared" ref="D9:M9" si="2">SUM(D10:D12)</f>
        <v>4670</v>
      </c>
      <c r="E9" s="487">
        <f t="shared" si="2"/>
        <v>1125</v>
      </c>
      <c r="F9" s="487">
        <f t="shared" si="2"/>
        <v>3415</v>
      </c>
      <c r="G9" s="487">
        <f t="shared" si="2"/>
        <v>1475</v>
      </c>
      <c r="H9" s="487">
        <f t="shared" si="2"/>
        <v>4080</v>
      </c>
      <c r="I9" s="487">
        <f t="shared" si="2"/>
        <v>3133</v>
      </c>
      <c r="J9" s="487">
        <f t="shared" si="2"/>
        <v>4145</v>
      </c>
      <c r="K9" s="487">
        <f t="shared" si="2"/>
        <v>601</v>
      </c>
      <c r="L9" s="487">
        <f t="shared" si="2"/>
        <v>95</v>
      </c>
      <c r="M9" s="487">
        <f t="shared" si="2"/>
        <v>1054</v>
      </c>
      <c r="N9" s="487">
        <f t="shared" si="1"/>
        <v>27708</v>
      </c>
      <c r="O9" s="471" t="s">
        <v>799</v>
      </c>
    </row>
    <row r="10" spans="1:15" ht="26.4">
      <c r="A10" s="511" t="s">
        <v>113</v>
      </c>
      <c r="B10" s="487">
        <v>177</v>
      </c>
      <c r="C10" s="487">
        <v>1036</v>
      </c>
      <c r="D10" s="487">
        <v>2706</v>
      </c>
      <c r="E10" s="487">
        <v>497</v>
      </c>
      <c r="F10" s="487">
        <v>2567</v>
      </c>
      <c r="G10" s="487">
        <v>833</v>
      </c>
      <c r="H10" s="487">
        <v>2698</v>
      </c>
      <c r="I10" s="487">
        <v>2701</v>
      </c>
      <c r="J10" s="487">
        <v>3670</v>
      </c>
      <c r="K10" s="487">
        <v>304</v>
      </c>
      <c r="L10" s="487">
        <v>31</v>
      </c>
      <c r="M10" s="487">
        <v>161</v>
      </c>
      <c r="N10" s="487">
        <f t="shared" si="1"/>
        <v>17381</v>
      </c>
      <c r="O10" s="475" t="s">
        <v>802</v>
      </c>
    </row>
    <row r="11" spans="1:15" ht="26.4">
      <c r="A11" s="511" t="s">
        <v>115</v>
      </c>
      <c r="B11" s="487">
        <v>685</v>
      </c>
      <c r="C11" s="487">
        <v>845</v>
      </c>
      <c r="D11" s="487">
        <v>1251</v>
      </c>
      <c r="E11" s="487">
        <v>414</v>
      </c>
      <c r="F11" s="487">
        <v>624</v>
      </c>
      <c r="G11" s="487">
        <v>592</v>
      </c>
      <c r="H11" s="487">
        <v>1059</v>
      </c>
      <c r="I11" s="487">
        <v>317</v>
      </c>
      <c r="J11" s="487">
        <v>380</v>
      </c>
      <c r="K11" s="487">
        <v>167</v>
      </c>
      <c r="L11" s="487">
        <v>61</v>
      </c>
      <c r="M11" s="487">
        <v>667</v>
      </c>
      <c r="N11" s="487">
        <f t="shared" si="1"/>
        <v>7062</v>
      </c>
      <c r="O11" s="515" t="s">
        <v>803</v>
      </c>
    </row>
    <row r="12" spans="1:15" ht="26.4">
      <c r="A12" s="511" t="s">
        <v>804</v>
      </c>
      <c r="B12" s="487">
        <v>253</v>
      </c>
      <c r="C12" s="487">
        <v>919</v>
      </c>
      <c r="D12" s="487">
        <v>713</v>
      </c>
      <c r="E12" s="487">
        <v>214</v>
      </c>
      <c r="F12" s="487">
        <v>224</v>
      </c>
      <c r="G12" s="487">
        <v>50</v>
      </c>
      <c r="H12" s="487">
        <v>323</v>
      </c>
      <c r="I12" s="487">
        <v>115</v>
      </c>
      <c r="J12" s="487">
        <v>95</v>
      </c>
      <c r="K12" s="487">
        <v>130</v>
      </c>
      <c r="L12" s="487">
        <v>3</v>
      </c>
      <c r="M12" s="487">
        <v>226</v>
      </c>
      <c r="N12" s="487">
        <f t="shared" si="1"/>
        <v>3265</v>
      </c>
      <c r="O12" s="515" t="s">
        <v>118</v>
      </c>
    </row>
    <row r="13" spans="1:15" ht="26.4">
      <c r="A13" s="507">
        <v>2001</v>
      </c>
      <c r="B13" s="487">
        <f t="shared" ref="B13:N13" si="3">SUM(B14:B17)</f>
        <v>4090</v>
      </c>
      <c r="C13" s="487">
        <f t="shared" si="3"/>
        <v>4570</v>
      </c>
      <c r="D13" s="487">
        <f t="shared" si="3"/>
        <v>6925</v>
      </c>
      <c r="E13" s="487">
        <f t="shared" si="3"/>
        <v>3505</v>
      </c>
      <c r="F13" s="487">
        <f t="shared" si="3"/>
        <v>3300</v>
      </c>
      <c r="G13" s="487">
        <f t="shared" si="3"/>
        <v>3448</v>
      </c>
      <c r="H13" s="487">
        <f t="shared" si="3"/>
        <v>3336</v>
      </c>
      <c r="I13" s="487">
        <f t="shared" si="3"/>
        <v>4244</v>
      </c>
      <c r="J13" s="487">
        <f t="shared" si="3"/>
        <v>7397</v>
      </c>
      <c r="K13" s="487">
        <f t="shared" si="3"/>
        <v>2651</v>
      </c>
      <c r="L13" s="487">
        <f t="shared" si="3"/>
        <v>1399</v>
      </c>
      <c r="M13" s="487">
        <f t="shared" si="3"/>
        <v>3224</v>
      </c>
      <c r="N13" s="487">
        <f t="shared" si="3"/>
        <v>48089</v>
      </c>
      <c r="O13" s="505">
        <v>2001</v>
      </c>
    </row>
    <row r="14" spans="1:15" ht="26.4">
      <c r="A14" s="513" t="s">
        <v>73</v>
      </c>
      <c r="B14" s="487">
        <v>1039</v>
      </c>
      <c r="C14" s="487">
        <v>1217</v>
      </c>
      <c r="D14" s="487">
        <v>676</v>
      </c>
      <c r="E14" s="487">
        <v>1107</v>
      </c>
      <c r="F14" s="487">
        <v>1131</v>
      </c>
      <c r="G14" s="487">
        <v>1484</v>
      </c>
      <c r="H14" s="487">
        <v>1014</v>
      </c>
      <c r="I14" s="487">
        <v>679</v>
      </c>
      <c r="J14" s="487">
        <v>1138</v>
      </c>
      <c r="K14" s="487">
        <v>265</v>
      </c>
      <c r="L14" s="487">
        <v>244</v>
      </c>
      <c r="M14" s="487">
        <v>616</v>
      </c>
      <c r="N14" s="487">
        <f>SUM(B14:M14)</f>
        <v>10610</v>
      </c>
      <c r="O14" s="471" t="s">
        <v>823</v>
      </c>
    </row>
    <row r="15" spans="1:15" ht="26.4">
      <c r="A15" s="514" t="s">
        <v>71</v>
      </c>
      <c r="B15" s="487">
        <v>192</v>
      </c>
      <c r="C15" s="487">
        <v>517</v>
      </c>
      <c r="D15" s="487">
        <v>263</v>
      </c>
      <c r="E15" s="487">
        <v>522</v>
      </c>
      <c r="F15" s="487">
        <v>221</v>
      </c>
      <c r="G15" s="487">
        <v>202</v>
      </c>
      <c r="H15" s="487">
        <v>719</v>
      </c>
      <c r="I15" s="487">
        <v>56</v>
      </c>
      <c r="J15" s="487">
        <v>485</v>
      </c>
      <c r="K15" s="487">
        <v>36</v>
      </c>
      <c r="L15" s="487">
        <v>26</v>
      </c>
      <c r="M15" s="487">
        <v>102</v>
      </c>
      <c r="N15" s="487">
        <f t="shared" ref="N15:N20" si="4">SUM(B15:M15)</f>
        <v>3341</v>
      </c>
      <c r="O15" s="472" t="s">
        <v>824</v>
      </c>
    </row>
    <row r="16" spans="1:15" ht="26.4">
      <c r="A16" s="514" t="s">
        <v>77</v>
      </c>
      <c r="B16" s="487">
        <v>23</v>
      </c>
      <c r="C16" s="487">
        <v>163</v>
      </c>
      <c r="D16" s="487">
        <v>22</v>
      </c>
      <c r="E16" s="487">
        <v>195</v>
      </c>
      <c r="F16" s="487">
        <v>30</v>
      </c>
      <c r="G16" s="487">
        <v>186</v>
      </c>
      <c r="H16" s="487">
        <v>35</v>
      </c>
      <c r="I16" s="487">
        <v>48</v>
      </c>
      <c r="J16" s="487">
        <v>177</v>
      </c>
      <c r="K16" s="487">
        <v>12</v>
      </c>
      <c r="L16" s="487">
        <v>397</v>
      </c>
      <c r="M16" s="487">
        <v>2</v>
      </c>
      <c r="N16" s="487">
        <f t="shared" si="4"/>
        <v>1290</v>
      </c>
      <c r="O16" s="478" t="s">
        <v>797</v>
      </c>
    </row>
    <row r="17" spans="1:15" ht="26.4">
      <c r="A17" s="513" t="s">
        <v>801</v>
      </c>
      <c r="B17" s="487">
        <f t="shared" ref="B17:M17" si="5">SUM(B18:B20)</f>
        <v>2836</v>
      </c>
      <c r="C17" s="487">
        <f t="shared" si="5"/>
        <v>2673</v>
      </c>
      <c r="D17" s="487">
        <f t="shared" si="5"/>
        <v>5964</v>
      </c>
      <c r="E17" s="487">
        <f t="shared" si="5"/>
        <v>1681</v>
      </c>
      <c r="F17" s="487">
        <f t="shared" si="5"/>
        <v>1918</v>
      </c>
      <c r="G17" s="487">
        <f t="shared" si="5"/>
        <v>1576</v>
      </c>
      <c r="H17" s="487">
        <f t="shared" si="5"/>
        <v>1568</v>
      </c>
      <c r="I17" s="487">
        <f t="shared" si="5"/>
        <v>3461</v>
      </c>
      <c r="J17" s="487">
        <f t="shared" si="5"/>
        <v>5597</v>
      </c>
      <c r="K17" s="487">
        <f t="shared" si="5"/>
        <v>2338</v>
      </c>
      <c r="L17" s="487">
        <f t="shared" si="5"/>
        <v>732</v>
      </c>
      <c r="M17" s="487">
        <f t="shared" si="5"/>
        <v>2504</v>
      </c>
      <c r="N17" s="487">
        <f t="shared" si="4"/>
        <v>32848</v>
      </c>
      <c r="O17" s="471" t="s">
        <v>799</v>
      </c>
    </row>
    <row r="18" spans="1:15" ht="26.4">
      <c r="A18" s="511" t="s">
        <v>113</v>
      </c>
      <c r="B18" s="487">
        <v>1419</v>
      </c>
      <c r="C18" s="487">
        <v>911</v>
      </c>
      <c r="D18" s="487">
        <v>4327</v>
      </c>
      <c r="E18" s="487">
        <v>1011</v>
      </c>
      <c r="F18" s="487">
        <v>1014</v>
      </c>
      <c r="G18" s="487">
        <v>636</v>
      </c>
      <c r="H18" s="487">
        <v>1035</v>
      </c>
      <c r="I18" s="487">
        <v>3116</v>
      </c>
      <c r="J18" s="487">
        <v>5121</v>
      </c>
      <c r="K18" s="487">
        <v>1746</v>
      </c>
      <c r="L18" s="487">
        <v>273</v>
      </c>
      <c r="M18" s="487">
        <v>1094</v>
      </c>
      <c r="N18" s="487">
        <f t="shared" si="4"/>
        <v>21703</v>
      </c>
      <c r="O18" s="475" t="s">
        <v>802</v>
      </c>
    </row>
    <row r="19" spans="1:15" ht="26.4">
      <c r="A19" s="511" t="s">
        <v>115</v>
      </c>
      <c r="B19" s="487">
        <v>772</v>
      </c>
      <c r="C19" s="487">
        <v>783</v>
      </c>
      <c r="D19" s="487">
        <v>1339</v>
      </c>
      <c r="E19" s="487">
        <v>441</v>
      </c>
      <c r="F19" s="487">
        <v>761</v>
      </c>
      <c r="G19" s="487">
        <v>811</v>
      </c>
      <c r="H19" s="487">
        <v>403</v>
      </c>
      <c r="I19" s="487">
        <v>208</v>
      </c>
      <c r="J19" s="487">
        <v>238</v>
      </c>
      <c r="K19" s="487">
        <v>320</v>
      </c>
      <c r="L19" s="487">
        <v>278</v>
      </c>
      <c r="M19" s="487">
        <v>978</v>
      </c>
      <c r="N19" s="487">
        <f t="shared" si="4"/>
        <v>7332</v>
      </c>
      <c r="O19" s="515" t="s">
        <v>803</v>
      </c>
    </row>
    <row r="20" spans="1:15" ht="26.4">
      <c r="A20" s="511" t="s">
        <v>804</v>
      </c>
      <c r="B20" s="487">
        <v>645</v>
      </c>
      <c r="C20" s="487">
        <v>979</v>
      </c>
      <c r="D20" s="487">
        <v>298</v>
      </c>
      <c r="E20" s="487">
        <v>229</v>
      </c>
      <c r="F20" s="487">
        <v>143</v>
      </c>
      <c r="G20" s="487">
        <v>129</v>
      </c>
      <c r="H20" s="487">
        <v>130</v>
      </c>
      <c r="I20" s="487">
        <v>137</v>
      </c>
      <c r="J20" s="487">
        <v>238</v>
      </c>
      <c r="K20" s="487">
        <v>272</v>
      </c>
      <c r="L20" s="487">
        <v>181</v>
      </c>
      <c r="M20" s="487">
        <v>432</v>
      </c>
      <c r="N20" s="487">
        <f t="shared" si="4"/>
        <v>3813</v>
      </c>
      <c r="O20" s="515" t="s">
        <v>118</v>
      </c>
    </row>
    <row r="21" spans="1:15" ht="26.4">
      <c r="A21" s="507">
        <v>2002</v>
      </c>
      <c r="B21" s="487">
        <f t="shared" ref="B21:N21" si="6">SUM(B22:B25)</f>
        <v>4692</v>
      </c>
      <c r="C21" s="487">
        <f t="shared" si="6"/>
        <v>3147</v>
      </c>
      <c r="D21" s="487">
        <f t="shared" si="6"/>
        <v>3286</v>
      </c>
      <c r="E21" s="487">
        <f t="shared" si="6"/>
        <v>3009</v>
      </c>
      <c r="F21" s="487">
        <f t="shared" si="6"/>
        <v>4824</v>
      </c>
      <c r="G21" s="487">
        <f t="shared" si="6"/>
        <v>2034</v>
      </c>
      <c r="H21" s="487">
        <f t="shared" si="6"/>
        <v>4461</v>
      </c>
      <c r="I21" s="487">
        <f t="shared" si="6"/>
        <v>2685</v>
      </c>
      <c r="J21" s="487">
        <f t="shared" si="6"/>
        <v>4776</v>
      </c>
      <c r="K21" s="487">
        <f t="shared" si="6"/>
        <v>974</v>
      </c>
      <c r="L21" s="487">
        <f t="shared" si="6"/>
        <v>622</v>
      </c>
      <c r="M21" s="487">
        <f t="shared" si="6"/>
        <v>5745</v>
      </c>
      <c r="N21" s="487">
        <f t="shared" si="6"/>
        <v>40255</v>
      </c>
      <c r="O21" s="505">
        <v>2002</v>
      </c>
    </row>
    <row r="22" spans="1:15" ht="26.4">
      <c r="A22" s="513" t="s">
        <v>73</v>
      </c>
      <c r="B22" s="487">
        <v>702</v>
      </c>
      <c r="C22" s="487">
        <v>678</v>
      </c>
      <c r="D22" s="487">
        <v>584</v>
      </c>
      <c r="E22" s="487">
        <v>875</v>
      </c>
      <c r="F22" s="487">
        <v>2688</v>
      </c>
      <c r="G22" s="487">
        <v>791</v>
      </c>
      <c r="H22" s="487">
        <v>1716</v>
      </c>
      <c r="I22" s="487">
        <v>652</v>
      </c>
      <c r="J22" s="487">
        <v>1229</v>
      </c>
      <c r="K22" s="487">
        <v>112</v>
      </c>
      <c r="L22" s="487">
        <v>74</v>
      </c>
      <c r="M22" s="487">
        <v>411</v>
      </c>
      <c r="N22" s="487">
        <f>SUM(B22:M22)</f>
        <v>10512</v>
      </c>
      <c r="O22" s="471" t="s">
        <v>823</v>
      </c>
    </row>
    <row r="23" spans="1:15" ht="26.4">
      <c r="A23" s="514" t="s">
        <v>71</v>
      </c>
      <c r="B23" s="487">
        <v>245</v>
      </c>
      <c r="C23" s="487">
        <v>477</v>
      </c>
      <c r="D23" s="487">
        <v>867</v>
      </c>
      <c r="E23" s="487">
        <v>488</v>
      </c>
      <c r="F23" s="487">
        <v>311</v>
      </c>
      <c r="G23" s="487">
        <v>282</v>
      </c>
      <c r="H23" s="487">
        <v>581</v>
      </c>
      <c r="I23" s="487">
        <v>205</v>
      </c>
      <c r="J23" s="487">
        <v>318</v>
      </c>
      <c r="K23" s="487">
        <v>154</v>
      </c>
      <c r="L23" s="487">
        <v>49</v>
      </c>
      <c r="M23" s="487">
        <v>99</v>
      </c>
      <c r="N23" s="487">
        <f t="shared" ref="N23:N28" si="7">SUM(B23:M23)</f>
        <v>4076</v>
      </c>
      <c r="O23" s="472" t="s">
        <v>824</v>
      </c>
    </row>
    <row r="24" spans="1:15" ht="26.4">
      <c r="A24" s="514" t="s">
        <v>77</v>
      </c>
      <c r="B24" s="487">
        <v>248</v>
      </c>
      <c r="C24" s="487">
        <v>3</v>
      </c>
      <c r="D24" s="487">
        <v>109</v>
      </c>
      <c r="E24" s="487">
        <v>155</v>
      </c>
      <c r="F24" s="487">
        <v>202</v>
      </c>
      <c r="G24" s="487">
        <v>107</v>
      </c>
      <c r="H24" s="487">
        <v>164</v>
      </c>
      <c r="I24" s="487">
        <v>29</v>
      </c>
      <c r="J24" s="487">
        <v>261</v>
      </c>
      <c r="K24" s="487">
        <v>20</v>
      </c>
      <c r="L24" s="487">
        <v>63</v>
      </c>
      <c r="M24" s="487">
        <v>130</v>
      </c>
      <c r="N24" s="487">
        <f t="shared" si="7"/>
        <v>1491</v>
      </c>
      <c r="O24" s="478" t="s">
        <v>797</v>
      </c>
    </row>
    <row r="25" spans="1:15" ht="26.4">
      <c r="A25" s="513" t="s">
        <v>801</v>
      </c>
      <c r="B25" s="487">
        <f t="shared" ref="B25:M25" si="8">SUM(B26:B28)</f>
        <v>3497</v>
      </c>
      <c r="C25" s="487">
        <f t="shared" si="8"/>
        <v>1989</v>
      </c>
      <c r="D25" s="487">
        <f t="shared" si="8"/>
        <v>1726</v>
      </c>
      <c r="E25" s="487">
        <f t="shared" si="8"/>
        <v>1491</v>
      </c>
      <c r="F25" s="487">
        <f t="shared" si="8"/>
        <v>1623</v>
      </c>
      <c r="G25" s="487">
        <f t="shared" si="8"/>
        <v>854</v>
      </c>
      <c r="H25" s="487">
        <f t="shared" si="8"/>
        <v>2000</v>
      </c>
      <c r="I25" s="487">
        <f t="shared" si="8"/>
        <v>1799</v>
      </c>
      <c r="J25" s="487">
        <f t="shared" si="8"/>
        <v>2968</v>
      </c>
      <c r="K25" s="487">
        <f t="shared" si="8"/>
        <v>688</v>
      </c>
      <c r="L25" s="487">
        <f t="shared" si="8"/>
        <v>436</v>
      </c>
      <c r="M25" s="487">
        <f t="shared" si="8"/>
        <v>5105</v>
      </c>
      <c r="N25" s="487">
        <f t="shared" si="7"/>
        <v>24176</v>
      </c>
      <c r="O25" s="471" t="s">
        <v>799</v>
      </c>
    </row>
    <row r="26" spans="1:15" ht="26.4">
      <c r="A26" s="511" t="s">
        <v>113</v>
      </c>
      <c r="B26" s="487">
        <v>2173</v>
      </c>
      <c r="C26" s="487">
        <v>1213</v>
      </c>
      <c r="D26" s="487">
        <v>942</v>
      </c>
      <c r="E26" s="487">
        <v>1120</v>
      </c>
      <c r="F26" s="487">
        <v>978</v>
      </c>
      <c r="G26" s="487">
        <v>589</v>
      </c>
      <c r="H26" s="487">
        <v>1469</v>
      </c>
      <c r="I26" s="487">
        <v>1682</v>
      </c>
      <c r="J26" s="487">
        <v>2724</v>
      </c>
      <c r="K26" s="487">
        <v>681</v>
      </c>
      <c r="L26" s="487">
        <v>367</v>
      </c>
      <c r="M26" s="487">
        <v>4550</v>
      </c>
      <c r="N26" s="487">
        <f t="shared" si="7"/>
        <v>18488</v>
      </c>
      <c r="O26" s="475" t="s">
        <v>802</v>
      </c>
    </row>
    <row r="27" spans="1:15" ht="26.4">
      <c r="A27" s="511" t="s">
        <v>115</v>
      </c>
      <c r="B27" s="487">
        <v>921</v>
      </c>
      <c r="C27" s="487">
        <v>657</v>
      </c>
      <c r="D27" s="487">
        <v>635</v>
      </c>
      <c r="E27" s="487">
        <v>283</v>
      </c>
      <c r="F27" s="487">
        <v>509</v>
      </c>
      <c r="G27" s="487">
        <v>183</v>
      </c>
      <c r="H27" s="487">
        <v>320</v>
      </c>
      <c r="I27" s="487">
        <v>54</v>
      </c>
      <c r="J27" s="487">
        <v>94</v>
      </c>
      <c r="K27" s="487">
        <v>4</v>
      </c>
      <c r="L27" s="487">
        <v>58</v>
      </c>
      <c r="M27" s="487">
        <v>395</v>
      </c>
      <c r="N27" s="487">
        <f t="shared" si="7"/>
        <v>4113</v>
      </c>
      <c r="O27" s="515" t="s">
        <v>803</v>
      </c>
    </row>
    <row r="28" spans="1:15" ht="26.4">
      <c r="A28" s="511" t="s">
        <v>804</v>
      </c>
      <c r="B28" s="487">
        <v>403</v>
      </c>
      <c r="C28" s="487">
        <v>119</v>
      </c>
      <c r="D28" s="487">
        <v>149</v>
      </c>
      <c r="E28" s="487">
        <v>88</v>
      </c>
      <c r="F28" s="487">
        <v>136</v>
      </c>
      <c r="G28" s="487">
        <v>82</v>
      </c>
      <c r="H28" s="487">
        <v>211</v>
      </c>
      <c r="I28" s="487">
        <v>63</v>
      </c>
      <c r="J28" s="487">
        <v>150</v>
      </c>
      <c r="K28" s="487">
        <v>3</v>
      </c>
      <c r="L28" s="487">
        <v>11</v>
      </c>
      <c r="M28" s="487">
        <v>160</v>
      </c>
      <c r="N28" s="487">
        <f t="shared" si="7"/>
        <v>1575</v>
      </c>
      <c r="O28" s="515" t="s">
        <v>118</v>
      </c>
    </row>
    <row r="29" spans="1:15" ht="26.4">
      <c r="A29" s="507">
        <v>2003</v>
      </c>
      <c r="B29" s="487">
        <f t="shared" ref="B29:N29" si="9">SUM(B30:B33)</f>
        <v>2296</v>
      </c>
      <c r="C29" s="487">
        <f t="shared" si="9"/>
        <v>3325</v>
      </c>
      <c r="D29" s="487">
        <f t="shared" si="9"/>
        <v>3669</v>
      </c>
      <c r="E29" s="487">
        <f t="shared" si="9"/>
        <v>2703</v>
      </c>
      <c r="F29" s="487">
        <f t="shared" si="9"/>
        <v>2459</v>
      </c>
      <c r="G29" s="487">
        <f t="shared" si="9"/>
        <v>3440</v>
      </c>
      <c r="H29" s="487">
        <f t="shared" si="9"/>
        <v>3022</v>
      </c>
      <c r="I29" s="487">
        <f t="shared" si="9"/>
        <v>1823</v>
      </c>
      <c r="J29" s="487">
        <f t="shared" si="9"/>
        <v>5348</v>
      </c>
      <c r="K29" s="487">
        <f t="shared" si="9"/>
        <v>737</v>
      </c>
      <c r="L29" s="487">
        <f t="shared" si="9"/>
        <v>284</v>
      </c>
      <c r="M29" s="487">
        <f t="shared" si="9"/>
        <v>5504</v>
      </c>
      <c r="N29" s="487">
        <f t="shared" si="9"/>
        <v>34610</v>
      </c>
      <c r="O29" s="505">
        <v>2003</v>
      </c>
    </row>
    <row r="30" spans="1:15" ht="26.4">
      <c r="A30" s="513" t="s">
        <v>73</v>
      </c>
      <c r="B30" s="487">
        <v>208</v>
      </c>
      <c r="C30" s="487">
        <v>545</v>
      </c>
      <c r="D30" s="487">
        <v>476</v>
      </c>
      <c r="E30" s="487">
        <v>754</v>
      </c>
      <c r="F30" s="487">
        <v>483</v>
      </c>
      <c r="G30" s="487">
        <v>970</v>
      </c>
      <c r="H30" s="487">
        <v>1250</v>
      </c>
      <c r="I30" s="487">
        <v>583</v>
      </c>
      <c r="J30" s="487">
        <v>1232</v>
      </c>
      <c r="K30" s="487">
        <v>197</v>
      </c>
      <c r="L30" s="487">
        <v>99</v>
      </c>
      <c r="M30" s="487">
        <v>903</v>
      </c>
      <c r="N30" s="487">
        <f>SUM(B30:M30)</f>
        <v>7700</v>
      </c>
      <c r="O30" s="471" t="s">
        <v>823</v>
      </c>
    </row>
    <row r="31" spans="1:15" ht="26.4">
      <c r="A31" s="514" t="s">
        <v>71</v>
      </c>
      <c r="B31" s="487">
        <v>143</v>
      </c>
      <c r="C31" s="487">
        <v>495</v>
      </c>
      <c r="D31" s="487">
        <v>228</v>
      </c>
      <c r="E31" s="487">
        <v>306</v>
      </c>
      <c r="F31" s="487">
        <v>485</v>
      </c>
      <c r="G31" s="487">
        <v>958</v>
      </c>
      <c r="H31" s="487">
        <v>394</v>
      </c>
      <c r="I31" s="487">
        <v>495</v>
      </c>
      <c r="J31" s="487">
        <v>561</v>
      </c>
      <c r="K31" s="487">
        <v>42</v>
      </c>
      <c r="L31" s="487">
        <v>86</v>
      </c>
      <c r="M31" s="487">
        <v>934</v>
      </c>
      <c r="N31" s="487">
        <f t="shared" ref="N31:N36" si="10">SUM(B31:M31)</f>
        <v>5127</v>
      </c>
      <c r="O31" s="472" t="s">
        <v>824</v>
      </c>
    </row>
    <row r="32" spans="1:15" ht="26.4">
      <c r="A32" s="514" t="s">
        <v>77</v>
      </c>
      <c r="B32" s="487">
        <v>272</v>
      </c>
      <c r="C32" s="487">
        <v>100</v>
      </c>
      <c r="D32" s="487">
        <v>343</v>
      </c>
      <c r="E32" s="487">
        <v>20</v>
      </c>
      <c r="F32" s="487">
        <v>445</v>
      </c>
      <c r="G32" s="487">
        <v>22</v>
      </c>
      <c r="H32" s="487">
        <v>111</v>
      </c>
      <c r="I32" s="487">
        <v>66</v>
      </c>
      <c r="J32" s="487">
        <v>108</v>
      </c>
      <c r="K32" s="487">
        <v>24</v>
      </c>
      <c r="L32" s="487">
        <v>4</v>
      </c>
      <c r="M32" s="487">
        <v>180</v>
      </c>
      <c r="N32" s="487">
        <f t="shared" si="10"/>
        <v>1695</v>
      </c>
      <c r="O32" s="478" t="s">
        <v>797</v>
      </c>
    </row>
    <row r="33" spans="1:15" ht="26.4">
      <c r="A33" s="513" t="s">
        <v>801</v>
      </c>
      <c r="B33" s="487">
        <f t="shared" ref="B33:M33" si="11">SUM(B34:B36)</f>
        <v>1673</v>
      </c>
      <c r="C33" s="487">
        <f t="shared" si="11"/>
        <v>2185</v>
      </c>
      <c r="D33" s="487">
        <f t="shared" si="11"/>
        <v>2622</v>
      </c>
      <c r="E33" s="487">
        <f t="shared" si="11"/>
        <v>1623</v>
      </c>
      <c r="F33" s="487">
        <f t="shared" si="11"/>
        <v>1046</v>
      </c>
      <c r="G33" s="487">
        <f t="shared" si="11"/>
        <v>1490</v>
      </c>
      <c r="H33" s="487">
        <f t="shared" si="11"/>
        <v>1267</v>
      </c>
      <c r="I33" s="487">
        <f t="shared" si="11"/>
        <v>679</v>
      </c>
      <c r="J33" s="487">
        <f t="shared" si="11"/>
        <v>3447</v>
      </c>
      <c r="K33" s="487">
        <f t="shared" si="11"/>
        <v>474</v>
      </c>
      <c r="L33" s="487">
        <f t="shared" si="11"/>
        <v>95</v>
      </c>
      <c r="M33" s="487">
        <f t="shared" si="11"/>
        <v>3487</v>
      </c>
      <c r="N33" s="487">
        <f t="shared" si="10"/>
        <v>20088</v>
      </c>
      <c r="O33" s="471" t="s">
        <v>799</v>
      </c>
    </row>
    <row r="34" spans="1:15" ht="26.4">
      <c r="A34" s="511" t="s">
        <v>113</v>
      </c>
      <c r="B34" s="487">
        <v>1238</v>
      </c>
      <c r="C34" s="487">
        <v>1890</v>
      </c>
      <c r="D34" s="487">
        <v>2168</v>
      </c>
      <c r="E34" s="487">
        <v>1299</v>
      </c>
      <c r="F34" s="487">
        <v>796</v>
      </c>
      <c r="G34" s="487">
        <v>1224</v>
      </c>
      <c r="H34" s="487">
        <v>576</v>
      </c>
      <c r="I34" s="487">
        <v>529</v>
      </c>
      <c r="J34" s="487">
        <v>3085</v>
      </c>
      <c r="K34" s="487">
        <v>395</v>
      </c>
      <c r="L34" s="487">
        <v>82</v>
      </c>
      <c r="M34" s="487">
        <v>2274</v>
      </c>
      <c r="N34" s="487">
        <f t="shared" si="10"/>
        <v>15556</v>
      </c>
      <c r="O34" s="475" t="s">
        <v>802</v>
      </c>
    </row>
    <row r="35" spans="1:15" ht="26.4">
      <c r="A35" s="511" t="s">
        <v>115</v>
      </c>
      <c r="B35" s="487">
        <v>332</v>
      </c>
      <c r="C35" s="487">
        <v>248</v>
      </c>
      <c r="D35" s="487">
        <v>384</v>
      </c>
      <c r="E35" s="487">
        <v>282</v>
      </c>
      <c r="F35" s="487">
        <v>216</v>
      </c>
      <c r="G35" s="487">
        <v>230</v>
      </c>
      <c r="H35" s="487">
        <v>592</v>
      </c>
      <c r="I35" s="487">
        <v>123</v>
      </c>
      <c r="J35" s="487">
        <v>265</v>
      </c>
      <c r="K35" s="487">
        <v>67</v>
      </c>
      <c r="L35" s="487">
        <v>10</v>
      </c>
      <c r="M35" s="487">
        <v>1105</v>
      </c>
      <c r="N35" s="487">
        <f t="shared" si="10"/>
        <v>3854</v>
      </c>
      <c r="O35" s="515" t="s">
        <v>803</v>
      </c>
    </row>
    <row r="36" spans="1:15" ht="26.4">
      <c r="A36" s="511" t="s">
        <v>804</v>
      </c>
      <c r="B36" s="487">
        <v>103</v>
      </c>
      <c r="C36" s="487">
        <v>47</v>
      </c>
      <c r="D36" s="487">
        <v>70</v>
      </c>
      <c r="E36" s="487">
        <v>42</v>
      </c>
      <c r="F36" s="487">
        <v>34</v>
      </c>
      <c r="G36" s="487">
        <v>36</v>
      </c>
      <c r="H36" s="487">
        <v>99</v>
      </c>
      <c r="I36" s="487">
        <v>27</v>
      </c>
      <c r="J36" s="487">
        <v>97</v>
      </c>
      <c r="K36" s="487">
        <v>12</v>
      </c>
      <c r="L36" s="487">
        <v>3</v>
      </c>
      <c r="M36" s="487">
        <v>108</v>
      </c>
      <c r="N36" s="487">
        <f t="shared" si="10"/>
        <v>678</v>
      </c>
      <c r="O36" s="515" t="s">
        <v>118</v>
      </c>
    </row>
    <row r="37" spans="1:15" ht="26.4">
      <c r="A37" s="507">
        <v>2004</v>
      </c>
      <c r="B37" s="487">
        <f t="shared" ref="B37:N37" si="12">SUM(B38:B41)</f>
        <v>3136</v>
      </c>
      <c r="C37" s="487">
        <f t="shared" si="12"/>
        <v>4412</v>
      </c>
      <c r="D37" s="487">
        <f t="shared" si="12"/>
        <v>2224</v>
      </c>
      <c r="E37" s="487">
        <f t="shared" si="12"/>
        <v>2266</v>
      </c>
      <c r="F37" s="487">
        <f t="shared" si="12"/>
        <v>2929</v>
      </c>
      <c r="G37" s="487">
        <f t="shared" si="12"/>
        <v>2984</v>
      </c>
      <c r="H37" s="487">
        <f t="shared" si="12"/>
        <v>4099</v>
      </c>
      <c r="I37" s="487">
        <f t="shared" si="12"/>
        <v>3315</v>
      </c>
      <c r="J37" s="487">
        <f t="shared" si="12"/>
        <v>6585</v>
      </c>
      <c r="K37" s="487">
        <f t="shared" si="12"/>
        <v>1691</v>
      </c>
      <c r="L37" s="487">
        <f t="shared" si="12"/>
        <v>1374</v>
      </c>
      <c r="M37" s="487">
        <f t="shared" si="12"/>
        <v>4296</v>
      </c>
      <c r="N37" s="487">
        <f t="shared" si="12"/>
        <v>39311</v>
      </c>
      <c r="O37" s="505">
        <v>2004</v>
      </c>
    </row>
    <row r="38" spans="1:15" ht="26.4">
      <c r="A38" s="513" t="s">
        <v>73</v>
      </c>
      <c r="B38" s="487">
        <v>215</v>
      </c>
      <c r="C38" s="487">
        <v>1177</v>
      </c>
      <c r="D38" s="487">
        <v>667</v>
      </c>
      <c r="E38" s="487">
        <v>605</v>
      </c>
      <c r="F38" s="487">
        <v>752</v>
      </c>
      <c r="G38" s="487">
        <v>722</v>
      </c>
      <c r="H38" s="487">
        <v>1140</v>
      </c>
      <c r="I38" s="487">
        <v>636</v>
      </c>
      <c r="J38" s="487">
        <v>1202</v>
      </c>
      <c r="K38" s="487">
        <v>208</v>
      </c>
      <c r="L38" s="487">
        <v>300</v>
      </c>
      <c r="M38" s="487">
        <v>291</v>
      </c>
      <c r="N38" s="487">
        <f>SUM(B38:M38)</f>
        <v>7915</v>
      </c>
      <c r="O38" s="471" t="s">
        <v>823</v>
      </c>
    </row>
    <row r="39" spans="1:15" ht="26.4">
      <c r="A39" s="514" t="s">
        <v>71</v>
      </c>
      <c r="B39" s="487">
        <v>161</v>
      </c>
      <c r="C39" s="487">
        <v>524</v>
      </c>
      <c r="D39" s="487">
        <v>196</v>
      </c>
      <c r="E39" s="487">
        <v>351</v>
      </c>
      <c r="F39" s="487">
        <v>433</v>
      </c>
      <c r="G39" s="487">
        <v>293</v>
      </c>
      <c r="H39" s="487">
        <v>745</v>
      </c>
      <c r="I39" s="487">
        <v>270</v>
      </c>
      <c r="J39" s="487">
        <v>908</v>
      </c>
      <c r="K39" s="487">
        <v>461</v>
      </c>
      <c r="L39" s="487">
        <v>95</v>
      </c>
      <c r="M39" s="487">
        <v>636</v>
      </c>
      <c r="N39" s="487">
        <f t="shared" ref="N39:N44" si="13">SUM(B39:M39)</f>
        <v>5073</v>
      </c>
      <c r="O39" s="472" t="s">
        <v>824</v>
      </c>
    </row>
    <row r="40" spans="1:15" ht="26.4">
      <c r="A40" s="514" t="s">
        <v>77</v>
      </c>
      <c r="B40" s="487">
        <v>187</v>
      </c>
      <c r="C40" s="487">
        <v>2</v>
      </c>
      <c r="D40" s="487">
        <v>288</v>
      </c>
      <c r="E40" s="487">
        <v>83</v>
      </c>
      <c r="F40" s="487">
        <v>167</v>
      </c>
      <c r="G40" s="487">
        <v>6</v>
      </c>
      <c r="H40" s="487">
        <v>139</v>
      </c>
      <c r="I40" s="487">
        <v>3</v>
      </c>
      <c r="J40" s="487">
        <v>37</v>
      </c>
      <c r="K40" s="487">
        <v>3</v>
      </c>
      <c r="L40" s="487">
        <v>116</v>
      </c>
      <c r="M40" s="487">
        <v>71</v>
      </c>
      <c r="N40" s="487">
        <f t="shared" si="13"/>
        <v>1102</v>
      </c>
      <c r="O40" s="478" t="s">
        <v>797</v>
      </c>
    </row>
    <row r="41" spans="1:15" ht="26.4">
      <c r="A41" s="513" t="s">
        <v>801</v>
      </c>
      <c r="B41" s="487">
        <f t="shared" ref="B41:M41" si="14">SUM(B42:B44)</f>
        <v>2573</v>
      </c>
      <c r="C41" s="487">
        <f t="shared" si="14"/>
        <v>2709</v>
      </c>
      <c r="D41" s="487">
        <f t="shared" si="14"/>
        <v>1073</v>
      </c>
      <c r="E41" s="487">
        <f t="shared" si="14"/>
        <v>1227</v>
      </c>
      <c r="F41" s="487">
        <f t="shared" si="14"/>
        <v>1577</v>
      </c>
      <c r="G41" s="487">
        <f t="shared" si="14"/>
        <v>1963</v>
      </c>
      <c r="H41" s="487">
        <f t="shared" si="14"/>
        <v>2075</v>
      </c>
      <c r="I41" s="487">
        <f t="shared" si="14"/>
        <v>2406</v>
      </c>
      <c r="J41" s="487">
        <f t="shared" si="14"/>
        <v>4438</v>
      </c>
      <c r="K41" s="487">
        <f t="shared" si="14"/>
        <v>1019</v>
      </c>
      <c r="L41" s="487">
        <f t="shared" si="14"/>
        <v>863</v>
      </c>
      <c r="M41" s="487">
        <f t="shared" si="14"/>
        <v>3298</v>
      </c>
      <c r="N41" s="487">
        <f t="shared" si="13"/>
        <v>25221</v>
      </c>
      <c r="O41" s="471" t="s">
        <v>799</v>
      </c>
    </row>
    <row r="42" spans="1:15" ht="26.4">
      <c r="A42" s="511" t="s">
        <v>113</v>
      </c>
      <c r="B42" s="487">
        <v>2173</v>
      </c>
      <c r="C42" s="487">
        <v>2095</v>
      </c>
      <c r="D42" s="487">
        <v>738</v>
      </c>
      <c r="E42" s="487">
        <v>773</v>
      </c>
      <c r="F42" s="487">
        <v>1056</v>
      </c>
      <c r="G42" s="487">
        <v>1427</v>
      </c>
      <c r="H42" s="487">
        <v>1443</v>
      </c>
      <c r="I42" s="487">
        <v>1935</v>
      </c>
      <c r="J42" s="487">
        <v>3881</v>
      </c>
      <c r="K42" s="487">
        <v>1000</v>
      </c>
      <c r="L42" s="487">
        <v>793</v>
      </c>
      <c r="M42" s="487">
        <v>2800</v>
      </c>
      <c r="N42" s="487">
        <f t="shared" si="13"/>
        <v>20114</v>
      </c>
      <c r="O42" s="475" t="s">
        <v>802</v>
      </c>
    </row>
    <row r="43" spans="1:15" ht="26.4">
      <c r="A43" s="511" t="s">
        <v>115</v>
      </c>
      <c r="B43" s="487">
        <v>375</v>
      </c>
      <c r="C43" s="487">
        <v>574</v>
      </c>
      <c r="D43" s="487">
        <v>320</v>
      </c>
      <c r="E43" s="487">
        <v>435</v>
      </c>
      <c r="F43" s="487">
        <v>492</v>
      </c>
      <c r="G43" s="487">
        <v>505</v>
      </c>
      <c r="H43" s="487">
        <v>532</v>
      </c>
      <c r="I43" s="487">
        <v>386</v>
      </c>
      <c r="J43" s="487">
        <v>426</v>
      </c>
      <c r="K43" s="487">
        <v>18</v>
      </c>
      <c r="L43" s="487">
        <v>67</v>
      </c>
      <c r="M43" s="487">
        <v>394</v>
      </c>
      <c r="N43" s="487">
        <f t="shared" si="13"/>
        <v>4524</v>
      </c>
      <c r="O43" s="515" t="s">
        <v>803</v>
      </c>
    </row>
    <row r="44" spans="1:15" ht="26.4">
      <c r="A44" s="511" t="s">
        <v>804</v>
      </c>
      <c r="B44" s="487">
        <v>25</v>
      </c>
      <c r="C44" s="487">
        <v>40</v>
      </c>
      <c r="D44" s="487">
        <v>15</v>
      </c>
      <c r="E44" s="487">
        <v>19</v>
      </c>
      <c r="F44" s="487">
        <v>29</v>
      </c>
      <c r="G44" s="487">
        <v>31</v>
      </c>
      <c r="H44" s="487">
        <v>100</v>
      </c>
      <c r="I44" s="487">
        <v>85</v>
      </c>
      <c r="J44" s="487">
        <v>131</v>
      </c>
      <c r="K44" s="487">
        <v>1</v>
      </c>
      <c r="L44" s="487">
        <v>3</v>
      </c>
      <c r="M44" s="487">
        <v>104</v>
      </c>
      <c r="N44" s="487">
        <f t="shared" si="13"/>
        <v>583</v>
      </c>
      <c r="O44" s="515" t="s">
        <v>118</v>
      </c>
    </row>
    <row r="45" spans="1:15" ht="26.4">
      <c r="A45" s="507">
        <v>2005</v>
      </c>
      <c r="B45" s="487">
        <f t="shared" ref="B45:N45" si="15">SUM(B46:B49)</f>
        <v>2848</v>
      </c>
      <c r="C45" s="487">
        <f t="shared" si="15"/>
        <v>3923</v>
      </c>
      <c r="D45" s="487">
        <f t="shared" si="15"/>
        <v>3648</v>
      </c>
      <c r="E45" s="487">
        <f t="shared" si="15"/>
        <v>4198</v>
      </c>
      <c r="F45" s="487">
        <f t="shared" si="15"/>
        <v>3530</v>
      </c>
      <c r="G45" s="487">
        <f t="shared" si="15"/>
        <v>4083</v>
      </c>
      <c r="H45" s="487">
        <f t="shared" si="15"/>
        <v>5269</v>
      </c>
      <c r="I45" s="487">
        <f t="shared" si="15"/>
        <v>4102</v>
      </c>
      <c r="J45" s="487">
        <f t="shared" si="15"/>
        <v>3999</v>
      </c>
      <c r="K45" s="487">
        <f t="shared" si="15"/>
        <v>3927</v>
      </c>
      <c r="L45" s="487">
        <f t="shared" si="15"/>
        <v>2477</v>
      </c>
      <c r="M45" s="487">
        <f t="shared" si="15"/>
        <v>749</v>
      </c>
      <c r="N45" s="487">
        <f t="shared" si="15"/>
        <v>42753</v>
      </c>
      <c r="O45" s="505">
        <v>2005</v>
      </c>
    </row>
    <row r="46" spans="1:15" ht="26.4">
      <c r="A46" s="513" t="s">
        <v>73</v>
      </c>
      <c r="B46" s="487">
        <v>342</v>
      </c>
      <c r="C46" s="487">
        <v>597</v>
      </c>
      <c r="D46" s="487">
        <v>718</v>
      </c>
      <c r="E46" s="487">
        <v>554</v>
      </c>
      <c r="F46" s="487">
        <v>1079</v>
      </c>
      <c r="G46" s="487">
        <v>594</v>
      </c>
      <c r="H46" s="487">
        <v>1078</v>
      </c>
      <c r="I46" s="487">
        <v>827</v>
      </c>
      <c r="J46" s="487">
        <v>994</v>
      </c>
      <c r="K46" s="487">
        <v>311</v>
      </c>
      <c r="L46" s="487">
        <v>208</v>
      </c>
      <c r="M46" s="487">
        <v>184</v>
      </c>
      <c r="N46" s="487">
        <f>SUM(B46:M46)</f>
        <v>7486</v>
      </c>
      <c r="O46" s="471" t="s">
        <v>823</v>
      </c>
    </row>
    <row r="47" spans="1:15" ht="26.4">
      <c r="A47" s="514" t="s">
        <v>71</v>
      </c>
      <c r="B47" s="487">
        <v>244</v>
      </c>
      <c r="C47" s="487">
        <v>923</v>
      </c>
      <c r="D47" s="487">
        <v>665</v>
      </c>
      <c r="E47" s="487">
        <v>406</v>
      </c>
      <c r="F47" s="487">
        <v>991</v>
      </c>
      <c r="G47" s="487">
        <v>340</v>
      </c>
      <c r="H47" s="487">
        <v>698</v>
      </c>
      <c r="I47" s="487">
        <v>1000</v>
      </c>
      <c r="J47" s="487">
        <v>612</v>
      </c>
      <c r="K47" s="487">
        <v>377</v>
      </c>
      <c r="L47" s="487">
        <v>48</v>
      </c>
      <c r="M47" s="487">
        <v>44</v>
      </c>
      <c r="N47" s="487">
        <f t="shared" ref="N47:N52" si="16">SUM(B47:M47)</f>
        <v>6348</v>
      </c>
      <c r="O47" s="472" t="s">
        <v>824</v>
      </c>
    </row>
    <row r="48" spans="1:15" ht="26.4">
      <c r="A48" s="514" t="s">
        <v>77</v>
      </c>
      <c r="B48" s="487">
        <v>187</v>
      </c>
      <c r="C48" s="487">
        <v>1</v>
      </c>
      <c r="D48" s="487">
        <v>163</v>
      </c>
      <c r="E48" s="487">
        <v>87</v>
      </c>
      <c r="F48" s="487">
        <v>23</v>
      </c>
      <c r="G48" s="487">
        <v>47</v>
      </c>
      <c r="H48" s="487">
        <v>80</v>
      </c>
      <c r="I48" s="487">
        <v>103</v>
      </c>
      <c r="J48" s="487">
        <v>149</v>
      </c>
      <c r="K48" s="487">
        <v>2</v>
      </c>
      <c r="L48" s="487">
        <v>126</v>
      </c>
      <c r="M48" s="487">
        <v>61</v>
      </c>
      <c r="N48" s="487">
        <f t="shared" si="16"/>
        <v>1029</v>
      </c>
      <c r="O48" s="478" t="s">
        <v>797</v>
      </c>
    </row>
    <row r="49" spans="1:15" ht="26.4">
      <c r="A49" s="513" t="s">
        <v>801</v>
      </c>
      <c r="B49" s="487">
        <f t="shared" ref="B49:L49" si="17">SUM(B50:B52)</f>
        <v>2075</v>
      </c>
      <c r="C49" s="487">
        <f t="shared" si="17"/>
        <v>2402</v>
      </c>
      <c r="D49" s="487">
        <f t="shared" si="17"/>
        <v>2102</v>
      </c>
      <c r="E49" s="487">
        <f t="shared" si="17"/>
        <v>3151</v>
      </c>
      <c r="F49" s="487">
        <f t="shared" si="17"/>
        <v>1437</v>
      </c>
      <c r="G49" s="487">
        <f t="shared" si="17"/>
        <v>3102</v>
      </c>
      <c r="H49" s="487">
        <f t="shared" si="17"/>
        <v>3413</v>
      </c>
      <c r="I49" s="487">
        <f t="shared" si="17"/>
        <v>2172</v>
      </c>
      <c r="J49" s="487">
        <f t="shared" si="17"/>
        <v>2244</v>
      </c>
      <c r="K49" s="487">
        <f t="shared" si="17"/>
        <v>3237</v>
      </c>
      <c r="L49" s="487">
        <f t="shared" si="17"/>
        <v>2095</v>
      </c>
      <c r="M49" s="487">
        <f>SUM(M50:M52)</f>
        <v>460</v>
      </c>
      <c r="N49" s="487">
        <f t="shared" si="16"/>
        <v>27890</v>
      </c>
      <c r="O49" s="471" t="s">
        <v>799</v>
      </c>
    </row>
    <row r="50" spans="1:15" ht="26.4">
      <c r="A50" s="511" t="s">
        <v>113</v>
      </c>
      <c r="B50" s="487">
        <v>1289</v>
      </c>
      <c r="C50" s="487">
        <v>1580</v>
      </c>
      <c r="D50" s="487">
        <v>1426</v>
      </c>
      <c r="E50" s="487">
        <v>2572</v>
      </c>
      <c r="F50" s="487">
        <v>870</v>
      </c>
      <c r="G50" s="487">
        <v>2616</v>
      </c>
      <c r="H50" s="487">
        <v>2907</v>
      </c>
      <c r="I50" s="487">
        <v>1551</v>
      </c>
      <c r="J50" s="487">
        <v>1669</v>
      </c>
      <c r="K50" s="487">
        <v>3104</v>
      </c>
      <c r="L50" s="487">
        <v>1972</v>
      </c>
      <c r="M50" s="487">
        <v>312</v>
      </c>
      <c r="N50" s="487">
        <f t="shared" si="16"/>
        <v>21868</v>
      </c>
      <c r="O50" s="475" t="s">
        <v>802</v>
      </c>
    </row>
    <row r="51" spans="1:15" ht="26.4">
      <c r="A51" s="511" t="s">
        <v>115</v>
      </c>
      <c r="B51" s="487">
        <v>673</v>
      </c>
      <c r="C51" s="487">
        <v>696</v>
      </c>
      <c r="D51" s="487">
        <v>593</v>
      </c>
      <c r="E51" s="487">
        <v>528</v>
      </c>
      <c r="F51" s="487">
        <v>509</v>
      </c>
      <c r="G51" s="487">
        <v>443</v>
      </c>
      <c r="H51" s="487">
        <v>439</v>
      </c>
      <c r="I51" s="487">
        <v>572</v>
      </c>
      <c r="J51" s="487">
        <v>438</v>
      </c>
      <c r="K51" s="487">
        <v>107</v>
      </c>
      <c r="L51" s="487">
        <v>120</v>
      </c>
      <c r="M51" s="487">
        <v>134</v>
      </c>
      <c r="N51" s="487">
        <f t="shared" si="16"/>
        <v>5252</v>
      </c>
      <c r="O51" s="515" t="s">
        <v>803</v>
      </c>
    </row>
    <row r="52" spans="1:15" ht="26.4">
      <c r="A52" s="511" t="s">
        <v>804</v>
      </c>
      <c r="B52" s="487">
        <v>113</v>
      </c>
      <c r="C52" s="487">
        <v>126</v>
      </c>
      <c r="D52" s="487">
        <v>83</v>
      </c>
      <c r="E52" s="487">
        <v>51</v>
      </c>
      <c r="F52" s="487">
        <v>58</v>
      </c>
      <c r="G52" s="487">
        <v>43</v>
      </c>
      <c r="H52" s="487">
        <v>67</v>
      </c>
      <c r="I52" s="487">
        <v>49</v>
      </c>
      <c r="J52" s="487">
        <v>137</v>
      </c>
      <c r="K52" s="487">
        <v>26</v>
      </c>
      <c r="L52" s="487">
        <v>3</v>
      </c>
      <c r="M52" s="487">
        <v>14</v>
      </c>
      <c r="N52" s="487">
        <f t="shared" si="16"/>
        <v>770</v>
      </c>
      <c r="O52" s="515" t="s">
        <v>118</v>
      </c>
    </row>
    <row r="53" spans="1:15" ht="26.4">
      <c r="A53" s="507">
        <v>2006</v>
      </c>
      <c r="B53" s="487">
        <f t="shared" ref="B53:N53" si="18">SUM(B54:B57)</f>
        <v>2567</v>
      </c>
      <c r="C53" s="487">
        <f t="shared" si="18"/>
        <v>3745</v>
      </c>
      <c r="D53" s="487">
        <f t="shared" si="18"/>
        <v>6260</v>
      </c>
      <c r="E53" s="487">
        <f t="shared" si="18"/>
        <v>2596</v>
      </c>
      <c r="F53" s="487">
        <f t="shared" si="18"/>
        <v>3646</v>
      </c>
      <c r="G53" s="487">
        <f t="shared" si="18"/>
        <v>4713</v>
      </c>
      <c r="H53" s="487">
        <f t="shared" si="18"/>
        <v>3835</v>
      </c>
      <c r="I53" s="487">
        <f t="shared" si="18"/>
        <v>3413</v>
      </c>
      <c r="J53" s="487">
        <f t="shared" si="18"/>
        <v>5954</v>
      </c>
      <c r="K53" s="487">
        <f t="shared" si="18"/>
        <v>1157</v>
      </c>
      <c r="L53" s="487">
        <f t="shared" si="18"/>
        <v>2340</v>
      </c>
      <c r="M53" s="487">
        <f t="shared" si="18"/>
        <v>3847</v>
      </c>
      <c r="N53" s="487">
        <f t="shared" si="18"/>
        <v>44073</v>
      </c>
      <c r="O53" s="505">
        <v>2006</v>
      </c>
    </row>
    <row r="54" spans="1:15" ht="26.4">
      <c r="A54" s="513" t="s">
        <v>73</v>
      </c>
      <c r="B54" s="487">
        <v>284</v>
      </c>
      <c r="C54" s="487">
        <v>357</v>
      </c>
      <c r="D54" s="487">
        <v>406</v>
      </c>
      <c r="E54" s="487">
        <v>307</v>
      </c>
      <c r="F54" s="487">
        <v>902</v>
      </c>
      <c r="G54" s="487">
        <v>767</v>
      </c>
      <c r="H54" s="487">
        <v>844</v>
      </c>
      <c r="I54" s="487">
        <v>686</v>
      </c>
      <c r="J54" s="487">
        <v>1101</v>
      </c>
      <c r="K54" s="487">
        <v>298</v>
      </c>
      <c r="L54" s="487">
        <v>141</v>
      </c>
      <c r="M54" s="487">
        <v>657</v>
      </c>
      <c r="N54" s="487">
        <f t="shared" ref="N54:N68" si="19">SUM(B54:M54)</f>
        <v>6750</v>
      </c>
      <c r="O54" s="471" t="s">
        <v>795</v>
      </c>
    </row>
    <row r="55" spans="1:15" ht="26.4">
      <c r="A55" s="514" t="s">
        <v>71</v>
      </c>
      <c r="B55" s="487">
        <v>447</v>
      </c>
      <c r="C55" s="487">
        <v>1300</v>
      </c>
      <c r="D55" s="487">
        <v>683</v>
      </c>
      <c r="E55" s="487">
        <v>267</v>
      </c>
      <c r="F55" s="487">
        <v>587</v>
      </c>
      <c r="G55" s="487">
        <v>280</v>
      </c>
      <c r="H55" s="487">
        <v>643</v>
      </c>
      <c r="I55" s="487">
        <v>384</v>
      </c>
      <c r="J55" s="487">
        <v>453</v>
      </c>
      <c r="K55" s="487">
        <v>16</v>
      </c>
      <c r="L55" s="487">
        <v>46</v>
      </c>
      <c r="M55" s="487">
        <v>169</v>
      </c>
      <c r="N55" s="487">
        <f t="shared" si="19"/>
        <v>5275</v>
      </c>
      <c r="O55" s="472" t="s">
        <v>824</v>
      </c>
    </row>
    <row r="56" spans="1:15" ht="26.4">
      <c r="A56" s="514" t="s">
        <v>77</v>
      </c>
      <c r="B56" s="487">
        <v>155</v>
      </c>
      <c r="C56" s="487">
        <v>100</v>
      </c>
      <c r="D56" s="487">
        <v>211</v>
      </c>
      <c r="E56" s="487">
        <v>8</v>
      </c>
      <c r="F56" s="487">
        <v>179</v>
      </c>
      <c r="G56" s="487">
        <v>26</v>
      </c>
      <c r="H56" s="487">
        <v>123</v>
      </c>
      <c r="I56" s="487">
        <v>88</v>
      </c>
      <c r="J56" s="487">
        <v>126</v>
      </c>
      <c r="K56" s="487">
        <v>125</v>
      </c>
      <c r="L56" s="487">
        <v>46</v>
      </c>
      <c r="M56" s="487">
        <v>544</v>
      </c>
      <c r="N56" s="487">
        <f t="shared" si="19"/>
        <v>1731</v>
      </c>
      <c r="O56" s="478" t="s">
        <v>797</v>
      </c>
    </row>
    <row r="57" spans="1:15" ht="26.4">
      <c r="A57" s="513" t="s">
        <v>801</v>
      </c>
      <c r="B57" s="487">
        <f t="shared" ref="B57:M57" si="20">SUM(B58:B60)</f>
        <v>1681</v>
      </c>
      <c r="C57" s="487">
        <f t="shared" si="20"/>
        <v>1988</v>
      </c>
      <c r="D57" s="487">
        <f t="shared" si="20"/>
        <v>4960</v>
      </c>
      <c r="E57" s="487">
        <f t="shared" si="20"/>
        <v>2014</v>
      </c>
      <c r="F57" s="487">
        <f t="shared" si="20"/>
        <v>1978</v>
      </c>
      <c r="G57" s="487">
        <f t="shared" si="20"/>
        <v>3640</v>
      </c>
      <c r="H57" s="487">
        <f t="shared" si="20"/>
        <v>2225</v>
      </c>
      <c r="I57" s="487">
        <f t="shared" si="20"/>
        <v>2255</v>
      </c>
      <c r="J57" s="487">
        <f t="shared" si="20"/>
        <v>4274</v>
      </c>
      <c r="K57" s="487">
        <f t="shared" si="20"/>
        <v>718</v>
      </c>
      <c r="L57" s="487">
        <f t="shared" si="20"/>
        <v>2107</v>
      </c>
      <c r="M57" s="487">
        <f t="shared" si="20"/>
        <v>2477</v>
      </c>
      <c r="N57" s="487">
        <f t="shared" si="19"/>
        <v>30317</v>
      </c>
      <c r="O57" s="471" t="s">
        <v>799</v>
      </c>
    </row>
    <row r="58" spans="1:15" ht="26.4">
      <c r="A58" s="511" t="s">
        <v>113</v>
      </c>
      <c r="B58" s="487">
        <v>581</v>
      </c>
      <c r="C58" s="487">
        <v>1489</v>
      </c>
      <c r="D58" s="487">
        <v>4465</v>
      </c>
      <c r="E58" s="487">
        <v>1601</v>
      </c>
      <c r="F58" s="487">
        <v>1248</v>
      </c>
      <c r="G58" s="487">
        <v>2865</v>
      </c>
      <c r="H58" s="487">
        <v>2016</v>
      </c>
      <c r="I58" s="487">
        <v>2040</v>
      </c>
      <c r="J58" s="487">
        <v>3941</v>
      </c>
      <c r="K58" s="487">
        <v>697</v>
      </c>
      <c r="L58" s="487">
        <v>2027</v>
      </c>
      <c r="M58" s="487">
        <v>2217</v>
      </c>
      <c r="N58" s="487">
        <f t="shared" si="19"/>
        <v>25187</v>
      </c>
      <c r="O58" s="475" t="s">
        <v>802</v>
      </c>
    </row>
    <row r="59" spans="1:15" ht="26.4">
      <c r="A59" s="511" t="s">
        <v>115</v>
      </c>
      <c r="B59" s="487">
        <v>996</v>
      </c>
      <c r="C59" s="487">
        <v>476</v>
      </c>
      <c r="D59" s="487">
        <v>452</v>
      </c>
      <c r="E59" s="487">
        <v>394</v>
      </c>
      <c r="F59" s="487">
        <v>656</v>
      </c>
      <c r="G59" s="487">
        <v>746</v>
      </c>
      <c r="H59" s="487">
        <v>168</v>
      </c>
      <c r="I59" s="487">
        <v>143</v>
      </c>
      <c r="J59" s="487">
        <v>310</v>
      </c>
      <c r="K59" s="487">
        <v>17</v>
      </c>
      <c r="L59" s="487">
        <v>69</v>
      </c>
      <c r="M59" s="487">
        <v>244</v>
      </c>
      <c r="N59" s="487">
        <f t="shared" si="19"/>
        <v>4671</v>
      </c>
      <c r="O59" s="515" t="s">
        <v>803</v>
      </c>
    </row>
    <row r="60" spans="1:15" ht="26.4">
      <c r="A60" s="511" t="s">
        <v>804</v>
      </c>
      <c r="B60" s="487">
        <v>104</v>
      </c>
      <c r="C60" s="487">
        <v>23</v>
      </c>
      <c r="D60" s="487">
        <v>43</v>
      </c>
      <c r="E60" s="487">
        <v>19</v>
      </c>
      <c r="F60" s="487">
        <v>74</v>
      </c>
      <c r="G60" s="487">
        <v>29</v>
      </c>
      <c r="H60" s="487">
        <v>41</v>
      </c>
      <c r="I60" s="487">
        <v>72</v>
      </c>
      <c r="J60" s="487">
        <v>23</v>
      </c>
      <c r="K60" s="487">
        <v>4</v>
      </c>
      <c r="L60" s="487">
        <v>11</v>
      </c>
      <c r="M60" s="487">
        <v>16</v>
      </c>
      <c r="N60" s="487">
        <f t="shared" si="19"/>
        <v>459</v>
      </c>
      <c r="O60" s="515" t="s">
        <v>118</v>
      </c>
    </row>
    <row r="61" spans="1:15" ht="26.4">
      <c r="A61" s="507">
        <v>2007</v>
      </c>
      <c r="B61" s="487">
        <f t="shared" ref="B61:M61" si="21">SUM(B62:B65)</f>
        <v>3901</v>
      </c>
      <c r="C61" s="487">
        <f t="shared" si="21"/>
        <v>2570</v>
      </c>
      <c r="D61" s="487">
        <f t="shared" si="21"/>
        <v>4985</v>
      </c>
      <c r="E61" s="487">
        <f t="shared" si="21"/>
        <v>3325</v>
      </c>
      <c r="F61" s="487">
        <f t="shared" si="21"/>
        <v>3859</v>
      </c>
      <c r="G61" s="487">
        <f t="shared" si="21"/>
        <v>3968</v>
      </c>
      <c r="H61" s="487">
        <f t="shared" si="21"/>
        <v>3547</v>
      </c>
      <c r="I61" s="487">
        <f t="shared" si="21"/>
        <v>5703</v>
      </c>
      <c r="J61" s="487">
        <f t="shared" si="21"/>
        <v>4820</v>
      </c>
      <c r="K61" s="487">
        <f t="shared" si="21"/>
        <v>1881</v>
      </c>
      <c r="L61" s="487">
        <f t="shared" si="21"/>
        <v>2463</v>
      </c>
      <c r="M61" s="487">
        <f t="shared" si="21"/>
        <v>2862</v>
      </c>
      <c r="N61" s="487">
        <f>SUM(N62:N65)</f>
        <v>43884</v>
      </c>
      <c r="O61" s="505">
        <v>2007</v>
      </c>
    </row>
    <row r="62" spans="1:15" ht="26.4">
      <c r="A62" s="513" t="s">
        <v>73</v>
      </c>
      <c r="B62" s="487">
        <v>315</v>
      </c>
      <c r="C62" s="487">
        <v>242</v>
      </c>
      <c r="D62" s="487">
        <v>442</v>
      </c>
      <c r="E62" s="487">
        <v>433</v>
      </c>
      <c r="F62" s="487">
        <v>1024</v>
      </c>
      <c r="G62" s="487">
        <v>1139</v>
      </c>
      <c r="H62" s="487">
        <v>1316</v>
      </c>
      <c r="I62" s="487">
        <v>1408</v>
      </c>
      <c r="J62" s="487">
        <v>1089</v>
      </c>
      <c r="K62" s="487">
        <v>488</v>
      </c>
      <c r="L62" s="487">
        <v>247</v>
      </c>
      <c r="M62" s="487">
        <v>268</v>
      </c>
      <c r="N62" s="487">
        <f t="shared" si="19"/>
        <v>8411</v>
      </c>
      <c r="O62" s="471" t="s">
        <v>795</v>
      </c>
    </row>
    <row r="63" spans="1:15" ht="26.4">
      <c r="A63" s="514" t="s">
        <v>71</v>
      </c>
      <c r="B63" s="487">
        <v>488</v>
      </c>
      <c r="C63" s="487">
        <v>418</v>
      </c>
      <c r="D63" s="487">
        <v>864</v>
      </c>
      <c r="E63" s="487">
        <v>839</v>
      </c>
      <c r="F63" s="487">
        <v>728</v>
      </c>
      <c r="G63" s="487">
        <v>819</v>
      </c>
      <c r="H63" s="487">
        <v>513</v>
      </c>
      <c r="I63" s="487">
        <v>493</v>
      </c>
      <c r="J63" s="487">
        <v>445</v>
      </c>
      <c r="K63" s="487">
        <v>466</v>
      </c>
      <c r="L63" s="487">
        <v>53</v>
      </c>
      <c r="M63" s="487">
        <v>287</v>
      </c>
      <c r="N63" s="487">
        <f t="shared" si="19"/>
        <v>6413</v>
      </c>
      <c r="O63" s="472" t="s">
        <v>824</v>
      </c>
    </row>
    <row r="64" spans="1:15" ht="26.4">
      <c r="A64" s="514" t="s">
        <v>77</v>
      </c>
      <c r="B64" s="487">
        <v>61</v>
      </c>
      <c r="C64" s="487">
        <v>125</v>
      </c>
      <c r="D64" s="487">
        <v>156</v>
      </c>
      <c r="E64" s="487">
        <v>217</v>
      </c>
      <c r="F64" s="487">
        <v>52</v>
      </c>
      <c r="G64" s="487">
        <v>43</v>
      </c>
      <c r="H64" s="487">
        <v>36</v>
      </c>
      <c r="I64" s="487">
        <v>263</v>
      </c>
      <c r="J64" s="487">
        <v>99</v>
      </c>
      <c r="K64" s="487">
        <v>2</v>
      </c>
      <c r="L64" s="487">
        <v>14</v>
      </c>
      <c r="M64" s="487">
        <v>40</v>
      </c>
      <c r="N64" s="487">
        <f t="shared" si="19"/>
        <v>1108</v>
      </c>
      <c r="O64" s="478" t="s">
        <v>797</v>
      </c>
    </row>
    <row r="65" spans="1:15" ht="26.4">
      <c r="A65" s="513" t="s">
        <v>801</v>
      </c>
      <c r="B65" s="487">
        <v>3037</v>
      </c>
      <c r="C65" s="487">
        <v>1785</v>
      </c>
      <c r="D65" s="487">
        <v>3523</v>
      </c>
      <c r="E65" s="487">
        <v>1836</v>
      </c>
      <c r="F65" s="487">
        <v>2055</v>
      </c>
      <c r="G65" s="487">
        <v>1967</v>
      </c>
      <c r="H65" s="487">
        <v>1682</v>
      </c>
      <c r="I65" s="487">
        <v>3539</v>
      </c>
      <c r="J65" s="487">
        <v>3187</v>
      </c>
      <c r="K65" s="487">
        <v>925</v>
      </c>
      <c r="L65" s="487">
        <v>2149</v>
      </c>
      <c r="M65" s="487">
        <v>2267</v>
      </c>
      <c r="N65" s="487">
        <f t="shared" si="19"/>
        <v>27952</v>
      </c>
      <c r="O65" s="471" t="s">
        <v>799</v>
      </c>
    </row>
    <row r="66" spans="1:15" ht="26.4">
      <c r="A66" s="511" t="s">
        <v>113</v>
      </c>
      <c r="B66" s="487">
        <v>2196</v>
      </c>
      <c r="C66" s="487">
        <v>1539</v>
      </c>
      <c r="D66" s="487">
        <v>2840</v>
      </c>
      <c r="E66" s="487">
        <v>1302</v>
      </c>
      <c r="F66" s="487">
        <v>1473</v>
      </c>
      <c r="G66" s="487">
        <v>1335</v>
      </c>
      <c r="H66" s="487">
        <v>1214</v>
      </c>
      <c r="I66" s="487">
        <v>2912</v>
      </c>
      <c r="J66" s="487">
        <v>2863</v>
      </c>
      <c r="K66" s="487">
        <v>814</v>
      </c>
      <c r="L66" s="487">
        <v>2080</v>
      </c>
      <c r="M66" s="487">
        <v>1894</v>
      </c>
      <c r="N66" s="487">
        <f t="shared" si="19"/>
        <v>22462</v>
      </c>
      <c r="O66" s="475" t="s">
        <v>802</v>
      </c>
    </row>
    <row r="67" spans="1:15" ht="26.4">
      <c r="A67" s="511" t="s">
        <v>115</v>
      </c>
      <c r="B67" s="487">
        <v>785</v>
      </c>
      <c r="C67" s="487">
        <v>225</v>
      </c>
      <c r="D67" s="487">
        <v>642</v>
      </c>
      <c r="E67" s="487">
        <v>506</v>
      </c>
      <c r="F67" s="487">
        <v>550</v>
      </c>
      <c r="G67" s="487">
        <v>615</v>
      </c>
      <c r="H67" s="487">
        <v>446</v>
      </c>
      <c r="I67" s="487">
        <v>460</v>
      </c>
      <c r="J67" s="487">
        <v>187</v>
      </c>
      <c r="K67" s="487">
        <v>70</v>
      </c>
      <c r="L67" s="487">
        <v>58</v>
      </c>
      <c r="M67" s="487">
        <v>204</v>
      </c>
      <c r="N67" s="487">
        <f t="shared" si="19"/>
        <v>4748</v>
      </c>
      <c r="O67" s="515" t="s">
        <v>803</v>
      </c>
    </row>
    <row r="68" spans="1:15" ht="26.4">
      <c r="A68" s="511" t="s">
        <v>804</v>
      </c>
      <c r="B68" s="487">
        <v>56</v>
      </c>
      <c r="C68" s="487">
        <v>21</v>
      </c>
      <c r="D68" s="487">
        <v>41</v>
      </c>
      <c r="E68" s="487">
        <v>28</v>
      </c>
      <c r="F68" s="487">
        <v>32</v>
      </c>
      <c r="G68" s="487">
        <v>17</v>
      </c>
      <c r="H68" s="487">
        <v>22</v>
      </c>
      <c r="I68" s="487">
        <v>167</v>
      </c>
      <c r="J68" s="487">
        <v>137</v>
      </c>
      <c r="K68" s="487">
        <v>41</v>
      </c>
      <c r="L68" s="487">
        <v>11</v>
      </c>
      <c r="M68" s="487">
        <v>169</v>
      </c>
      <c r="N68" s="487">
        <f t="shared" si="19"/>
        <v>742</v>
      </c>
      <c r="O68" s="515" t="s">
        <v>118</v>
      </c>
    </row>
    <row r="69" spans="1:15" ht="26.4">
      <c r="A69" s="507">
        <v>2008</v>
      </c>
      <c r="B69" s="487">
        <f t="shared" ref="B69:M69" si="22">SUM(B70:B73)</f>
        <v>4483</v>
      </c>
      <c r="C69" s="487">
        <f t="shared" si="22"/>
        <v>3555</v>
      </c>
      <c r="D69" s="487">
        <f t="shared" si="22"/>
        <v>3118</v>
      </c>
      <c r="E69" s="487">
        <f t="shared" si="22"/>
        <v>5280</v>
      </c>
      <c r="F69" s="487">
        <f t="shared" si="22"/>
        <v>1757</v>
      </c>
      <c r="G69" s="487">
        <f t="shared" si="22"/>
        <v>1240</v>
      </c>
      <c r="H69" s="487">
        <f t="shared" si="22"/>
        <v>3285</v>
      </c>
      <c r="I69" s="487">
        <f t="shared" si="22"/>
        <v>1065</v>
      </c>
      <c r="J69" s="487">
        <f t="shared" si="22"/>
        <v>1106</v>
      </c>
      <c r="K69" s="487">
        <f t="shared" si="22"/>
        <v>5377</v>
      </c>
      <c r="L69" s="487">
        <f t="shared" si="22"/>
        <v>1576</v>
      </c>
      <c r="M69" s="487">
        <f t="shared" si="22"/>
        <v>5499</v>
      </c>
      <c r="N69" s="487">
        <f>SUM(N70:N73)</f>
        <v>37341</v>
      </c>
      <c r="O69" s="505">
        <v>2008</v>
      </c>
    </row>
    <row r="70" spans="1:15" ht="26.4">
      <c r="A70" s="513" t="s">
        <v>73</v>
      </c>
      <c r="B70" s="487">
        <v>380</v>
      </c>
      <c r="C70" s="487">
        <v>477</v>
      </c>
      <c r="D70" s="487">
        <v>490</v>
      </c>
      <c r="E70" s="487">
        <v>567</v>
      </c>
      <c r="F70" s="487">
        <v>363</v>
      </c>
      <c r="G70" s="487">
        <v>262</v>
      </c>
      <c r="H70" s="487">
        <v>450</v>
      </c>
      <c r="I70" s="487">
        <v>157</v>
      </c>
      <c r="J70" s="487">
        <v>138</v>
      </c>
      <c r="K70" s="487">
        <v>235</v>
      </c>
      <c r="L70" s="487">
        <v>214</v>
      </c>
      <c r="M70" s="487">
        <v>96</v>
      </c>
      <c r="N70" s="487">
        <f t="shared" ref="N70:N76" si="23">SUM(B70:M70)</f>
        <v>3829</v>
      </c>
      <c r="O70" s="471" t="s">
        <v>795</v>
      </c>
    </row>
    <row r="71" spans="1:15" ht="26.4">
      <c r="A71" s="514" t="s">
        <v>71</v>
      </c>
      <c r="B71" s="487">
        <v>343</v>
      </c>
      <c r="C71" s="487">
        <v>462</v>
      </c>
      <c r="D71" s="487">
        <v>281</v>
      </c>
      <c r="E71" s="487">
        <v>1071</v>
      </c>
      <c r="F71" s="487">
        <v>99</v>
      </c>
      <c r="G71" s="487">
        <v>352</v>
      </c>
      <c r="H71" s="487">
        <v>731</v>
      </c>
      <c r="I71" s="487">
        <v>128</v>
      </c>
      <c r="J71" s="487">
        <v>169</v>
      </c>
      <c r="K71" s="487">
        <v>224</v>
      </c>
      <c r="L71" s="487">
        <v>110</v>
      </c>
      <c r="M71" s="487">
        <v>100</v>
      </c>
      <c r="N71" s="487">
        <f t="shared" si="23"/>
        <v>4070</v>
      </c>
      <c r="O71" s="472" t="s">
        <v>824</v>
      </c>
    </row>
    <row r="72" spans="1:15" ht="26.4">
      <c r="A72" s="514" t="s">
        <v>77</v>
      </c>
      <c r="B72" s="487">
        <v>34</v>
      </c>
      <c r="C72" s="487">
        <v>51</v>
      </c>
      <c r="D72" s="487">
        <v>42</v>
      </c>
      <c r="E72" s="487">
        <v>37</v>
      </c>
      <c r="F72" s="487">
        <v>18</v>
      </c>
      <c r="G72" s="487">
        <v>40</v>
      </c>
      <c r="H72" s="487">
        <v>55</v>
      </c>
      <c r="I72" s="487">
        <v>76</v>
      </c>
      <c r="J72" s="487">
        <v>40</v>
      </c>
      <c r="K72" s="487">
        <v>25</v>
      </c>
      <c r="L72" s="487">
        <v>12</v>
      </c>
      <c r="M72" s="487">
        <v>11</v>
      </c>
      <c r="N72" s="487">
        <f t="shared" si="23"/>
        <v>441</v>
      </c>
      <c r="O72" s="478" t="s">
        <v>797</v>
      </c>
    </row>
    <row r="73" spans="1:15" ht="26.4">
      <c r="A73" s="513" t="s">
        <v>801</v>
      </c>
      <c r="B73" s="487">
        <v>3726</v>
      </c>
      <c r="C73" s="487">
        <v>2565</v>
      </c>
      <c r="D73" s="487">
        <v>2305</v>
      </c>
      <c r="E73" s="487">
        <v>3605</v>
      </c>
      <c r="F73" s="487">
        <v>1277</v>
      </c>
      <c r="G73" s="487">
        <v>586</v>
      </c>
      <c r="H73" s="487">
        <v>2049</v>
      </c>
      <c r="I73" s="487">
        <v>704</v>
      </c>
      <c r="J73" s="487">
        <v>759</v>
      </c>
      <c r="K73" s="487">
        <v>4893</v>
      </c>
      <c r="L73" s="487">
        <v>1240</v>
      </c>
      <c r="M73" s="487">
        <v>5292</v>
      </c>
      <c r="N73" s="487">
        <f t="shared" si="23"/>
        <v>29001</v>
      </c>
      <c r="O73" s="471" t="s">
        <v>799</v>
      </c>
    </row>
    <row r="74" spans="1:15" ht="26.4">
      <c r="A74" s="511" t="s">
        <v>113</v>
      </c>
      <c r="B74" s="487">
        <v>2844</v>
      </c>
      <c r="C74" s="487">
        <v>1716</v>
      </c>
      <c r="D74" s="487">
        <v>1745</v>
      </c>
      <c r="E74" s="487">
        <v>2983</v>
      </c>
      <c r="F74" s="487">
        <v>1056</v>
      </c>
      <c r="G74" s="487">
        <v>374</v>
      </c>
      <c r="H74" s="487">
        <v>1219</v>
      </c>
      <c r="I74" s="487">
        <v>519</v>
      </c>
      <c r="J74" s="487">
        <v>512</v>
      </c>
      <c r="K74" s="487">
        <v>4750</v>
      </c>
      <c r="L74" s="487">
        <v>762</v>
      </c>
      <c r="M74" s="487">
        <v>5101</v>
      </c>
      <c r="N74" s="487">
        <f t="shared" si="23"/>
        <v>23581</v>
      </c>
      <c r="O74" s="475" t="s">
        <v>802</v>
      </c>
    </row>
    <row r="75" spans="1:15" ht="26.4">
      <c r="A75" s="511" t="s">
        <v>115</v>
      </c>
      <c r="B75" s="487">
        <v>402</v>
      </c>
      <c r="C75" s="487">
        <v>357</v>
      </c>
      <c r="D75" s="487">
        <v>372</v>
      </c>
      <c r="E75" s="487">
        <v>505</v>
      </c>
      <c r="F75" s="487">
        <v>198</v>
      </c>
      <c r="G75" s="487">
        <v>206</v>
      </c>
      <c r="H75" s="487">
        <v>755</v>
      </c>
      <c r="I75" s="487">
        <v>154</v>
      </c>
      <c r="J75" s="487">
        <v>181</v>
      </c>
      <c r="K75" s="487">
        <v>132</v>
      </c>
      <c r="L75" s="487">
        <v>438</v>
      </c>
      <c r="M75" s="487">
        <v>174</v>
      </c>
      <c r="N75" s="487">
        <f t="shared" si="23"/>
        <v>3874</v>
      </c>
      <c r="O75" s="515" t="s">
        <v>803</v>
      </c>
    </row>
    <row r="76" spans="1:15" ht="26.4">
      <c r="A76" s="511" t="s">
        <v>804</v>
      </c>
      <c r="B76" s="487">
        <v>480</v>
      </c>
      <c r="C76" s="487">
        <v>492</v>
      </c>
      <c r="D76" s="487">
        <v>188</v>
      </c>
      <c r="E76" s="487">
        <v>117</v>
      </c>
      <c r="F76" s="487">
        <v>23</v>
      </c>
      <c r="G76" s="487">
        <v>6</v>
      </c>
      <c r="H76" s="487">
        <v>75</v>
      </c>
      <c r="I76" s="487">
        <v>31</v>
      </c>
      <c r="J76" s="487">
        <v>66</v>
      </c>
      <c r="K76" s="487">
        <v>11</v>
      </c>
      <c r="L76" s="487">
        <v>40</v>
      </c>
      <c r="M76" s="487">
        <v>17</v>
      </c>
      <c r="N76" s="487">
        <f t="shared" si="23"/>
        <v>1546</v>
      </c>
      <c r="O76" s="515" t="s">
        <v>118</v>
      </c>
    </row>
    <row r="77" spans="1:15" ht="26.4">
      <c r="A77" s="507">
        <v>2009</v>
      </c>
      <c r="B77" s="487">
        <f t="shared" ref="B77:M77" si="24">SUM(B78:B81)</f>
        <v>2190</v>
      </c>
      <c r="C77" s="487">
        <f t="shared" si="24"/>
        <v>1739</v>
      </c>
      <c r="D77" s="487">
        <f t="shared" si="24"/>
        <v>8315</v>
      </c>
      <c r="E77" s="487">
        <f t="shared" si="24"/>
        <v>6429</v>
      </c>
      <c r="F77" s="487">
        <f t="shared" si="24"/>
        <v>8536</v>
      </c>
      <c r="G77" s="487">
        <f t="shared" si="24"/>
        <v>4022</v>
      </c>
      <c r="H77" s="487">
        <f t="shared" si="24"/>
        <v>6016</v>
      </c>
      <c r="I77" s="487">
        <f t="shared" si="24"/>
        <v>7301</v>
      </c>
      <c r="J77" s="487">
        <f t="shared" si="24"/>
        <v>5741</v>
      </c>
      <c r="K77" s="487">
        <f t="shared" si="24"/>
        <v>2318</v>
      </c>
      <c r="L77" s="487">
        <f t="shared" si="24"/>
        <v>2105</v>
      </c>
      <c r="M77" s="487">
        <f t="shared" si="24"/>
        <v>2237</v>
      </c>
      <c r="N77" s="487">
        <f>SUM(N78:N81)</f>
        <v>56949</v>
      </c>
      <c r="O77" s="505">
        <v>2009</v>
      </c>
    </row>
    <row r="78" spans="1:15" ht="26.4">
      <c r="A78" s="513" t="s">
        <v>73</v>
      </c>
      <c r="B78" s="487">
        <v>332</v>
      </c>
      <c r="C78" s="487">
        <v>187</v>
      </c>
      <c r="D78" s="487">
        <v>527</v>
      </c>
      <c r="E78" s="487">
        <v>573</v>
      </c>
      <c r="F78" s="487">
        <v>722</v>
      </c>
      <c r="G78" s="487">
        <v>375</v>
      </c>
      <c r="H78" s="487">
        <v>171</v>
      </c>
      <c r="I78" s="487">
        <v>366</v>
      </c>
      <c r="J78" s="487">
        <v>567</v>
      </c>
      <c r="K78" s="487">
        <v>134</v>
      </c>
      <c r="L78" s="487">
        <v>151</v>
      </c>
      <c r="M78" s="487">
        <v>151</v>
      </c>
      <c r="N78" s="487">
        <f t="shared" ref="N78:N92" si="25">SUM(B78:M78)</f>
        <v>4256</v>
      </c>
      <c r="O78" s="471" t="s">
        <v>795</v>
      </c>
    </row>
    <row r="79" spans="1:15" ht="26.4">
      <c r="A79" s="514" t="s">
        <v>71</v>
      </c>
      <c r="B79" s="487">
        <v>314</v>
      </c>
      <c r="C79" s="487">
        <v>211</v>
      </c>
      <c r="D79" s="487">
        <v>490</v>
      </c>
      <c r="E79" s="487">
        <v>397</v>
      </c>
      <c r="F79" s="487">
        <v>1302</v>
      </c>
      <c r="G79" s="487">
        <v>239</v>
      </c>
      <c r="H79" s="487">
        <v>131</v>
      </c>
      <c r="I79" s="487">
        <v>193</v>
      </c>
      <c r="J79" s="487">
        <v>343</v>
      </c>
      <c r="K79" s="487">
        <v>130</v>
      </c>
      <c r="L79" s="487">
        <v>146</v>
      </c>
      <c r="M79" s="487">
        <v>451</v>
      </c>
      <c r="N79" s="487">
        <f t="shared" si="25"/>
        <v>4347</v>
      </c>
      <c r="O79" s="472" t="s">
        <v>824</v>
      </c>
    </row>
    <row r="80" spans="1:15" ht="26.4">
      <c r="A80" s="514" t="s">
        <v>77</v>
      </c>
      <c r="B80" s="487">
        <v>35</v>
      </c>
      <c r="C80" s="487">
        <v>26</v>
      </c>
      <c r="D80" s="487">
        <v>8</v>
      </c>
      <c r="E80" s="487">
        <v>41</v>
      </c>
      <c r="F80" s="487">
        <v>67</v>
      </c>
      <c r="G80" s="487">
        <v>28</v>
      </c>
      <c r="H80" s="487">
        <v>17</v>
      </c>
      <c r="I80" s="487">
        <v>18</v>
      </c>
      <c r="J80" s="487">
        <v>75</v>
      </c>
      <c r="K80" s="487">
        <v>6</v>
      </c>
      <c r="L80" s="487">
        <v>1</v>
      </c>
      <c r="M80" s="487">
        <v>28</v>
      </c>
      <c r="N80" s="487">
        <f t="shared" si="25"/>
        <v>350</v>
      </c>
      <c r="O80" s="478" t="s">
        <v>797</v>
      </c>
    </row>
    <row r="81" spans="1:15" ht="26.4">
      <c r="A81" s="513" t="s">
        <v>801</v>
      </c>
      <c r="B81" s="487">
        <v>1509</v>
      </c>
      <c r="C81" s="487">
        <v>1315</v>
      </c>
      <c r="D81" s="487">
        <v>7290</v>
      </c>
      <c r="E81" s="487">
        <v>5418</v>
      </c>
      <c r="F81" s="487">
        <v>6445</v>
      </c>
      <c r="G81" s="487">
        <v>3380</v>
      </c>
      <c r="H81" s="487">
        <v>5697</v>
      </c>
      <c r="I81" s="487">
        <v>6724</v>
      </c>
      <c r="J81" s="487">
        <v>4756</v>
      </c>
      <c r="K81" s="487">
        <v>2048</v>
      </c>
      <c r="L81" s="487">
        <v>1807</v>
      </c>
      <c r="M81" s="487">
        <v>1607</v>
      </c>
      <c r="N81" s="487">
        <f t="shared" si="25"/>
        <v>47996</v>
      </c>
      <c r="O81" s="471" t="s">
        <v>799</v>
      </c>
    </row>
    <row r="82" spans="1:15" ht="26.4">
      <c r="A82" s="511" t="s">
        <v>113</v>
      </c>
      <c r="B82" s="487">
        <v>1299</v>
      </c>
      <c r="C82" s="487">
        <v>1126</v>
      </c>
      <c r="D82" s="487">
        <v>6074</v>
      </c>
      <c r="E82" s="487">
        <v>4519</v>
      </c>
      <c r="F82" s="487">
        <v>4960</v>
      </c>
      <c r="G82" s="487">
        <v>2245</v>
      </c>
      <c r="H82" s="487">
        <v>5380</v>
      </c>
      <c r="I82" s="487">
        <v>6356</v>
      </c>
      <c r="J82" s="487">
        <v>4475</v>
      </c>
      <c r="K82" s="487">
        <v>1965</v>
      </c>
      <c r="L82" s="487">
        <v>1765</v>
      </c>
      <c r="M82" s="487">
        <v>1402</v>
      </c>
      <c r="N82" s="487">
        <f t="shared" si="25"/>
        <v>41566</v>
      </c>
      <c r="O82" s="475" t="s">
        <v>802</v>
      </c>
    </row>
    <row r="83" spans="1:15" ht="26.4">
      <c r="A83" s="511" t="s">
        <v>115</v>
      </c>
      <c r="B83" s="487">
        <v>198</v>
      </c>
      <c r="C83" s="487">
        <v>160</v>
      </c>
      <c r="D83" s="487">
        <v>1009</v>
      </c>
      <c r="E83" s="487">
        <v>689</v>
      </c>
      <c r="F83" s="487">
        <v>1245</v>
      </c>
      <c r="G83" s="487">
        <v>950</v>
      </c>
      <c r="H83" s="487">
        <v>269</v>
      </c>
      <c r="I83" s="487">
        <v>345</v>
      </c>
      <c r="J83" s="487">
        <v>211</v>
      </c>
      <c r="K83" s="487">
        <v>69</v>
      </c>
      <c r="L83" s="487">
        <v>40</v>
      </c>
      <c r="M83" s="487">
        <v>199</v>
      </c>
      <c r="N83" s="487">
        <f t="shared" si="25"/>
        <v>5384</v>
      </c>
      <c r="O83" s="515" t="s">
        <v>803</v>
      </c>
    </row>
    <row r="84" spans="1:15" ht="26.4">
      <c r="A84" s="511" t="s">
        <v>804</v>
      </c>
      <c r="B84" s="487">
        <v>12</v>
      </c>
      <c r="C84" s="487">
        <v>29</v>
      </c>
      <c r="D84" s="487">
        <v>207</v>
      </c>
      <c r="E84" s="487">
        <v>210</v>
      </c>
      <c r="F84" s="487">
        <v>240</v>
      </c>
      <c r="G84" s="487">
        <v>185</v>
      </c>
      <c r="H84" s="487">
        <v>48</v>
      </c>
      <c r="I84" s="487">
        <v>23</v>
      </c>
      <c r="J84" s="487">
        <v>70</v>
      </c>
      <c r="K84" s="487">
        <v>14</v>
      </c>
      <c r="L84" s="487">
        <v>2</v>
      </c>
      <c r="M84" s="487">
        <v>6</v>
      </c>
      <c r="N84" s="487">
        <f t="shared" si="25"/>
        <v>1046</v>
      </c>
      <c r="O84" s="515" t="s">
        <v>118</v>
      </c>
    </row>
    <row r="85" spans="1:15" ht="26.4">
      <c r="A85" s="507">
        <v>2010</v>
      </c>
      <c r="B85" s="487">
        <f t="shared" ref="B85:M85" si="26">SUM(B86:B89)</f>
        <v>4039</v>
      </c>
      <c r="C85" s="487">
        <f t="shared" si="26"/>
        <v>3688</v>
      </c>
      <c r="D85" s="487">
        <f t="shared" si="26"/>
        <v>4726</v>
      </c>
      <c r="E85" s="487">
        <f t="shared" si="26"/>
        <v>3641</v>
      </c>
      <c r="F85" s="487">
        <f t="shared" si="26"/>
        <v>4732</v>
      </c>
      <c r="G85" s="487">
        <f t="shared" si="26"/>
        <v>1974</v>
      </c>
      <c r="H85" s="487">
        <f t="shared" si="26"/>
        <v>3739</v>
      </c>
      <c r="I85" s="487">
        <f t="shared" si="26"/>
        <v>4451</v>
      </c>
      <c r="J85" s="487">
        <f t="shared" si="26"/>
        <v>3185</v>
      </c>
      <c r="K85" s="487">
        <f t="shared" si="26"/>
        <v>5246</v>
      </c>
      <c r="L85" s="487">
        <f t="shared" si="26"/>
        <v>971</v>
      </c>
      <c r="M85" s="487">
        <f t="shared" si="26"/>
        <v>2505</v>
      </c>
      <c r="N85" s="487">
        <f>SUM(N86:N89)</f>
        <v>42897</v>
      </c>
      <c r="O85" s="505">
        <v>2010</v>
      </c>
    </row>
    <row r="86" spans="1:15" ht="26.4">
      <c r="A86" s="513" t="s">
        <v>73</v>
      </c>
      <c r="B86" s="487">
        <v>1136</v>
      </c>
      <c r="C86" s="487">
        <v>755</v>
      </c>
      <c r="D86" s="487">
        <v>1000</v>
      </c>
      <c r="E86" s="487">
        <v>1015</v>
      </c>
      <c r="F86" s="487">
        <v>910</v>
      </c>
      <c r="G86" s="487">
        <v>1018</v>
      </c>
      <c r="H86" s="487">
        <v>320</v>
      </c>
      <c r="I86" s="487">
        <v>1036</v>
      </c>
      <c r="J86" s="487">
        <v>535</v>
      </c>
      <c r="K86" s="487">
        <v>1310</v>
      </c>
      <c r="L86" s="487">
        <v>297</v>
      </c>
      <c r="M86" s="487">
        <v>205</v>
      </c>
      <c r="N86" s="487">
        <f t="shared" si="25"/>
        <v>9537</v>
      </c>
      <c r="O86" s="471" t="s">
        <v>795</v>
      </c>
    </row>
    <row r="87" spans="1:15" ht="26.4">
      <c r="A87" s="514" t="s">
        <v>71</v>
      </c>
      <c r="B87" s="487">
        <v>317</v>
      </c>
      <c r="C87" s="487">
        <v>479</v>
      </c>
      <c r="D87" s="487">
        <v>1387</v>
      </c>
      <c r="E87" s="487">
        <v>613</v>
      </c>
      <c r="F87" s="487">
        <v>967</v>
      </c>
      <c r="G87" s="487">
        <v>456</v>
      </c>
      <c r="H87" s="487">
        <v>112</v>
      </c>
      <c r="I87" s="487">
        <v>252</v>
      </c>
      <c r="J87" s="487">
        <v>143</v>
      </c>
      <c r="K87" s="487">
        <v>191</v>
      </c>
      <c r="L87" s="487">
        <v>342</v>
      </c>
      <c r="M87" s="487">
        <v>146</v>
      </c>
      <c r="N87" s="487">
        <f t="shared" si="25"/>
        <v>5405</v>
      </c>
      <c r="O87" s="472" t="s">
        <v>824</v>
      </c>
    </row>
    <row r="88" spans="1:15" ht="26.4">
      <c r="A88" s="514" t="s">
        <v>77</v>
      </c>
      <c r="B88" s="487">
        <v>28</v>
      </c>
      <c r="C88" s="487">
        <v>66</v>
      </c>
      <c r="D88" s="487">
        <v>26</v>
      </c>
      <c r="E88" s="487">
        <v>23</v>
      </c>
      <c r="F88" s="487">
        <v>50</v>
      </c>
      <c r="G88" s="487">
        <v>17</v>
      </c>
      <c r="H88" s="487">
        <v>18</v>
      </c>
      <c r="I88" s="487">
        <v>87</v>
      </c>
      <c r="J88" s="487">
        <v>37</v>
      </c>
      <c r="K88" s="487">
        <v>56</v>
      </c>
      <c r="L88" s="487">
        <v>56</v>
      </c>
      <c r="M88" s="487">
        <v>53</v>
      </c>
      <c r="N88" s="487">
        <f t="shared" si="25"/>
        <v>517</v>
      </c>
      <c r="O88" s="478" t="s">
        <v>797</v>
      </c>
    </row>
    <row r="89" spans="1:15" ht="26.4">
      <c r="A89" s="513" t="s">
        <v>801</v>
      </c>
      <c r="B89" s="487">
        <v>2558</v>
      </c>
      <c r="C89" s="487">
        <v>2388</v>
      </c>
      <c r="D89" s="487">
        <v>2313</v>
      </c>
      <c r="E89" s="487">
        <v>1990</v>
      </c>
      <c r="F89" s="487">
        <v>2805</v>
      </c>
      <c r="G89" s="487">
        <v>483</v>
      </c>
      <c r="H89" s="487">
        <v>3289</v>
      </c>
      <c r="I89" s="487">
        <v>3076</v>
      </c>
      <c r="J89" s="487">
        <v>2470</v>
      </c>
      <c r="K89" s="487">
        <v>3689</v>
      </c>
      <c r="L89" s="487">
        <v>276</v>
      </c>
      <c r="M89" s="487">
        <v>2101</v>
      </c>
      <c r="N89" s="487">
        <f t="shared" si="25"/>
        <v>27438</v>
      </c>
      <c r="O89" s="471" t="s">
        <v>799</v>
      </c>
    </row>
    <row r="90" spans="1:15" ht="26.4">
      <c r="A90" s="511" t="s">
        <v>113</v>
      </c>
      <c r="B90" s="487">
        <v>2260</v>
      </c>
      <c r="C90" s="487">
        <v>2026</v>
      </c>
      <c r="D90" s="487">
        <v>1553</v>
      </c>
      <c r="E90" s="487">
        <v>1433</v>
      </c>
      <c r="F90" s="487">
        <v>1945</v>
      </c>
      <c r="G90" s="487">
        <v>289</v>
      </c>
      <c r="H90" s="487">
        <v>3116</v>
      </c>
      <c r="I90" s="487">
        <v>2857</v>
      </c>
      <c r="J90" s="487">
        <v>2110</v>
      </c>
      <c r="K90" s="487">
        <v>3547</v>
      </c>
      <c r="L90" s="487">
        <v>258</v>
      </c>
      <c r="M90" s="487">
        <v>2052</v>
      </c>
      <c r="N90" s="487">
        <f t="shared" si="25"/>
        <v>23446</v>
      </c>
      <c r="O90" s="475" t="s">
        <v>802</v>
      </c>
    </row>
    <row r="91" spans="1:15" ht="26.4">
      <c r="A91" s="511" t="s">
        <v>115</v>
      </c>
      <c r="B91" s="487">
        <v>241</v>
      </c>
      <c r="C91" s="487">
        <v>323</v>
      </c>
      <c r="D91" s="487">
        <v>631</v>
      </c>
      <c r="E91" s="487">
        <v>471</v>
      </c>
      <c r="F91" s="487">
        <v>767</v>
      </c>
      <c r="G91" s="487">
        <v>143</v>
      </c>
      <c r="H91" s="487">
        <v>171</v>
      </c>
      <c r="I91" s="487">
        <v>184</v>
      </c>
      <c r="J91" s="487">
        <v>334</v>
      </c>
      <c r="K91" s="487">
        <v>126</v>
      </c>
      <c r="L91" s="487">
        <v>14</v>
      </c>
      <c r="M91" s="487">
        <v>36</v>
      </c>
      <c r="N91" s="487">
        <f t="shared" si="25"/>
        <v>3441</v>
      </c>
      <c r="O91" s="515" t="s">
        <v>803</v>
      </c>
    </row>
    <row r="92" spans="1:15" ht="26.4">
      <c r="A92" s="511" t="s">
        <v>804</v>
      </c>
      <c r="B92" s="487">
        <v>57</v>
      </c>
      <c r="C92" s="487">
        <v>39</v>
      </c>
      <c r="D92" s="487">
        <v>129</v>
      </c>
      <c r="E92" s="487">
        <v>86</v>
      </c>
      <c r="F92" s="487">
        <v>93</v>
      </c>
      <c r="G92" s="487">
        <v>51</v>
      </c>
      <c r="H92" s="487">
        <v>2</v>
      </c>
      <c r="I92" s="487">
        <v>35</v>
      </c>
      <c r="J92" s="487">
        <v>26</v>
      </c>
      <c r="K92" s="487">
        <v>16</v>
      </c>
      <c r="L92" s="487">
        <v>4</v>
      </c>
      <c r="M92" s="487">
        <v>13</v>
      </c>
      <c r="N92" s="487">
        <f t="shared" si="25"/>
        <v>551</v>
      </c>
      <c r="O92" s="515" t="s">
        <v>118</v>
      </c>
    </row>
    <row r="93" spans="1:15" ht="26.4">
      <c r="A93" s="507">
        <v>2011</v>
      </c>
      <c r="B93" s="487">
        <f t="shared" ref="B93:N93" si="27">SUM(B94:B97)</f>
        <v>3091</v>
      </c>
      <c r="C93" s="487">
        <f t="shared" si="27"/>
        <v>4326</v>
      </c>
      <c r="D93" s="487">
        <f t="shared" si="27"/>
        <v>4304</v>
      </c>
      <c r="E93" s="487">
        <f t="shared" si="27"/>
        <v>3312</v>
      </c>
      <c r="F93" s="487">
        <f t="shared" si="27"/>
        <v>5379</v>
      </c>
      <c r="G93" s="487">
        <f t="shared" si="27"/>
        <v>1877</v>
      </c>
      <c r="H93" s="487">
        <f t="shared" si="27"/>
        <v>2884</v>
      </c>
      <c r="I93" s="487">
        <f t="shared" si="27"/>
        <v>4447</v>
      </c>
      <c r="J93" s="487">
        <f t="shared" si="27"/>
        <v>3721</v>
      </c>
      <c r="K93" s="487">
        <f t="shared" si="27"/>
        <v>4607</v>
      </c>
      <c r="L93" s="487">
        <f t="shared" si="27"/>
        <v>1060</v>
      </c>
      <c r="M93" s="487">
        <f t="shared" si="27"/>
        <v>3364</v>
      </c>
      <c r="N93" s="487">
        <f t="shared" si="27"/>
        <v>42372</v>
      </c>
      <c r="O93" s="505">
        <v>2011</v>
      </c>
    </row>
    <row r="94" spans="1:15" ht="26.4">
      <c r="A94" s="513" t="s">
        <v>73</v>
      </c>
      <c r="B94" s="487">
        <f>201+87</f>
        <v>288</v>
      </c>
      <c r="C94" s="487">
        <f>397+325</f>
        <v>722</v>
      </c>
      <c r="D94" s="487">
        <f>525+257</f>
        <v>782</v>
      </c>
      <c r="E94" s="487">
        <f>405+213</f>
        <v>618</v>
      </c>
      <c r="F94" s="487">
        <f>857+264</f>
        <v>1121</v>
      </c>
      <c r="G94" s="487">
        <f>473+163</f>
        <v>636</v>
      </c>
      <c r="H94" s="487">
        <f>239+90</f>
        <v>329</v>
      </c>
      <c r="I94" s="487">
        <f>938+198</f>
        <v>1136</v>
      </c>
      <c r="J94" s="487">
        <f>559+130</f>
        <v>689</v>
      </c>
      <c r="K94" s="487">
        <f>750+405</f>
        <v>1155</v>
      </c>
      <c r="L94" s="487">
        <f>322+55</f>
        <v>377</v>
      </c>
      <c r="M94" s="487">
        <f>145+7</f>
        <v>152</v>
      </c>
      <c r="N94" s="487">
        <f t="shared" ref="N94:N100" si="28">SUM(B94:M94)</f>
        <v>8005</v>
      </c>
      <c r="O94" s="471" t="s">
        <v>795</v>
      </c>
    </row>
    <row r="95" spans="1:15" ht="26.4">
      <c r="A95" s="514" t="s">
        <v>71</v>
      </c>
      <c r="B95" s="487">
        <v>471</v>
      </c>
      <c r="C95" s="487">
        <v>476</v>
      </c>
      <c r="D95" s="487">
        <v>700</v>
      </c>
      <c r="E95" s="487">
        <v>728</v>
      </c>
      <c r="F95" s="487">
        <v>1268</v>
      </c>
      <c r="G95" s="487">
        <v>659</v>
      </c>
      <c r="H95" s="487">
        <v>479</v>
      </c>
      <c r="I95" s="487">
        <v>740</v>
      </c>
      <c r="J95" s="487">
        <v>438</v>
      </c>
      <c r="K95" s="487">
        <v>481</v>
      </c>
      <c r="L95" s="487">
        <v>415</v>
      </c>
      <c r="M95" s="487">
        <v>358</v>
      </c>
      <c r="N95" s="487">
        <f t="shared" si="28"/>
        <v>7213</v>
      </c>
      <c r="O95" s="472" t="s">
        <v>824</v>
      </c>
    </row>
    <row r="96" spans="1:15" ht="26.4">
      <c r="A96" s="514" t="s">
        <v>77</v>
      </c>
      <c r="B96" s="487">
        <v>48</v>
      </c>
      <c r="C96" s="487">
        <v>85</v>
      </c>
      <c r="D96" s="487">
        <v>50</v>
      </c>
      <c r="E96" s="487">
        <v>75</v>
      </c>
      <c r="F96" s="487">
        <v>89</v>
      </c>
      <c r="G96" s="487">
        <v>79</v>
      </c>
      <c r="H96" s="487">
        <v>44</v>
      </c>
      <c r="I96" s="487">
        <v>60</v>
      </c>
      <c r="J96" s="487">
        <v>56</v>
      </c>
      <c r="K96" s="487">
        <v>73</v>
      </c>
      <c r="L96" s="487">
        <v>6</v>
      </c>
      <c r="M96" s="487">
        <v>33</v>
      </c>
      <c r="N96" s="487">
        <f t="shared" si="28"/>
        <v>698</v>
      </c>
      <c r="O96" s="478" t="s">
        <v>797</v>
      </c>
    </row>
    <row r="97" spans="1:15" ht="26.4">
      <c r="A97" s="513" t="s">
        <v>801</v>
      </c>
      <c r="B97" s="487">
        <v>2284</v>
      </c>
      <c r="C97" s="487">
        <v>3043</v>
      </c>
      <c r="D97" s="487">
        <v>2772</v>
      </c>
      <c r="E97" s="487">
        <v>1891</v>
      </c>
      <c r="F97" s="487">
        <v>2901</v>
      </c>
      <c r="G97" s="487">
        <v>503</v>
      </c>
      <c r="H97" s="487">
        <v>2032</v>
      </c>
      <c r="I97" s="487">
        <v>2511</v>
      </c>
      <c r="J97" s="487">
        <v>2538</v>
      </c>
      <c r="K97" s="487">
        <v>2898</v>
      </c>
      <c r="L97" s="487">
        <v>262</v>
      </c>
      <c r="M97" s="487">
        <v>2821</v>
      </c>
      <c r="N97" s="487">
        <f t="shared" si="28"/>
        <v>26456</v>
      </c>
      <c r="O97" s="471" t="s">
        <v>799</v>
      </c>
    </row>
    <row r="98" spans="1:15" ht="26.4">
      <c r="A98" s="511" t="s">
        <v>113</v>
      </c>
      <c r="B98" s="487">
        <v>2111</v>
      </c>
      <c r="C98" s="487">
        <v>2497</v>
      </c>
      <c r="D98" s="487">
        <v>2299</v>
      </c>
      <c r="E98" s="487">
        <v>1447</v>
      </c>
      <c r="F98" s="487">
        <v>2235</v>
      </c>
      <c r="G98" s="487">
        <v>392</v>
      </c>
      <c r="H98" s="487">
        <v>1898</v>
      </c>
      <c r="I98" s="487">
        <v>2373</v>
      </c>
      <c r="J98" s="487">
        <v>2434</v>
      </c>
      <c r="K98" s="487">
        <v>2840</v>
      </c>
      <c r="L98" s="487">
        <v>222</v>
      </c>
      <c r="M98" s="487">
        <v>2808</v>
      </c>
      <c r="N98" s="487">
        <f t="shared" si="28"/>
        <v>23556</v>
      </c>
      <c r="O98" s="475" t="s">
        <v>802</v>
      </c>
    </row>
    <row r="99" spans="1:15" ht="26.4">
      <c r="A99" s="511" t="s">
        <v>115</v>
      </c>
      <c r="B99" s="487">
        <v>88</v>
      </c>
      <c r="C99" s="487">
        <v>319</v>
      </c>
      <c r="D99" s="487">
        <v>325</v>
      </c>
      <c r="E99" s="487">
        <v>339</v>
      </c>
      <c r="F99" s="487">
        <v>608</v>
      </c>
      <c r="G99" s="487">
        <v>98</v>
      </c>
      <c r="H99" s="487">
        <v>120</v>
      </c>
      <c r="I99" s="487">
        <v>113</v>
      </c>
      <c r="J99" s="487">
        <v>97</v>
      </c>
      <c r="K99" s="487">
        <v>51</v>
      </c>
      <c r="L99" s="487">
        <v>37</v>
      </c>
      <c r="M99" s="487">
        <v>12</v>
      </c>
      <c r="N99" s="487">
        <f t="shared" si="28"/>
        <v>2207</v>
      </c>
      <c r="O99" s="515" t="s">
        <v>803</v>
      </c>
    </row>
    <row r="100" spans="1:15" ht="26.4">
      <c r="A100" s="511" t="s">
        <v>804</v>
      </c>
      <c r="B100" s="487">
        <v>85</v>
      </c>
      <c r="C100" s="487">
        <v>227</v>
      </c>
      <c r="D100" s="487">
        <v>148</v>
      </c>
      <c r="E100" s="487">
        <v>105</v>
      </c>
      <c r="F100" s="487">
        <v>58</v>
      </c>
      <c r="G100" s="487">
        <v>13</v>
      </c>
      <c r="H100" s="487">
        <v>14</v>
      </c>
      <c r="I100" s="487">
        <v>25</v>
      </c>
      <c r="J100" s="487">
        <v>7</v>
      </c>
      <c r="K100" s="487">
        <v>7</v>
      </c>
      <c r="L100" s="487">
        <v>3</v>
      </c>
      <c r="M100" s="487">
        <v>1</v>
      </c>
      <c r="N100" s="487">
        <f t="shared" si="28"/>
        <v>693</v>
      </c>
      <c r="O100" s="515" t="s">
        <v>118</v>
      </c>
    </row>
    <row r="101" spans="1:15" ht="26.4">
      <c r="A101" s="507">
        <v>2012</v>
      </c>
      <c r="B101" s="487">
        <f t="shared" ref="B101:M101" si="29">SUM(B102:B105)</f>
        <v>3399</v>
      </c>
      <c r="C101" s="487">
        <f t="shared" si="29"/>
        <v>5390</v>
      </c>
      <c r="D101" s="487">
        <f t="shared" si="29"/>
        <v>3102</v>
      </c>
      <c r="E101" s="487">
        <f t="shared" si="29"/>
        <v>3528</v>
      </c>
      <c r="F101" s="487">
        <f t="shared" si="29"/>
        <v>5856</v>
      </c>
      <c r="G101" s="487">
        <f t="shared" si="29"/>
        <v>2511</v>
      </c>
      <c r="H101" s="487">
        <f t="shared" si="29"/>
        <v>2225</v>
      </c>
      <c r="I101" s="487">
        <f t="shared" si="29"/>
        <v>8457</v>
      </c>
      <c r="J101" s="487">
        <f t="shared" si="29"/>
        <v>5524</v>
      </c>
      <c r="K101" s="487">
        <f t="shared" si="29"/>
        <v>6571</v>
      </c>
      <c r="L101" s="487">
        <f t="shared" si="29"/>
        <v>3731</v>
      </c>
      <c r="M101" s="487">
        <f t="shared" si="29"/>
        <v>2626</v>
      </c>
      <c r="N101" s="487">
        <f>SUM(N102:N105)</f>
        <v>52920</v>
      </c>
      <c r="O101" s="505">
        <v>2012</v>
      </c>
    </row>
    <row r="102" spans="1:15" ht="26.4">
      <c r="A102" s="513" t="s">
        <v>73</v>
      </c>
      <c r="B102" s="487">
        <f>367+252</f>
        <v>619</v>
      </c>
      <c r="C102" s="487">
        <f>443+334</f>
        <v>777</v>
      </c>
      <c r="D102" s="487">
        <f>377+147</f>
        <v>524</v>
      </c>
      <c r="E102" s="487">
        <f>452+415</f>
        <v>867</v>
      </c>
      <c r="F102" s="487">
        <f>779+410</f>
        <v>1189</v>
      </c>
      <c r="G102" s="487">
        <f>412+205</f>
        <v>617</v>
      </c>
      <c r="H102" s="487">
        <f>261+46</f>
        <v>307</v>
      </c>
      <c r="I102" s="487">
        <f>274+94</f>
        <v>368</v>
      </c>
      <c r="J102" s="487">
        <f>547+225</f>
        <v>772</v>
      </c>
      <c r="K102" s="487">
        <f>292+195</f>
        <v>487</v>
      </c>
      <c r="L102" s="487">
        <f>254+84</f>
        <v>338</v>
      </c>
      <c r="M102" s="487">
        <f>93+3</f>
        <v>96</v>
      </c>
      <c r="N102" s="487">
        <f t="shared" ref="N102:N108" si="30">SUM(B102:M102)</f>
        <v>6961</v>
      </c>
      <c r="O102" s="471" t="s">
        <v>795</v>
      </c>
    </row>
    <row r="103" spans="1:15" ht="26.4">
      <c r="A103" s="514" t="s">
        <v>71</v>
      </c>
      <c r="B103" s="487">
        <v>439</v>
      </c>
      <c r="C103" s="487">
        <v>663</v>
      </c>
      <c r="D103" s="487">
        <v>575</v>
      </c>
      <c r="E103" s="487">
        <v>864</v>
      </c>
      <c r="F103" s="487">
        <v>535</v>
      </c>
      <c r="G103" s="487">
        <v>458</v>
      </c>
      <c r="H103" s="487">
        <v>287</v>
      </c>
      <c r="I103" s="487">
        <v>309</v>
      </c>
      <c r="J103" s="487">
        <v>167</v>
      </c>
      <c r="K103" s="487">
        <v>216</v>
      </c>
      <c r="L103" s="487">
        <v>345</v>
      </c>
      <c r="M103" s="487">
        <v>183</v>
      </c>
      <c r="N103" s="487">
        <f t="shared" si="30"/>
        <v>5041</v>
      </c>
      <c r="O103" s="472" t="s">
        <v>824</v>
      </c>
    </row>
    <row r="104" spans="1:15" ht="26.4">
      <c r="A104" s="514" t="s">
        <v>77</v>
      </c>
      <c r="B104" s="487">
        <v>43</v>
      </c>
      <c r="C104" s="487">
        <v>41</v>
      </c>
      <c r="D104" s="487">
        <v>41</v>
      </c>
      <c r="E104" s="487">
        <v>24</v>
      </c>
      <c r="F104" s="487">
        <v>73</v>
      </c>
      <c r="G104" s="487">
        <v>60</v>
      </c>
      <c r="H104" s="487">
        <v>7</v>
      </c>
      <c r="I104" s="487">
        <v>79</v>
      </c>
      <c r="J104" s="487">
        <v>53</v>
      </c>
      <c r="K104" s="487">
        <v>92</v>
      </c>
      <c r="L104" s="487">
        <v>61</v>
      </c>
      <c r="M104" s="487">
        <v>33</v>
      </c>
      <c r="N104" s="487">
        <f t="shared" si="30"/>
        <v>607</v>
      </c>
      <c r="O104" s="478" t="s">
        <v>797</v>
      </c>
    </row>
    <row r="105" spans="1:15" ht="26.4">
      <c r="A105" s="513" t="s">
        <v>801</v>
      </c>
      <c r="B105" s="487">
        <v>2298</v>
      </c>
      <c r="C105" s="487">
        <v>3909</v>
      </c>
      <c r="D105" s="487">
        <v>1962</v>
      </c>
      <c r="E105" s="487">
        <v>1773</v>
      </c>
      <c r="F105" s="487">
        <v>4059</v>
      </c>
      <c r="G105" s="487">
        <v>1376</v>
      </c>
      <c r="H105" s="487">
        <v>1624</v>
      </c>
      <c r="I105" s="487">
        <v>7701</v>
      </c>
      <c r="J105" s="487">
        <v>4532</v>
      </c>
      <c r="K105" s="487">
        <v>5776</v>
      </c>
      <c r="L105" s="487">
        <v>2987</v>
      </c>
      <c r="M105" s="487">
        <v>2314</v>
      </c>
      <c r="N105" s="487">
        <f t="shared" si="30"/>
        <v>40311</v>
      </c>
      <c r="O105" s="471" t="s">
        <v>799</v>
      </c>
    </row>
    <row r="106" spans="1:15" ht="26.4">
      <c r="A106" s="511" t="s">
        <v>113</v>
      </c>
      <c r="B106" s="487">
        <v>2098</v>
      </c>
      <c r="C106" s="487">
        <v>3212</v>
      </c>
      <c r="D106" s="487">
        <v>1523</v>
      </c>
      <c r="E106" s="487">
        <v>1055</v>
      </c>
      <c r="F106" s="487">
        <v>3097</v>
      </c>
      <c r="G106" s="487">
        <v>866</v>
      </c>
      <c r="H106" s="487">
        <v>1475</v>
      </c>
      <c r="I106" s="487">
        <v>7423</v>
      </c>
      <c r="J106" s="487">
        <v>4254</v>
      </c>
      <c r="K106" s="487">
        <v>5224</v>
      </c>
      <c r="L106" s="487">
        <v>2856</v>
      </c>
      <c r="M106" s="487">
        <v>2298</v>
      </c>
      <c r="N106" s="487">
        <f t="shared" si="30"/>
        <v>35381</v>
      </c>
      <c r="O106" s="475" t="s">
        <v>802</v>
      </c>
    </row>
    <row r="107" spans="1:15" ht="26.4">
      <c r="A107" s="511" t="s">
        <v>115</v>
      </c>
      <c r="B107" s="487">
        <v>179</v>
      </c>
      <c r="C107" s="487">
        <v>571</v>
      </c>
      <c r="D107" s="487">
        <v>372</v>
      </c>
      <c r="E107" s="487">
        <v>611</v>
      </c>
      <c r="F107" s="487">
        <v>828</v>
      </c>
      <c r="G107" s="487">
        <v>454</v>
      </c>
      <c r="H107" s="487">
        <v>148</v>
      </c>
      <c r="I107" s="487">
        <v>179</v>
      </c>
      <c r="J107" s="487">
        <v>229</v>
      </c>
      <c r="K107" s="487">
        <v>398</v>
      </c>
      <c r="L107" s="487">
        <v>116</v>
      </c>
      <c r="M107" s="487">
        <v>9</v>
      </c>
      <c r="N107" s="487">
        <f t="shared" si="30"/>
        <v>4094</v>
      </c>
      <c r="O107" s="515" t="s">
        <v>803</v>
      </c>
    </row>
    <row r="108" spans="1:15" ht="26.4">
      <c r="A108" s="511" t="s">
        <v>804</v>
      </c>
      <c r="B108" s="487">
        <v>21</v>
      </c>
      <c r="C108" s="487">
        <v>126</v>
      </c>
      <c r="D108" s="487">
        <v>67</v>
      </c>
      <c r="E108" s="487">
        <v>107</v>
      </c>
      <c r="F108" s="487">
        <v>134</v>
      </c>
      <c r="G108" s="487">
        <v>56</v>
      </c>
      <c r="H108" s="487">
        <v>1</v>
      </c>
      <c r="I108" s="487">
        <v>99</v>
      </c>
      <c r="J108" s="487">
        <v>49</v>
      </c>
      <c r="K108" s="487">
        <v>154</v>
      </c>
      <c r="L108" s="487">
        <v>15</v>
      </c>
      <c r="M108" s="487">
        <v>7</v>
      </c>
      <c r="N108" s="487">
        <f t="shared" si="30"/>
        <v>836</v>
      </c>
      <c r="O108" s="515" t="s">
        <v>118</v>
      </c>
    </row>
    <row r="109" spans="1:15" ht="26.4">
      <c r="A109" s="507">
        <v>2013</v>
      </c>
      <c r="B109" s="487">
        <f t="shared" ref="B109:M109" si="31">SUM(B110:B113)</f>
        <v>3218</v>
      </c>
      <c r="C109" s="487">
        <f t="shared" si="31"/>
        <v>5174</v>
      </c>
      <c r="D109" s="487">
        <f t="shared" si="31"/>
        <v>5684</v>
      </c>
      <c r="E109" s="487">
        <f t="shared" si="31"/>
        <v>5533</v>
      </c>
      <c r="F109" s="487">
        <f t="shared" si="31"/>
        <v>7642</v>
      </c>
      <c r="G109" s="487">
        <f t="shared" si="31"/>
        <v>3964</v>
      </c>
      <c r="H109" s="487">
        <f t="shared" si="31"/>
        <v>5591</v>
      </c>
      <c r="I109" s="487">
        <f t="shared" si="31"/>
        <v>4523</v>
      </c>
      <c r="J109" s="487">
        <f t="shared" si="31"/>
        <v>6468</v>
      </c>
      <c r="K109" s="487">
        <f t="shared" si="31"/>
        <v>5380</v>
      </c>
      <c r="L109" s="487">
        <f t="shared" si="31"/>
        <v>1558</v>
      </c>
      <c r="M109" s="487">
        <f t="shared" si="31"/>
        <v>4700</v>
      </c>
      <c r="N109" s="487">
        <f>SUM(N110:N113)</f>
        <v>59435</v>
      </c>
      <c r="O109" s="505">
        <v>2013</v>
      </c>
    </row>
    <row r="110" spans="1:15" ht="26.4">
      <c r="A110" s="513" t="s">
        <v>73</v>
      </c>
      <c r="B110" s="487">
        <f>332+355</f>
        <v>687</v>
      </c>
      <c r="C110" s="487">
        <f>299+385</f>
        <v>684</v>
      </c>
      <c r="D110" s="487">
        <f>453+623</f>
        <v>1076</v>
      </c>
      <c r="E110" s="487">
        <f>766+1300</f>
        <v>2066</v>
      </c>
      <c r="F110" s="487">
        <f>918+390</f>
        <v>1308</v>
      </c>
      <c r="G110" s="487">
        <f>775+114</f>
        <v>889</v>
      </c>
      <c r="H110" s="487">
        <f>545+7</f>
        <v>552</v>
      </c>
      <c r="I110" s="487">
        <f>357+120</f>
        <v>477</v>
      </c>
      <c r="J110" s="487">
        <f>731+211</f>
        <v>942</v>
      </c>
      <c r="K110" s="487">
        <f>672+379</f>
        <v>1051</v>
      </c>
      <c r="L110" s="487">
        <f>177+77</f>
        <v>254</v>
      </c>
      <c r="M110" s="487">
        <f>135+42</f>
        <v>177</v>
      </c>
      <c r="N110" s="487">
        <f t="shared" ref="N110:N116" si="32">SUM(B110:M110)</f>
        <v>10163</v>
      </c>
      <c r="O110" s="471" t="s">
        <v>795</v>
      </c>
    </row>
    <row r="111" spans="1:15" ht="26.4">
      <c r="A111" s="514" t="s">
        <v>71</v>
      </c>
      <c r="B111" s="487">
        <v>529</v>
      </c>
      <c r="C111" s="487">
        <v>338</v>
      </c>
      <c r="D111" s="487">
        <v>412</v>
      </c>
      <c r="E111" s="487">
        <v>893</v>
      </c>
      <c r="F111" s="487">
        <v>1663</v>
      </c>
      <c r="G111" s="487">
        <v>722</v>
      </c>
      <c r="H111" s="487">
        <v>358</v>
      </c>
      <c r="I111" s="487">
        <v>102</v>
      </c>
      <c r="J111" s="487">
        <v>149</v>
      </c>
      <c r="K111" s="487">
        <v>205</v>
      </c>
      <c r="L111" s="487">
        <v>276</v>
      </c>
      <c r="M111" s="487">
        <v>2102</v>
      </c>
      <c r="N111" s="487">
        <f t="shared" si="32"/>
        <v>7749</v>
      </c>
      <c r="O111" s="472" t="s">
        <v>824</v>
      </c>
    </row>
    <row r="112" spans="1:15" ht="26.4">
      <c r="A112" s="514" t="s">
        <v>77</v>
      </c>
      <c r="B112" s="487">
        <v>97</v>
      </c>
      <c r="C112" s="487">
        <v>88</v>
      </c>
      <c r="D112" s="487">
        <v>54</v>
      </c>
      <c r="E112" s="487">
        <v>49</v>
      </c>
      <c r="F112" s="487">
        <v>85</v>
      </c>
      <c r="G112" s="487">
        <v>50</v>
      </c>
      <c r="H112" s="487">
        <v>90</v>
      </c>
      <c r="I112" s="487">
        <v>17</v>
      </c>
      <c r="J112" s="487">
        <v>60</v>
      </c>
      <c r="K112" s="487">
        <v>64</v>
      </c>
      <c r="L112" s="487">
        <v>82</v>
      </c>
      <c r="M112" s="487">
        <v>23</v>
      </c>
      <c r="N112" s="487">
        <f t="shared" si="32"/>
        <v>759</v>
      </c>
      <c r="O112" s="478" t="s">
        <v>797</v>
      </c>
    </row>
    <row r="113" spans="1:15" ht="26.4">
      <c r="A113" s="513" t="s">
        <v>801</v>
      </c>
      <c r="B113" s="487">
        <v>1905</v>
      </c>
      <c r="C113" s="487">
        <v>4064</v>
      </c>
      <c r="D113" s="487">
        <v>4142</v>
      </c>
      <c r="E113" s="487">
        <v>2525</v>
      </c>
      <c r="F113" s="487">
        <v>4586</v>
      </c>
      <c r="G113" s="487">
        <v>2303</v>
      </c>
      <c r="H113" s="487">
        <v>4591</v>
      </c>
      <c r="I113" s="487">
        <v>3927</v>
      </c>
      <c r="J113" s="487">
        <v>5317</v>
      </c>
      <c r="K113" s="487">
        <v>4060</v>
      </c>
      <c r="L113" s="487">
        <v>946</v>
      </c>
      <c r="M113" s="487">
        <v>2398</v>
      </c>
      <c r="N113" s="487">
        <f t="shared" si="32"/>
        <v>40764</v>
      </c>
      <c r="O113" s="471" t="s">
        <v>799</v>
      </c>
    </row>
    <row r="114" spans="1:15" ht="26.4">
      <c r="A114" s="511" t="s">
        <v>113</v>
      </c>
      <c r="B114" s="487">
        <v>1490</v>
      </c>
      <c r="C114" s="487">
        <v>3740</v>
      </c>
      <c r="D114" s="487">
        <v>2417</v>
      </c>
      <c r="E114" s="487">
        <v>1213</v>
      </c>
      <c r="F114" s="487">
        <v>3130</v>
      </c>
      <c r="G114" s="487">
        <v>1611</v>
      </c>
      <c r="H114" s="487">
        <v>4445</v>
      </c>
      <c r="I114" s="487">
        <v>3477</v>
      </c>
      <c r="J114" s="487">
        <v>4697</v>
      </c>
      <c r="K114" s="487">
        <v>3459</v>
      </c>
      <c r="L114" s="487">
        <v>794</v>
      </c>
      <c r="M114" s="487">
        <v>2259</v>
      </c>
      <c r="N114" s="487">
        <f t="shared" si="32"/>
        <v>32732</v>
      </c>
      <c r="O114" s="475" t="s">
        <v>802</v>
      </c>
    </row>
    <row r="115" spans="1:15" ht="26.4">
      <c r="A115" s="511" t="s">
        <v>115</v>
      </c>
      <c r="B115" s="487">
        <v>265</v>
      </c>
      <c r="C115" s="487">
        <v>255</v>
      </c>
      <c r="D115" s="487">
        <v>1077</v>
      </c>
      <c r="E115" s="487">
        <v>936</v>
      </c>
      <c r="F115" s="487">
        <v>1115</v>
      </c>
      <c r="G115" s="487">
        <v>590</v>
      </c>
      <c r="H115" s="487">
        <v>93</v>
      </c>
      <c r="I115" s="487">
        <v>271</v>
      </c>
      <c r="J115" s="487">
        <v>312</v>
      </c>
      <c r="K115" s="487">
        <v>364</v>
      </c>
      <c r="L115" s="487">
        <v>62</v>
      </c>
      <c r="M115" s="487">
        <v>78</v>
      </c>
      <c r="N115" s="487">
        <f t="shared" si="32"/>
        <v>5418</v>
      </c>
      <c r="O115" s="515" t="s">
        <v>803</v>
      </c>
    </row>
    <row r="116" spans="1:15" ht="26.4">
      <c r="A116" s="511" t="s">
        <v>804</v>
      </c>
      <c r="B116" s="487">
        <v>150</v>
      </c>
      <c r="C116" s="487">
        <v>69</v>
      </c>
      <c r="D116" s="487">
        <v>648</v>
      </c>
      <c r="E116" s="487">
        <v>376</v>
      </c>
      <c r="F116" s="487">
        <v>341</v>
      </c>
      <c r="G116" s="487">
        <v>102</v>
      </c>
      <c r="H116" s="487">
        <v>53</v>
      </c>
      <c r="I116" s="487">
        <v>179</v>
      </c>
      <c r="J116" s="487">
        <v>308</v>
      </c>
      <c r="K116" s="487">
        <v>237</v>
      </c>
      <c r="L116" s="487">
        <v>90</v>
      </c>
      <c r="M116" s="487">
        <v>61</v>
      </c>
      <c r="N116" s="487">
        <f t="shared" si="32"/>
        <v>2614</v>
      </c>
      <c r="O116" s="515" t="s">
        <v>118</v>
      </c>
    </row>
    <row r="117" spans="1:15" ht="26.4">
      <c r="A117" s="507">
        <v>2016</v>
      </c>
      <c r="B117" s="487">
        <f>SUM(B118:B121)+B125</f>
        <v>9342</v>
      </c>
      <c r="C117" s="487">
        <f t="shared" ref="C117:M117" si="33">SUM(C118:C121)+C125</f>
        <v>7013</v>
      </c>
      <c r="D117" s="487">
        <f t="shared" si="33"/>
        <v>8998</v>
      </c>
      <c r="E117" s="487">
        <f t="shared" si="33"/>
        <v>7975</v>
      </c>
      <c r="F117" s="487">
        <f t="shared" si="33"/>
        <v>7073</v>
      </c>
      <c r="G117" s="487">
        <f t="shared" si="33"/>
        <v>5562</v>
      </c>
      <c r="H117" s="487">
        <f t="shared" si="33"/>
        <v>7507</v>
      </c>
      <c r="I117" s="487">
        <f t="shared" si="33"/>
        <v>8313</v>
      </c>
      <c r="J117" s="487">
        <f t="shared" si="33"/>
        <v>6299</v>
      </c>
      <c r="K117" s="487">
        <f t="shared" si="33"/>
        <v>8421</v>
      </c>
      <c r="L117" s="487">
        <f t="shared" si="33"/>
        <v>7103</v>
      </c>
      <c r="M117" s="487">
        <f t="shared" si="33"/>
        <v>7243</v>
      </c>
      <c r="N117" s="487">
        <f t="shared" ref="N117:N134" si="34">SUM(B117:M117)</f>
        <v>90849</v>
      </c>
      <c r="O117" s="505">
        <v>2016</v>
      </c>
    </row>
    <row r="118" spans="1:15" ht="26.4">
      <c r="A118" s="513" t="s">
        <v>73</v>
      </c>
      <c r="B118" s="487">
        <v>976</v>
      </c>
      <c r="C118" s="487">
        <v>1891</v>
      </c>
      <c r="D118" s="487">
        <v>2455</v>
      </c>
      <c r="E118" s="487">
        <v>2203</v>
      </c>
      <c r="F118" s="487">
        <v>2533</v>
      </c>
      <c r="G118" s="487">
        <v>1831</v>
      </c>
      <c r="H118" s="487">
        <v>1076</v>
      </c>
      <c r="I118" s="487">
        <v>1559</v>
      </c>
      <c r="J118" s="487">
        <v>1538</v>
      </c>
      <c r="K118" s="487">
        <v>1419</v>
      </c>
      <c r="L118" s="487">
        <v>1180</v>
      </c>
      <c r="M118" s="487">
        <v>1227</v>
      </c>
      <c r="N118" s="487">
        <f t="shared" si="34"/>
        <v>19888</v>
      </c>
      <c r="O118" s="471" t="s">
        <v>795</v>
      </c>
    </row>
    <row r="119" spans="1:15" ht="26.4">
      <c r="A119" s="514" t="s">
        <v>71</v>
      </c>
      <c r="B119" s="487">
        <v>2514</v>
      </c>
      <c r="C119" s="487">
        <v>2824</v>
      </c>
      <c r="D119" s="487">
        <v>2839</v>
      </c>
      <c r="E119" s="487">
        <v>2480</v>
      </c>
      <c r="F119" s="487">
        <v>1968</v>
      </c>
      <c r="G119" s="487">
        <v>2893</v>
      </c>
      <c r="H119" s="487">
        <v>1618</v>
      </c>
      <c r="I119" s="487">
        <v>1227</v>
      </c>
      <c r="J119" s="487">
        <v>1127</v>
      </c>
      <c r="K119" s="487">
        <v>2284</v>
      </c>
      <c r="L119" s="487">
        <v>3881</v>
      </c>
      <c r="M119" s="487">
        <v>3225</v>
      </c>
      <c r="N119" s="487">
        <f t="shared" si="34"/>
        <v>28880</v>
      </c>
      <c r="O119" s="472" t="s">
        <v>824</v>
      </c>
    </row>
    <row r="120" spans="1:15" ht="26.4">
      <c r="A120" s="514" t="s">
        <v>77</v>
      </c>
      <c r="B120" s="487">
        <v>140</v>
      </c>
      <c r="C120" s="487">
        <v>74</v>
      </c>
      <c r="D120" s="487">
        <v>57</v>
      </c>
      <c r="E120" s="487">
        <v>148</v>
      </c>
      <c r="F120" s="487">
        <v>69</v>
      </c>
      <c r="G120" s="487">
        <v>119</v>
      </c>
      <c r="H120" s="487">
        <v>24</v>
      </c>
      <c r="I120" s="487">
        <v>38</v>
      </c>
      <c r="J120" s="487">
        <v>17</v>
      </c>
      <c r="K120" s="487">
        <v>99</v>
      </c>
      <c r="L120" s="487">
        <v>92</v>
      </c>
      <c r="M120" s="487">
        <v>38</v>
      </c>
      <c r="N120" s="487">
        <f t="shared" si="34"/>
        <v>915</v>
      </c>
      <c r="O120" s="478" t="s">
        <v>797</v>
      </c>
    </row>
    <row r="121" spans="1:15" ht="26.4">
      <c r="A121" s="513" t="s">
        <v>801</v>
      </c>
      <c r="B121" s="487">
        <v>4773</v>
      </c>
      <c r="C121" s="487">
        <v>2224</v>
      </c>
      <c r="D121" s="487">
        <v>3550</v>
      </c>
      <c r="E121" s="487">
        <v>2506</v>
      </c>
      <c r="F121" s="487">
        <v>2389</v>
      </c>
      <c r="G121" s="487">
        <v>423</v>
      </c>
      <c r="H121" s="487">
        <v>4646</v>
      </c>
      <c r="I121" s="487">
        <v>4708</v>
      </c>
      <c r="J121" s="487">
        <v>3377</v>
      </c>
      <c r="K121" s="487">
        <v>3847</v>
      </c>
      <c r="L121" s="487">
        <v>1938</v>
      </c>
      <c r="M121" s="487">
        <v>2688</v>
      </c>
      <c r="N121" s="487">
        <f t="shared" si="34"/>
        <v>37069</v>
      </c>
      <c r="O121" s="471" t="s">
        <v>799</v>
      </c>
    </row>
    <row r="122" spans="1:15" ht="26.4">
      <c r="A122" s="511" t="s">
        <v>113</v>
      </c>
      <c r="B122" s="487">
        <v>3703</v>
      </c>
      <c r="C122" s="487">
        <v>1643</v>
      </c>
      <c r="D122" s="487">
        <v>2677</v>
      </c>
      <c r="E122" s="487">
        <v>1876</v>
      </c>
      <c r="F122" s="487">
        <v>1796</v>
      </c>
      <c r="G122" s="487">
        <v>276</v>
      </c>
      <c r="H122" s="487">
        <v>4551</v>
      </c>
      <c r="I122" s="487">
        <v>3837</v>
      </c>
      <c r="J122" s="487">
        <v>3060</v>
      </c>
      <c r="K122" s="487">
        <v>3449</v>
      </c>
      <c r="L122" s="487">
        <v>1877</v>
      </c>
      <c r="M122" s="487">
        <v>2147</v>
      </c>
      <c r="N122" s="487">
        <f t="shared" si="34"/>
        <v>30892</v>
      </c>
      <c r="O122" s="475" t="s">
        <v>802</v>
      </c>
    </row>
    <row r="123" spans="1:15" ht="26.4">
      <c r="A123" s="511" t="s">
        <v>115</v>
      </c>
      <c r="B123" s="487">
        <v>320</v>
      </c>
      <c r="C123" s="487">
        <v>249</v>
      </c>
      <c r="D123" s="487">
        <v>510</v>
      </c>
      <c r="E123" s="487">
        <v>421</v>
      </c>
      <c r="F123" s="487">
        <v>432</v>
      </c>
      <c r="G123" s="487">
        <v>102</v>
      </c>
      <c r="H123" s="487">
        <v>27</v>
      </c>
      <c r="I123" s="487">
        <v>186</v>
      </c>
      <c r="J123" s="487">
        <v>62</v>
      </c>
      <c r="K123" s="487">
        <v>61</v>
      </c>
      <c r="L123" s="487">
        <v>18</v>
      </c>
      <c r="M123" s="487">
        <v>91</v>
      </c>
      <c r="N123" s="487">
        <f t="shared" si="34"/>
        <v>2479</v>
      </c>
      <c r="O123" s="515" t="s">
        <v>803</v>
      </c>
    </row>
    <row r="124" spans="1:15" ht="26.4">
      <c r="A124" s="511" t="s">
        <v>804</v>
      </c>
      <c r="B124" s="487">
        <v>750</v>
      </c>
      <c r="C124" s="487">
        <v>332</v>
      </c>
      <c r="D124" s="487">
        <v>363</v>
      </c>
      <c r="E124" s="487">
        <v>209</v>
      </c>
      <c r="F124" s="487">
        <v>161</v>
      </c>
      <c r="G124" s="487">
        <v>45</v>
      </c>
      <c r="H124" s="487">
        <v>68</v>
      </c>
      <c r="I124" s="487">
        <v>685</v>
      </c>
      <c r="J124" s="487">
        <v>255</v>
      </c>
      <c r="K124" s="487">
        <v>337</v>
      </c>
      <c r="L124" s="487">
        <v>43</v>
      </c>
      <c r="M124" s="487">
        <v>450</v>
      </c>
      <c r="N124" s="487">
        <f t="shared" si="34"/>
        <v>3698</v>
      </c>
      <c r="O124" s="515" t="s">
        <v>118</v>
      </c>
    </row>
    <row r="125" spans="1:15" ht="26.4">
      <c r="A125" s="513" t="s">
        <v>798</v>
      </c>
      <c r="B125" s="487">
        <v>939</v>
      </c>
      <c r="C125" s="487">
        <v>0</v>
      </c>
      <c r="D125" s="487">
        <v>97</v>
      </c>
      <c r="E125" s="487">
        <v>638</v>
      </c>
      <c r="F125" s="487">
        <v>114</v>
      </c>
      <c r="G125" s="487">
        <v>296</v>
      </c>
      <c r="H125" s="487">
        <v>143</v>
      </c>
      <c r="I125" s="487">
        <v>781</v>
      </c>
      <c r="J125" s="487">
        <v>240</v>
      </c>
      <c r="K125" s="487">
        <v>772</v>
      </c>
      <c r="L125" s="487">
        <v>12</v>
      </c>
      <c r="M125" s="487">
        <v>65</v>
      </c>
      <c r="N125" s="487">
        <f t="shared" si="34"/>
        <v>4097</v>
      </c>
      <c r="O125" s="515"/>
    </row>
    <row r="126" spans="1:15" ht="26.4">
      <c r="A126" s="507">
        <v>2017</v>
      </c>
      <c r="B126" s="487">
        <f>SUM(B127:B130)+B134</f>
        <v>10140</v>
      </c>
      <c r="C126" s="487">
        <f t="shared" ref="C126:M126" si="35">SUM(C127:C130)+C134</f>
        <v>9248</v>
      </c>
      <c r="D126" s="487">
        <f t="shared" si="35"/>
        <v>7807</v>
      </c>
      <c r="E126" s="487">
        <f t="shared" si="35"/>
        <v>6433</v>
      </c>
      <c r="F126" s="487">
        <f t="shared" si="35"/>
        <v>8654</v>
      </c>
      <c r="G126" s="487">
        <f t="shared" si="35"/>
        <v>4990</v>
      </c>
      <c r="H126" s="487">
        <f t="shared" si="35"/>
        <v>5990</v>
      </c>
      <c r="I126" s="487">
        <f t="shared" si="35"/>
        <v>8923</v>
      </c>
      <c r="J126" s="487">
        <f t="shared" si="35"/>
        <v>7676</v>
      </c>
      <c r="K126" s="487">
        <f t="shared" si="35"/>
        <v>9029</v>
      </c>
      <c r="L126" s="487">
        <f t="shared" si="35"/>
        <v>5389</v>
      </c>
      <c r="M126" s="487">
        <f t="shared" si="35"/>
        <v>7301.2030000000004</v>
      </c>
      <c r="N126" s="487">
        <f>SUM(B126:M126)</f>
        <v>91580.202999999994</v>
      </c>
      <c r="O126" s="505">
        <v>2017</v>
      </c>
    </row>
    <row r="127" spans="1:15" ht="26.4">
      <c r="A127" s="513" t="s">
        <v>73</v>
      </c>
      <c r="B127" s="487">
        <v>1406</v>
      </c>
      <c r="C127" s="487">
        <v>1072</v>
      </c>
      <c r="D127" s="487">
        <v>1615</v>
      </c>
      <c r="E127" s="487">
        <v>1797</v>
      </c>
      <c r="F127" s="487">
        <v>2491</v>
      </c>
      <c r="G127" s="487">
        <v>1323</v>
      </c>
      <c r="H127" s="487">
        <v>1001</v>
      </c>
      <c r="I127" s="487">
        <v>1684</v>
      </c>
      <c r="J127" s="487">
        <v>2019</v>
      </c>
      <c r="K127" s="487">
        <v>1870</v>
      </c>
      <c r="L127" s="487">
        <v>1993</v>
      </c>
      <c r="M127" s="487">
        <v>1731</v>
      </c>
      <c r="N127" s="487">
        <f t="shared" si="34"/>
        <v>20002</v>
      </c>
      <c r="O127" s="471" t="s">
        <v>795</v>
      </c>
    </row>
    <row r="128" spans="1:15" ht="26.4">
      <c r="A128" s="514" t="s">
        <v>71</v>
      </c>
      <c r="B128" s="487">
        <v>2644</v>
      </c>
      <c r="C128" s="487">
        <v>1133</v>
      </c>
      <c r="D128" s="487">
        <v>1436</v>
      </c>
      <c r="E128" s="487">
        <v>1969</v>
      </c>
      <c r="F128" s="487">
        <v>1841</v>
      </c>
      <c r="G128" s="487">
        <v>2227</v>
      </c>
      <c r="H128" s="487">
        <v>1195</v>
      </c>
      <c r="I128" s="487">
        <v>1102</v>
      </c>
      <c r="J128" s="487">
        <v>1388</v>
      </c>
      <c r="K128" s="487">
        <v>2338</v>
      </c>
      <c r="L128" s="487">
        <v>2283</v>
      </c>
      <c r="M128" s="487">
        <v>2513</v>
      </c>
      <c r="N128" s="487">
        <f t="shared" si="34"/>
        <v>22069</v>
      </c>
      <c r="O128" s="472" t="s">
        <v>824</v>
      </c>
    </row>
    <row r="129" spans="1:15" ht="26.4">
      <c r="A129" s="514" t="s">
        <v>77</v>
      </c>
      <c r="B129" s="487">
        <v>93</v>
      </c>
      <c r="C129" s="487">
        <v>22</v>
      </c>
      <c r="D129" s="487">
        <v>213</v>
      </c>
      <c r="E129" s="487">
        <v>56</v>
      </c>
      <c r="F129" s="487">
        <v>205</v>
      </c>
      <c r="G129" s="487">
        <v>48</v>
      </c>
      <c r="H129" s="487">
        <v>143</v>
      </c>
      <c r="I129" s="487">
        <v>38</v>
      </c>
      <c r="J129" s="487">
        <v>130</v>
      </c>
      <c r="K129" s="487">
        <v>14</v>
      </c>
      <c r="L129" s="487">
        <v>101</v>
      </c>
      <c r="M129" s="487">
        <v>0.20300000000000001</v>
      </c>
      <c r="N129" s="487">
        <f t="shared" si="34"/>
        <v>1063.203</v>
      </c>
      <c r="O129" s="478" t="s">
        <v>797</v>
      </c>
    </row>
    <row r="130" spans="1:15" ht="26.4">
      <c r="A130" s="513" t="s">
        <v>801</v>
      </c>
      <c r="B130" s="487">
        <v>5964</v>
      </c>
      <c r="C130" s="487">
        <v>6906</v>
      </c>
      <c r="D130" s="487">
        <v>4207</v>
      </c>
      <c r="E130" s="487">
        <v>2543</v>
      </c>
      <c r="F130" s="487">
        <v>3493</v>
      </c>
      <c r="G130" s="487">
        <v>1158</v>
      </c>
      <c r="H130" s="487">
        <v>3527</v>
      </c>
      <c r="I130" s="487">
        <v>5800</v>
      </c>
      <c r="J130" s="487">
        <v>3542</v>
      </c>
      <c r="K130" s="487">
        <v>4298</v>
      </c>
      <c r="L130" s="487">
        <v>921</v>
      </c>
      <c r="M130" s="487">
        <v>2946</v>
      </c>
      <c r="N130" s="487">
        <f t="shared" si="34"/>
        <v>45305</v>
      </c>
      <c r="O130" s="471" t="s">
        <v>799</v>
      </c>
    </row>
    <row r="131" spans="1:15" ht="26.4">
      <c r="A131" s="511" t="s">
        <v>113</v>
      </c>
      <c r="B131" s="487">
        <v>4948</v>
      </c>
      <c r="C131" s="487">
        <v>5997</v>
      </c>
      <c r="D131" s="487">
        <v>3382</v>
      </c>
      <c r="E131" s="487">
        <v>1887</v>
      </c>
      <c r="F131" s="487">
        <v>2710</v>
      </c>
      <c r="G131" s="487">
        <v>799</v>
      </c>
      <c r="H131" s="487">
        <v>3391</v>
      </c>
      <c r="I131" s="487">
        <v>4835</v>
      </c>
      <c r="J131" s="487">
        <v>3021</v>
      </c>
      <c r="K131" s="487">
        <v>3897</v>
      </c>
      <c r="L131" s="487">
        <v>881</v>
      </c>
      <c r="M131" s="487">
        <v>2801</v>
      </c>
      <c r="N131" s="487">
        <f t="shared" si="34"/>
        <v>38549</v>
      </c>
      <c r="O131" s="475" t="s">
        <v>802</v>
      </c>
    </row>
    <row r="132" spans="1:15" ht="26.4">
      <c r="A132" s="511" t="s">
        <v>115</v>
      </c>
      <c r="B132" s="487">
        <v>180</v>
      </c>
      <c r="C132" s="487">
        <v>276</v>
      </c>
      <c r="D132" s="487">
        <v>227</v>
      </c>
      <c r="E132" s="487">
        <v>306</v>
      </c>
      <c r="F132" s="487">
        <v>337</v>
      </c>
      <c r="G132" s="487">
        <v>127</v>
      </c>
      <c r="H132" s="487">
        <v>53</v>
      </c>
      <c r="I132" s="487">
        <v>217</v>
      </c>
      <c r="J132" s="487">
        <v>105</v>
      </c>
      <c r="K132" s="487">
        <v>135</v>
      </c>
      <c r="L132" s="487">
        <v>10</v>
      </c>
      <c r="M132" s="487">
        <v>105</v>
      </c>
      <c r="N132" s="487">
        <f t="shared" si="34"/>
        <v>2078</v>
      </c>
      <c r="O132" s="515" t="s">
        <v>803</v>
      </c>
    </row>
    <row r="133" spans="1:15" ht="26.4">
      <c r="A133" s="511" t="s">
        <v>804</v>
      </c>
      <c r="B133" s="487">
        <v>836</v>
      </c>
      <c r="C133" s="487">
        <v>633</v>
      </c>
      <c r="D133" s="487">
        <v>598</v>
      </c>
      <c r="E133" s="487">
        <v>350</v>
      </c>
      <c r="F133" s="487">
        <v>446</v>
      </c>
      <c r="G133" s="487">
        <v>232</v>
      </c>
      <c r="H133" s="487">
        <v>83</v>
      </c>
      <c r="I133" s="487">
        <v>748</v>
      </c>
      <c r="J133" s="487">
        <v>416</v>
      </c>
      <c r="K133" s="487">
        <v>266</v>
      </c>
      <c r="L133" s="487">
        <v>30</v>
      </c>
      <c r="M133" s="487">
        <v>40</v>
      </c>
      <c r="N133" s="487">
        <f t="shared" si="34"/>
        <v>4678</v>
      </c>
      <c r="O133" s="515" t="s">
        <v>118</v>
      </c>
    </row>
    <row r="134" spans="1:15" ht="26.4">
      <c r="A134" s="513" t="s">
        <v>798</v>
      </c>
      <c r="B134" s="487">
        <v>33</v>
      </c>
      <c r="C134" s="487">
        <v>115</v>
      </c>
      <c r="D134" s="487">
        <v>336</v>
      </c>
      <c r="E134" s="487">
        <v>68</v>
      </c>
      <c r="F134" s="487">
        <v>624</v>
      </c>
      <c r="G134" s="487">
        <v>234</v>
      </c>
      <c r="H134" s="487">
        <v>124</v>
      </c>
      <c r="I134" s="487">
        <v>299</v>
      </c>
      <c r="J134" s="487">
        <v>597</v>
      </c>
      <c r="K134" s="487">
        <v>509</v>
      </c>
      <c r="L134" s="487">
        <v>91</v>
      </c>
      <c r="M134" s="487">
        <v>111</v>
      </c>
      <c r="N134" s="487">
        <f t="shared" si="34"/>
        <v>3141</v>
      </c>
      <c r="O134" s="515" t="s">
        <v>799</v>
      </c>
    </row>
    <row r="135" spans="1:15" ht="26.4">
      <c r="A135" s="507">
        <v>2018</v>
      </c>
      <c r="B135" s="487">
        <f>SUM(B136:B139)+B143</f>
        <v>7301.02</v>
      </c>
      <c r="C135" s="487">
        <f t="shared" ref="C135:M135" si="36">SUM(C136:C139)+C143</f>
        <v>10088</v>
      </c>
      <c r="D135" s="487">
        <f t="shared" si="36"/>
        <v>9868</v>
      </c>
      <c r="E135" s="487">
        <f t="shared" si="36"/>
        <v>9210</v>
      </c>
      <c r="F135" s="487">
        <f t="shared" si="36"/>
        <v>10130</v>
      </c>
      <c r="G135" s="487">
        <f t="shared" si="36"/>
        <v>6172</v>
      </c>
      <c r="H135" s="487">
        <f t="shared" si="36"/>
        <v>10800</v>
      </c>
      <c r="I135" s="487">
        <f t="shared" si="36"/>
        <v>10456</v>
      </c>
      <c r="J135" s="487">
        <f t="shared" si="36"/>
        <v>9945</v>
      </c>
      <c r="K135" s="487">
        <f t="shared" si="36"/>
        <v>11510</v>
      </c>
      <c r="L135" s="487">
        <f t="shared" si="36"/>
        <v>8218</v>
      </c>
      <c r="M135" s="487">
        <f t="shared" si="36"/>
        <v>7427</v>
      </c>
      <c r="N135" s="487">
        <f>SUM(B135:M135)</f>
        <v>111125.02</v>
      </c>
      <c r="O135" s="505">
        <v>2018</v>
      </c>
    </row>
    <row r="136" spans="1:15" ht="26.4">
      <c r="A136" s="513" t="s">
        <v>73</v>
      </c>
      <c r="B136" s="487">
        <v>1731</v>
      </c>
      <c r="C136" s="487">
        <v>2612</v>
      </c>
      <c r="D136" s="487">
        <v>2815</v>
      </c>
      <c r="E136" s="487">
        <v>2508</v>
      </c>
      <c r="F136" s="487">
        <v>3154</v>
      </c>
      <c r="G136" s="487">
        <v>1599</v>
      </c>
      <c r="H136" s="487">
        <v>1636</v>
      </c>
      <c r="I136" s="487">
        <v>2075</v>
      </c>
      <c r="J136" s="487">
        <v>2310</v>
      </c>
      <c r="K136" s="487">
        <v>3091</v>
      </c>
      <c r="L136" s="487">
        <v>1950</v>
      </c>
      <c r="M136" s="487">
        <v>1535</v>
      </c>
      <c r="N136" s="487">
        <f t="shared" ref="N136:N143" si="37">SUM(B136:M136)</f>
        <v>27016</v>
      </c>
      <c r="O136" s="471" t="s">
        <v>795</v>
      </c>
    </row>
    <row r="137" spans="1:15" ht="26.4">
      <c r="A137" s="514" t="s">
        <v>71</v>
      </c>
      <c r="B137" s="487">
        <v>2513</v>
      </c>
      <c r="C137" s="487">
        <v>2851</v>
      </c>
      <c r="D137" s="487">
        <v>3725</v>
      </c>
      <c r="E137" s="487">
        <v>2873</v>
      </c>
      <c r="F137" s="487">
        <v>3466</v>
      </c>
      <c r="G137" s="487">
        <v>2895</v>
      </c>
      <c r="H137" s="487">
        <v>4388</v>
      </c>
      <c r="I137" s="487">
        <v>3983</v>
      </c>
      <c r="J137" s="487">
        <v>2630</v>
      </c>
      <c r="K137" s="487">
        <v>4153</v>
      </c>
      <c r="L137" s="487">
        <v>4861</v>
      </c>
      <c r="M137" s="487">
        <v>4439</v>
      </c>
      <c r="N137" s="487">
        <f t="shared" si="37"/>
        <v>42777</v>
      </c>
      <c r="O137" s="472" t="s">
        <v>824</v>
      </c>
    </row>
    <row r="138" spans="1:15" ht="26.4">
      <c r="A138" s="514" t="s">
        <v>77</v>
      </c>
      <c r="B138" s="487">
        <v>0.02</v>
      </c>
      <c r="C138" s="487">
        <v>22</v>
      </c>
      <c r="D138" s="487">
        <v>70</v>
      </c>
      <c r="E138" s="487">
        <v>74</v>
      </c>
      <c r="F138" s="487">
        <v>111</v>
      </c>
      <c r="G138" s="487">
        <v>40</v>
      </c>
      <c r="H138" s="487">
        <v>95</v>
      </c>
      <c r="I138" s="487">
        <v>51</v>
      </c>
      <c r="J138" s="487">
        <v>48</v>
      </c>
      <c r="K138" s="487">
        <v>69</v>
      </c>
      <c r="L138" s="487">
        <v>55</v>
      </c>
      <c r="M138" s="487">
        <v>45</v>
      </c>
      <c r="N138" s="487">
        <f t="shared" si="37"/>
        <v>680.02</v>
      </c>
      <c r="O138" s="478" t="s">
        <v>797</v>
      </c>
    </row>
    <row r="139" spans="1:15" ht="26.4">
      <c r="A139" s="513" t="s">
        <v>801</v>
      </c>
      <c r="B139" s="487">
        <v>2946</v>
      </c>
      <c r="C139" s="487">
        <v>4301</v>
      </c>
      <c r="D139" s="487">
        <v>3048</v>
      </c>
      <c r="E139" s="487">
        <v>3245</v>
      </c>
      <c r="F139" s="487">
        <v>2795</v>
      </c>
      <c r="G139" s="487">
        <v>878</v>
      </c>
      <c r="H139" s="487">
        <v>4144</v>
      </c>
      <c r="I139" s="487">
        <v>3730</v>
      </c>
      <c r="J139" s="487">
        <v>4118</v>
      </c>
      <c r="K139" s="487">
        <v>3360</v>
      </c>
      <c r="L139" s="487">
        <v>999</v>
      </c>
      <c r="M139" s="487">
        <v>1255</v>
      </c>
      <c r="N139" s="487">
        <f t="shared" si="37"/>
        <v>34819</v>
      </c>
      <c r="O139" s="471" t="s">
        <v>799</v>
      </c>
    </row>
    <row r="140" spans="1:15" ht="26.4">
      <c r="A140" s="511" t="s">
        <v>113</v>
      </c>
      <c r="B140" s="487">
        <v>2801</v>
      </c>
      <c r="C140" s="487">
        <v>3345</v>
      </c>
      <c r="D140" s="487">
        <v>2579</v>
      </c>
      <c r="E140" s="487">
        <v>2476</v>
      </c>
      <c r="F140" s="487">
        <v>2176</v>
      </c>
      <c r="G140" s="487">
        <v>662</v>
      </c>
      <c r="H140" s="487">
        <v>4059</v>
      </c>
      <c r="I140" s="487">
        <v>3318</v>
      </c>
      <c r="J140" s="487">
        <v>3778</v>
      </c>
      <c r="K140" s="487">
        <v>2858</v>
      </c>
      <c r="L140" s="487">
        <v>876</v>
      </c>
      <c r="M140" s="487">
        <v>1046</v>
      </c>
      <c r="N140" s="487">
        <f t="shared" si="37"/>
        <v>29974</v>
      </c>
      <c r="O140" s="475" t="s">
        <v>802</v>
      </c>
    </row>
    <row r="141" spans="1:15" ht="26.4">
      <c r="A141" s="511" t="s">
        <v>115</v>
      </c>
      <c r="B141" s="487">
        <v>105</v>
      </c>
      <c r="C141" s="487">
        <v>472</v>
      </c>
      <c r="D141" s="487">
        <v>211</v>
      </c>
      <c r="E141" s="487">
        <v>373</v>
      </c>
      <c r="F141" s="487">
        <v>367</v>
      </c>
      <c r="G141" s="487">
        <v>160</v>
      </c>
      <c r="H141" s="487">
        <v>30</v>
      </c>
      <c r="I141" s="487">
        <v>106</v>
      </c>
      <c r="J141" s="487">
        <v>105</v>
      </c>
      <c r="K141" s="487">
        <v>159</v>
      </c>
      <c r="L141" s="487">
        <v>29</v>
      </c>
      <c r="M141" s="487">
        <v>13</v>
      </c>
      <c r="N141" s="487">
        <f t="shared" si="37"/>
        <v>2130</v>
      </c>
      <c r="O141" s="515" t="s">
        <v>803</v>
      </c>
    </row>
    <row r="142" spans="1:15" ht="26.4">
      <c r="A142" s="511" t="s">
        <v>804</v>
      </c>
      <c r="B142" s="487">
        <v>40</v>
      </c>
      <c r="C142" s="487">
        <v>484</v>
      </c>
      <c r="D142" s="487">
        <v>258</v>
      </c>
      <c r="E142" s="487">
        <v>396</v>
      </c>
      <c r="F142" s="487">
        <v>252</v>
      </c>
      <c r="G142" s="487">
        <v>56</v>
      </c>
      <c r="H142" s="487">
        <v>55</v>
      </c>
      <c r="I142" s="487">
        <v>306</v>
      </c>
      <c r="J142" s="487">
        <v>235</v>
      </c>
      <c r="K142" s="487">
        <v>343</v>
      </c>
      <c r="L142" s="487">
        <v>94</v>
      </c>
      <c r="M142" s="487">
        <v>196</v>
      </c>
      <c r="N142" s="487">
        <f t="shared" si="37"/>
        <v>2715</v>
      </c>
      <c r="O142" s="515" t="s">
        <v>118</v>
      </c>
    </row>
    <row r="143" spans="1:15" ht="26.4">
      <c r="A143" s="513" t="s">
        <v>798</v>
      </c>
      <c r="B143" s="487">
        <v>111</v>
      </c>
      <c r="C143" s="487">
        <v>302</v>
      </c>
      <c r="D143" s="487">
        <v>210</v>
      </c>
      <c r="E143" s="487">
        <v>510</v>
      </c>
      <c r="F143" s="487">
        <v>604</v>
      </c>
      <c r="G143" s="487">
        <v>760</v>
      </c>
      <c r="H143" s="487">
        <v>537</v>
      </c>
      <c r="I143" s="487">
        <v>617</v>
      </c>
      <c r="J143" s="487">
        <v>839</v>
      </c>
      <c r="K143" s="487">
        <v>837</v>
      </c>
      <c r="L143" s="487">
        <v>353</v>
      </c>
      <c r="M143" s="487">
        <v>153</v>
      </c>
      <c r="N143" s="487">
        <f t="shared" si="37"/>
        <v>5833</v>
      </c>
      <c r="O143" s="515" t="s">
        <v>799</v>
      </c>
    </row>
    <row r="144" spans="1:15" ht="26.4">
      <c r="A144" s="507">
        <v>2019</v>
      </c>
      <c r="B144" s="487">
        <f>SUM(B145:B148)+B152</f>
        <v>7600</v>
      </c>
      <c r="C144" s="487">
        <f t="shared" ref="C144:M144" si="38">SUM(C145:C148)+C152</f>
        <v>9871</v>
      </c>
      <c r="D144" s="487">
        <f t="shared" si="38"/>
        <v>9861</v>
      </c>
      <c r="E144" s="487">
        <f t="shared" si="38"/>
        <v>12615</v>
      </c>
      <c r="F144" s="487">
        <f t="shared" si="38"/>
        <v>12643</v>
      </c>
      <c r="G144" s="487">
        <f t="shared" si="38"/>
        <v>7901</v>
      </c>
      <c r="H144" s="487">
        <f t="shared" si="38"/>
        <v>9715</v>
      </c>
      <c r="I144" s="487">
        <f t="shared" si="38"/>
        <v>6448</v>
      </c>
      <c r="J144" s="487">
        <f t="shared" si="38"/>
        <v>10466</v>
      </c>
      <c r="K144" s="487">
        <f t="shared" si="38"/>
        <v>12228</v>
      </c>
      <c r="L144" s="487">
        <f t="shared" si="38"/>
        <v>11509</v>
      </c>
      <c r="M144" s="487">
        <f t="shared" si="38"/>
        <v>11985</v>
      </c>
      <c r="N144" s="487">
        <f>SUM(B144:M144)</f>
        <v>122842</v>
      </c>
      <c r="O144" s="505">
        <v>2019</v>
      </c>
    </row>
    <row r="145" spans="1:15" ht="26.4">
      <c r="A145" s="513" t="s">
        <v>73</v>
      </c>
      <c r="B145" s="487">
        <v>1713</v>
      </c>
      <c r="C145" s="487">
        <v>1519</v>
      </c>
      <c r="D145" s="487">
        <v>1677</v>
      </c>
      <c r="E145" s="487">
        <v>2080</v>
      </c>
      <c r="F145" s="487">
        <v>2632</v>
      </c>
      <c r="G145" s="487">
        <v>2010</v>
      </c>
      <c r="H145" s="487">
        <v>1808</v>
      </c>
      <c r="I145" s="487">
        <v>1294</v>
      </c>
      <c r="J145" s="487">
        <v>1353</v>
      </c>
      <c r="K145" s="487">
        <v>1773</v>
      </c>
      <c r="L145" s="487">
        <v>1753</v>
      </c>
      <c r="M145" s="487">
        <v>1155</v>
      </c>
      <c r="N145" s="487">
        <f t="shared" ref="N145:N152" si="39">SUM(B145:M145)</f>
        <v>20767</v>
      </c>
      <c r="O145" s="471" t="s">
        <v>795</v>
      </c>
    </row>
    <row r="146" spans="1:15" ht="26.4">
      <c r="A146" s="514" t="s">
        <v>71</v>
      </c>
      <c r="B146" s="487">
        <v>3190</v>
      </c>
      <c r="C146" s="487">
        <v>3001</v>
      </c>
      <c r="D146" s="487">
        <v>3953</v>
      </c>
      <c r="E146" s="487">
        <v>3483</v>
      </c>
      <c r="F146" s="487">
        <v>3032</v>
      </c>
      <c r="G146" s="487">
        <v>3258</v>
      </c>
      <c r="H146" s="487">
        <v>3432</v>
      </c>
      <c r="I146" s="487">
        <v>1676</v>
      </c>
      <c r="J146" s="487">
        <v>2451</v>
      </c>
      <c r="K146" s="487">
        <v>3944</v>
      </c>
      <c r="L146" s="487">
        <v>4452</v>
      </c>
      <c r="M146" s="487">
        <v>4130</v>
      </c>
      <c r="N146" s="487">
        <f t="shared" si="39"/>
        <v>40002</v>
      </c>
      <c r="O146" s="472" t="s">
        <v>824</v>
      </c>
    </row>
    <row r="147" spans="1:15" ht="26.4">
      <c r="A147" s="514" t="s">
        <v>77</v>
      </c>
      <c r="B147" s="487">
        <v>106</v>
      </c>
      <c r="C147" s="487">
        <v>71</v>
      </c>
      <c r="D147" s="487">
        <v>120</v>
      </c>
      <c r="E147" s="487">
        <v>58</v>
      </c>
      <c r="F147" s="487">
        <v>190</v>
      </c>
      <c r="G147" s="487">
        <v>56</v>
      </c>
      <c r="H147" s="487">
        <v>115</v>
      </c>
      <c r="I147" s="487">
        <v>80</v>
      </c>
      <c r="J147" s="487">
        <v>49</v>
      </c>
      <c r="K147" s="487">
        <v>59</v>
      </c>
      <c r="L147" s="487">
        <v>134</v>
      </c>
      <c r="M147" s="487">
        <v>119</v>
      </c>
      <c r="N147" s="487">
        <f t="shared" si="39"/>
        <v>1157</v>
      </c>
      <c r="O147" s="478" t="s">
        <v>797</v>
      </c>
    </row>
    <row r="148" spans="1:15" ht="26.4">
      <c r="A148" s="513" t="s">
        <v>801</v>
      </c>
      <c r="B148" s="487">
        <f>B149+B150+B151</f>
        <v>2419</v>
      </c>
      <c r="C148" s="487">
        <f t="shared" ref="C148:M148" si="40">C149+C150+C151</f>
        <v>4761</v>
      </c>
      <c r="D148" s="487">
        <f t="shared" si="40"/>
        <v>3534</v>
      </c>
      <c r="E148" s="487">
        <f t="shared" si="40"/>
        <v>6236</v>
      </c>
      <c r="F148" s="487">
        <f t="shared" si="40"/>
        <v>5541</v>
      </c>
      <c r="G148" s="487">
        <f t="shared" si="40"/>
        <v>1303</v>
      </c>
      <c r="H148" s="487">
        <f t="shared" si="40"/>
        <v>3542</v>
      </c>
      <c r="I148" s="487">
        <f t="shared" si="40"/>
        <v>2775</v>
      </c>
      <c r="J148" s="487">
        <f t="shared" si="40"/>
        <v>5938</v>
      </c>
      <c r="K148" s="487">
        <f t="shared" si="40"/>
        <v>5830</v>
      </c>
      <c r="L148" s="487">
        <f t="shared" si="40"/>
        <v>4662</v>
      </c>
      <c r="M148" s="487">
        <f t="shared" si="40"/>
        <v>6423</v>
      </c>
      <c r="N148" s="487">
        <f t="shared" si="39"/>
        <v>52964</v>
      </c>
      <c r="O148" s="471" t="s">
        <v>799</v>
      </c>
    </row>
    <row r="149" spans="1:15" ht="26.4">
      <c r="A149" s="511" t="s">
        <v>113</v>
      </c>
      <c r="B149" s="487">
        <v>1789</v>
      </c>
      <c r="C149" s="487">
        <v>3763</v>
      </c>
      <c r="D149" s="487">
        <v>2011</v>
      </c>
      <c r="E149" s="487">
        <v>4549</v>
      </c>
      <c r="F149" s="487">
        <v>4439</v>
      </c>
      <c r="G149" s="487">
        <v>1043</v>
      </c>
      <c r="H149" s="487">
        <v>2304</v>
      </c>
      <c r="I149" s="487">
        <v>2385</v>
      </c>
      <c r="J149" s="487">
        <v>5208</v>
      </c>
      <c r="K149" s="487">
        <v>3655</v>
      </c>
      <c r="L149" s="487">
        <v>2422</v>
      </c>
      <c r="M149" s="487">
        <v>5258</v>
      </c>
      <c r="N149" s="487">
        <f t="shared" si="39"/>
        <v>38826</v>
      </c>
      <c r="O149" s="475" t="s">
        <v>802</v>
      </c>
    </row>
    <row r="150" spans="1:15" ht="26.4">
      <c r="A150" s="511" t="s">
        <v>115</v>
      </c>
      <c r="B150" s="487">
        <v>57</v>
      </c>
      <c r="C150" s="487">
        <v>134</v>
      </c>
      <c r="D150" s="487">
        <v>531</v>
      </c>
      <c r="E150" s="487">
        <v>513</v>
      </c>
      <c r="F150" s="487">
        <v>300</v>
      </c>
      <c r="G150" s="487">
        <v>68</v>
      </c>
      <c r="H150" s="487">
        <v>753</v>
      </c>
      <c r="I150" s="487">
        <v>193</v>
      </c>
      <c r="J150" s="487">
        <v>162</v>
      </c>
      <c r="K150" s="487">
        <v>294</v>
      </c>
      <c r="L150" s="487">
        <v>703</v>
      </c>
      <c r="M150" s="487">
        <v>270</v>
      </c>
      <c r="N150" s="487">
        <f t="shared" si="39"/>
        <v>3978</v>
      </c>
      <c r="O150" s="515" t="s">
        <v>803</v>
      </c>
    </row>
    <row r="151" spans="1:15" ht="26.4">
      <c r="A151" s="511" t="s">
        <v>804</v>
      </c>
      <c r="B151" s="487">
        <v>573</v>
      </c>
      <c r="C151" s="487">
        <v>864</v>
      </c>
      <c r="D151" s="487">
        <v>992</v>
      </c>
      <c r="E151" s="487">
        <v>1174</v>
      </c>
      <c r="F151" s="487">
        <v>802</v>
      </c>
      <c r="G151" s="487">
        <v>192</v>
      </c>
      <c r="H151" s="487">
        <v>485</v>
      </c>
      <c r="I151" s="487">
        <v>197</v>
      </c>
      <c r="J151" s="487">
        <v>568</v>
      </c>
      <c r="K151" s="487">
        <v>1881</v>
      </c>
      <c r="L151" s="487">
        <v>1537</v>
      </c>
      <c r="M151" s="487">
        <v>895</v>
      </c>
      <c r="N151" s="487">
        <f t="shared" si="39"/>
        <v>10160</v>
      </c>
      <c r="O151" s="515" t="s">
        <v>118</v>
      </c>
    </row>
    <row r="152" spans="1:15" ht="26.4">
      <c r="A152" s="511" t="s">
        <v>798</v>
      </c>
      <c r="B152" s="487">
        <v>172</v>
      </c>
      <c r="C152" s="487">
        <v>519</v>
      </c>
      <c r="D152" s="487">
        <v>577</v>
      </c>
      <c r="E152" s="487">
        <v>758</v>
      </c>
      <c r="F152" s="487">
        <v>1248</v>
      </c>
      <c r="G152" s="487">
        <v>1274</v>
      </c>
      <c r="H152" s="487">
        <v>818</v>
      </c>
      <c r="I152" s="487">
        <v>623</v>
      </c>
      <c r="J152" s="487">
        <v>675</v>
      </c>
      <c r="K152" s="487">
        <v>622</v>
      </c>
      <c r="L152" s="487">
        <v>508</v>
      </c>
      <c r="M152" s="487">
        <v>158</v>
      </c>
      <c r="N152" s="487">
        <f t="shared" si="39"/>
        <v>7952</v>
      </c>
      <c r="O152" s="515" t="s">
        <v>799</v>
      </c>
    </row>
    <row r="153" spans="1:15" ht="26.4">
      <c r="A153" s="507">
        <v>2020</v>
      </c>
      <c r="B153" s="487">
        <f>SUM(B154:B157)+B161</f>
        <v>11012</v>
      </c>
      <c r="C153" s="487">
        <f t="shared" ref="C153:M153" si="41">SUM(C154:C157)+C161</f>
        <v>10873</v>
      </c>
      <c r="D153" s="487">
        <f t="shared" si="41"/>
        <v>10830</v>
      </c>
      <c r="E153" s="487">
        <f t="shared" si="41"/>
        <v>7247</v>
      </c>
      <c r="F153" s="487">
        <f t="shared" si="41"/>
        <v>9324</v>
      </c>
      <c r="G153" s="487">
        <f t="shared" si="41"/>
        <v>12281</v>
      </c>
      <c r="H153" s="487">
        <f t="shared" si="41"/>
        <v>12033</v>
      </c>
      <c r="I153" s="487">
        <f t="shared" si="41"/>
        <v>10386</v>
      </c>
      <c r="J153" s="487">
        <f t="shared" si="41"/>
        <v>9600</v>
      </c>
      <c r="K153" s="487">
        <f t="shared" si="41"/>
        <v>11733</v>
      </c>
      <c r="L153" s="487">
        <f t="shared" si="41"/>
        <v>18212</v>
      </c>
      <c r="M153" s="487">
        <f t="shared" si="41"/>
        <v>13356</v>
      </c>
      <c r="N153" s="487">
        <f>SUM(B153:M153)</f>
        <v>136887</v>
      </c>
      <c r="O153" s="505">
        <v>2020</v>
      </c>
    </row>
    <row r="154" spans="1:15" ht="26.4">
      <c r="A154" s="513" t="s">
        <v>73</v>
      </c>
      <c r="B154" s="487">
        <v>1566</v>
      </c>
      <c r="C154" s="487">
        <v>1623</v>
      </c>
      <c r="D154" s="487">
        <v>2152</v>
      </c>
      <c r="E154" s="487">
        <v>1459</v>
      </c>
      <c r="F154" s="487">
        <v>2796</v>
      </c>
      <c r="G154" s="487">
        <v>2488</v>
      </c>
      <c r="H154" s="487">
        <v>1513</v>
      </c>
      <c r="I154" s="487">
        <v>1141</v>
      </c>
      <c r="J154" s="487">
        <v>1507</v>
      </c>
      <c r="K154" s="487">
        <v>1759</v>
      </c>
      <c r="L154" s="487">
        <v>1483</v>
      </c>
      <c r="M154" s="487">
        <v>1690</v>
      </c>
      <c r="N154" s="487">
        <f t="shared" ref="N154:N161" si="42">SUM(B154:M154)</f>
        <v>21177</v>
      </c>
      <c r="O154" s="471" t="s">
        <v>795</v>
      </c>
    </row>
    <row r="155" spans="1:15" ht="26.4">
      <c r="A155" s="514" t="s">
        <v>71</v>
      </c>
      <c r="B155" s="487">
        <v>4412</v>
      </c>
      <c r="C155" s="487">
        <v>4429</v>
      </c>
      <c r="D155" s="487">
        <v>4695</v>
      </c>
      <c r="E155" s="487">
        <v>3940</v>
      </c>
      <c r="F155" s="487">
        <v>4346</v>
      </c>
      <c r="G155" s="487">
        <v>4739</v>
      </c>
      <c r="H155" s="487">
        <v>7493</v>
      </c>
      <c r="I155" s="487">
        <v>4108</v>
      </c>
      <c r="J155" s="487">
        <v>3182</v>
      </c>
      <c r="K155" s="487">
        <v>4348</v>
      </c>
      <c r="L155" s="487">
        <v>14399</v>
      </c>
      <c r="M155" s="487">
        <v>9628</v>
      </c>
      <c r="N155" s="487">
        <f t="shared" si="42"/>
        <v>69719</v>
      </c>
      <c r="O155" s="472" t="s">
        <v>824</v>
      </c>
    </row>
    <row r="156" spans="1:15" ht="26.4">
      <c r="A156" s="514" t="s">
        <v>77</v>
      </c>
      <c r="B156" s="487">
        <v>14</v>
      </c>
      <c r="C156" s="487">
        <v>123</v>
      </c>
      <c r="D156" s="487">
        <v>33</v>
      </c>
      <c r="E156" s="487">
        <v>44</v>
      </c>
      <c r="F156" s="487">
        <v>43</v>
      </c>
      <c r="G156" s="487">
        <v>33</v>
      </c>
      <c r="H156" s="487">
        <v>97</v>
      </c>
      <c r="I156" s="487">
        <v>55</v>
      </c>
      <c r="J156" s="487">
        <v>109</v>
      </c>
      <c r="K156" s="487">
        <v>34</v>
      </c>
      <c r="L156" s="487">
        <v>88</v>
      </c>
      <c r="M156" s="487">
        <v>46</v>
      </c>
      <c r="N156" s="487">
        <f t="shared" si="42"/>
        <v>719</v>
      </c>
      <c r="O156" s="478" t="s">
        <v>797</v>
      </c>
    </row>
    <row r="157" spans="1:15" ht="26.4">
      <c r="A157" s="513" t="s">
        <v>801</v>
      </c>
      <c r="B157" s="487">
        <v>4846</v>
      </c>
      <c r="C157" s="487">
        <v>4428</v>
      </c>
      <c r="D157" s="487">
        <v>3495</v>
      </c>
      <c r="E157" s="487">
        <v>1381</v>
      </c>
      <c r="F157" s="487">
        <v>1616</v>
      </c>
      <c r="G157" s="487">
        <v>3922</v>
      </c>
      <c r="H157" s="487">
        <v>2497</v>
      </c>
      <c r="I157" s="487">
        <v>4921</v>
      </c>
      <c r="J157" s="487">
        <v>4416</v>
      </c>
      <c r="K157" s="487">
        <v>5327</v>
      </c>
      <c r="L157" s="487">
        <v>1825</v>
      </c>
      <c r="M157" s="487">
        <v>1900</v>
      </c>
      <c r="N157" s="487">
        <f t="shared" si="42"/>
        <v>40574</v>
      </c>
      <c r="O157" s="471" t="s">
        <v>799</v>
      </c>
    </row>
    <row r="158" spans="1:15" ht="26.4">
      <c r="A158" s="511" t="s">
        <v>113</v>
      </c>
      <c r="B158" s="487">
        <v>3722</v>
      </c>
      <c r="C158" s="487">
        <v>2774</v>
      </c>
      <c r="D158" s="487">
        <v>2797</v>
      </c>
      <c r="E158" s="487">
        <v>852</v>
      </c>
      <c r="F158" s="487">
        <v>728</v>
      </c>
      <c r="G158" s="487">
        <v>3195</v>
      </c>
      <c r="H158" s="487">
        <v>2015</v>
      </c>
      <c r="I158" s="487">
        <v>4583</v>
      </c>
      <c r="J158" s="487">
        <v>4008</v>
      </c>
      <c r="K158" s="487">
        <v>4186</v>
      </c>
      <c r="L158" s="487">
        <v>853</v>
      </c>
      <c r="M158" s="487">
        <v>1451</v>
      </c>
      <c r="N158" s="487">
        <f t="shared" si="42"/>
        <v>31164</v>
      </c>
      <c r="O158" s="475" t="s">
        <v>802</v>
      </c>
    </row>
    <row r="159" spans="1:15" ht="26.4">
      <c r="A159" s="511" t="s">
        <v>115</v>
      </c>
      <c r="B159" s="487">
        <v>158</v>
      </c>
      <c r="C159" s="487">
        <v>760</v>
      </c>
      <c r="D159" s="487">
        <v>235</v>
      </c>
      <c r="E159" s="487">
        <v>409</v>
      </c>
      <c r="F159" s="487">
        <v>751</v>
      </c>
      <c r="G159" s="487">
        <v>537</v>
      </c>
      <c r="H159" s="487">
        <v>280</v>
      </c>
      <c r="I159" s="487">
        <v>128</v>
      </c>
      <c r="J159" s="487">
        <v>109</v>
      </c>
      <c r="K159" s="487">
        <v>429</v>
      </c>
      <c r="L159" s="487">
        <v>719</v>
      </c>
      <c r="M159" s="487">
        <v>201</v>
      </c>
      <c r="N159" s="487">
        <f t="shared" si="42"/>
        <v>4716</v>
      </c>
      <c r="O159" s="515" t="s">
        <v>803</v>
      </c>
    </row>
    <row r="160" spans="1:15" ht="26.4">
      <c r="A160" s="511" t="s">
        <v>804</v>
      </c>
      <c r="B160" s="487">
        <v>3012.6582278481014</v>
      </c>
      <c r="C160" s="487">
        <v>2959.2105263157891</v>
      </c>
      <c r="D160" s="487">
        <v>2859.5744680851067</v>
      </c>
      <c r="E160" s="487">
        <v>2941.3202933985331</v>
      </c>
      <c r="F160" s="487">
        <v>2936.0852197070571</v>
      </c>
      <c r="G160" s="487">
        <v>3027.9329608938547</v>
      </c>
      <c r="H160" s="487">
        <v>3146.4285714285716</v>
      </c>
      <c r="I160" s="487">
        <v>3500</v>
      </c>
      <c r="J160" s="487">
        <v>3385.3211009174311</v>
      </c>
      <c r="K160" s="487">
        <v>3053.6130536130536</v>
      </c>
      <c r="L160" s="487">
        <v>2692.6286509040333</v>
      </c>
      <c r="M160" s="487">
        <v>2935.3233830845775</v>
      </c>
      <c r="N160" s="487">
        <f t="shared" si="42"/>
        <v>36450.096456196108</v>
      </c>
      <c r="O160" s="515" t="s">
        <v>118</v>
      </c>
    </row>
    <row r="161" spans="1:15" ht="26.4">
      <c r="A161" s="511" t="s">
        <v>798</v>
      </c>
      <c r="B161" s="487">
        <v>174</v>
      </c>
      <c r="C161" s="487">
        <v>270</v>
      </c>
      <c r="D161" s="487">
        <v>455</v>
      </c>
      <c r="E161" s="487">
        <v>423</v>
      </c>
      <c r="F161" s="487">
        <v>523</v>
      </c>
      <c r="G161" s="487">
        <v>1099</v>
      </c>
      <c r="H161" s="487">
        <v>433</v>
      </c>
      <c r="I161" s="487">
        <v>161</v>
      </c>
      <c r="J161" s="487">
        <v>386</v>
      </c>
      <c r="K161" s="487">
        <v>265</v>
      </c>
      <c r="L161" s="487">
        <v>417</v>
      </c>
      <c r="M161" s="487">
        <v>92</v>
      </c>
      <c r="N161" s="487">
        <f t="shared" si="42"/>
        <v>4698</v>
      </c>
      <c r="O161" s="515" t="s">
        <v>799</v>
      </c>
    </row>
    <row r="162" spans="1:15" ht="26.4">
      <c r="A162" s="511">
        <v>2021</v>
      </c>
      <c r="B162" s="487"/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511">
        <v>2021</v>
      </c>
    </row>
    <row r="163" spans="1:15" ht="26.4">
      <c r="A163" s="513" t="s">
        <v>73</v>
      </c>
      <c r="B163" s="487">
        <v>2036</v>
      </c>
      <c r="C163" s="487">
        <v>2521</v>
      </c>
      <c r="D163" s="487">
        <v>2898</v>
      </c>
      <c r="E163" s="487">
        <v>2701</v>
      </c>
      <c r="F163" s="487">
        <v>2391</v>
      </c>
      <c r="G163" s="487">
        <v>2336</v>
      </c>
      <c r="H163" s="487">
        <v>1262</v>
      </c>
      <c r="I163" s="487">
        <v>2188</v>
      </c>
      <c r="J163" s="487">
        <v>2801</v>
      </c>
      <c r="K163" s="487">
        <v>2459</v>
      </c>
      <c r="L163" s="487">
        <v>2051</v>
      </c>
      <c r="M163" s="487">
        <v>1743</v>
      </c>
      <c r="N163" s="487">
        <v>27393</v>
      </c>
      <c r="O163" s="471" t="s">
        <v>795</v>
      </c>
    </row>
    <row r="164" spans="1:15" ht="26.4">
      <c r="A164" s="514" t="s">
        <v>71</v>
      </c>
      <c r="B164" s="487">
        <v>9060</v>
      </c>
      <c r="C164" s="487">
        <v>6213</v>
      </c>
      <c r="D164" s="487">
        <v>6606</v>
      </c>
      <c r="E164" s="487">
        <v>7822</v>
      </c>
      <c r="F164" s="487">
        <v>5755</v>
      </c>
      <c r="G164" s="487">
        <v>7245</v>
      </c>
      <c r="H164" s="487">
        <v>5960</v>
      </c>
      <c r="I164" s="487">
        <v>5313</v>
      </c>
      <c r="J164" s="487">
        <v>5900</v>
      </c>
      <c r="K164" s="487">
        <v>9915</v>
      </c>
      <c r="L164" s="487">
        <v>12850</v>
      </c>
      <c r="M164" s="487">
        <v>11462</v>
      </c>
      <c r="N164" s="487">
        <v>94101</v>
      </c>
      <c r="O164" s="472" t="s">
        <v>824</v>
      </c>
    </row>
    <row r="165" spans="1:15" ht="26.4">
      <c r="A165" s="514" t="s">
        <v>77</v>
      </c>
      <c r="B165" s="487">
        <v>64</v>
      </c>
      <c r="C165" s="487">
        <v>7</v>
      </c>
      <c r="D165" s="487">
        <v>79</v>
      </c>
      <c r="E165" s="487">
        <v>49</v>
      </c>
      <c r="F165" s="487">
        <v>75</v>
      </c>
      <c r="G165" s="487">
        <v>70</v>
      </c>
      <c r="H165" s="487">
        <v>74</v>
      </c>
      <c r="I165" s="487">
        <v>83</v>
      </c>
      <c r="J165" s="487">
        <v>21</v>
      </c>
      <c r="K165" s="487">
        <v>88</v>
      </c>
      <c r="L165" s="487">
        <v>84</v>
      </c>
      <c r="M165" s="487">
        <v>30</v>
      </c>
      <c r="N165" s="487">
        <v>724</v>
      </c>
      <c r="O165" s="478" t="s">
        <v>797</v>
      </c>
    </row>
    <row r="166" spans="1:15" ht="26.4">
      <c r="A166" s="513" t="s">
        <v>801</v>
      </c>
      <c r="B166" s="487"/>
      <c r="C166" s="487"/>
      <c r="D166" s="487"/>
      <c r="E166" s="487"/>
      <c r="F166" s="487"/>
      <c r="G166" s="487"/>
      <c r="H166" s="487"/>
      <c r="I166" s="487"/>
      <c r="J166" s="487"/>
      <c r="K166" s="487"/>
      <c r="L166" s="487"/>
      <c r="M166" s="487"/>
      <c r="N166" s="487"/>
      <c r="O166" s="471" t="s">
        <v>799</v>
      </c>
    </row>
    <row r="167" spans="1:15" ht="26.4">
      <c r="A167" s="511" t="s">
        <v>113</v>
      </c>
      <c r="B167" s="487">
        <v>1945</v>
      </c>
      <c r="C167" s="487">
        <v>1592</v>
      </c>
      <c r="D167" s="487">
        <v>1581</v>
      </c>
      <c r="E167" s="487">
        <v>1941</v>
      </c>
      <c r="F167" s="487">
        <v>1125</v>
      </c>
      <c r="G167" s="487">
        <v>170</v>
      </c>
      <c r="H167" s="487">
        <v>826</v>
      </c>
      <c r="I167" s="487">
        <v>3995</v>
      </c>
      <c r="J167" s="487">
        <v>3686</v>
      </c>
      <c r="K167" s="487">
        <v>2818</v>
      </c>
      <c r="L167" s="487">
        <v>1886</v>
      </c>
      <c r="M167" s="487">
        <v>3645</v>
      </c>
      <c r="N167" s="487">
        <v>25210</v>
      </c>
      <c r="O167" s="475" t="s">
        <v>802</v>
      </c>
    </row>
    <row r="168" spans="1:15" ht="26.4">
      <c r="A168" s="511" t="s">
        <v>115</v>
      </c>
      <c r="B168" s="487">
        <v>100</v>
      </c>
      <c r="C168" s="487">
        <v>510</v>
      </c>
      <c r="D168" s="487">
        <v>320</v>
      </c>
      <c r="E168" s="487">
        <v>653</v>
      </c>
      <c r="F168" s="487">
        <v>427</v>
      </c>
      <c r="G168" s="487">
        <v>267</v>
      </c>
      <c r="H168" s="487">
        <v>28</v>
      </c>
      <c r="I168" s="487">
        <v>14</v>
      </c>
      <c r="J168" s="487">
        <v>45</v>
      </c>
      <c r="K168" s="487">
        <v>157</v>
      </c>
      <c r="L168" s="487">
        <v>72</v>
      </c>
      <c r="M168" s="487">
        <v>16</v>
      </c>
      <c r="N168" s="487">
        <v>2609</v>
      </c>
      <c r="O168" s="515" t="s">
        <v>803</v>
      </c>
    </row>
    <row r="169" spans="1:15" ht="26.4">
      <c r="A169" s="511" t="s">
        <v>804</v>
      </c>
      <c r="B169" s="487">
        <v>552</v>
      </c>
      <c r="C169" s="487">
        <v>1179</v>
      </c>
      <c r="D169" s="487">
        <v>539</v>
      </c>
      <c r="E169" s="487">
        <v>436</v>
      </c>
      <c r="F169" s="487">
        <v>279</v>
      </c>
      <c r="G169" s="487">
        <v>137</v>
      </c>
      <c r="H169" s="487">
        <v>74</v>
      </c>
      <c r="I169" s="487">
        <v>238</v>
      </c>
      <c r="J169" s="487">
        <v>140</v>
      </c>
      <c r="K169" s="487">
        <v>277</v>
      </c>
      <c r="L169" s="487">
        <v>72</v>
      </c>
      <c r="M169" s="487">
        <v>57</v>
      </c>
      <c r="N169" s="487">
        <v>3980</v>
      </c>
      <c r="O169" s="515" t="s">
        <v>118</v>
      </c>
    </row>
    <row r="170" spans="1:15" ht="26.4">
      <c r="A170" s="511" t="s">
        <v>798</v>
      </c>
      <c r="B170" s="487">
        <v>389</v>
      </c>
      <c r="C170" s="487">
        <v>286</v>
      </c>
      <c r="D170" s="487">
        <v>476</v>
      </c>
      <c r="E170" s="487">
        <v>924</v>
      </c>
      <c r="F170" s="487">
        <v>706</v>
      </c>
      <c r="G170" s="487">
        <v>1648</v>
      </c>
      <c r="H170" s="487">
        <v>703</v>
      </c>
      <c r="I170" s="487">
        <v>260</v>
      </c>
      <c r="J170" s="487">
        <v>733</v>
      </c>
      <c r="K170" s="487">
        <v>1130</v>
      </c>
      <c r="L170" s="487">
        <v>373</v>
      </c>
      <c r="M170" s="487">
        <v>392</v>
      </c>
      <c r="N170" s="487">
        <v>8020</v>
      </c>
      <c r="O170" s="515" t="s">
        <v>799</v>
      </c>
    </row>
    <row r="171" spans="1:15" ht="26.4">
      <c r="A171" s="511">
        <v>2022</v>
      </c>
      <c r="B171" s="487">
        <v>23333</v>
      </c>
      <c r="C171" s="487">
        <v>17714</v>
      </c>
      <c r="D171" s="487">
        <v>14181</v>
      </c>
      <c r="E171" s="487">
        <v>16408</v>
      </c>
      <c r="F171" s="487">
        <v>17476</v>
      </c>
      <c r="G171" s="487">
        <v>19456</v>
      </c>
      <c r="H171" s="511">
        <v>16378</v>
      </c>
      <c r="I171" s="487">
        <v>23399</v>
      </c>
      <c r="J171" s="487">
        <v>23684</v>
      </c>
      <c r="K171" s="487">
        <v>27065</v>
      </c>
      <c r="L171" s="487">
        <v>31417</v>
      </c>
      <c r="M171" s="487">
        <v>34195</v>
      </c>
      <c r="N171" s="487">
        <v>264706</v>
      </c>
      <c r="O171" s="471">
        <v>2022</v>
      </c>
    </row>
    <row r="172" spans="1:15" ht="26.4">
      <c r="A172" s="513" t="s">
        <v>73</v>
      </c>
      <c r="B172" s="487">
        <v>2187</v>
      </c>
      <c r="C172" s="487">
        <v>2405</v>
      </c>
      <c r="D172" s="487">
        <v>2211</v>
      </c>
      <c r="E172" s="487">
        <v>2040</v>
      </c>
      <c r="F172" s="487">
        <v>2285</v>
      </c>
      <c r="G172" s="487">
        <v>1833</v>
      </c>
      <c r="H172" s="511">
        <v>1361</v>
      </c>
      <c r="I172" s="487">
        <v>1573</v>
      </c>
      <c r="J172" s="487">
        <v>1899</v>
      </c>
      <c r="K172" s="487">
        <v>1869</v>
      </c>
      <c r="L172" s="487">
        <v>2000</v>
      </c>
      <c r="M172" s="487">
        <v>1494</v>
      </c>
      <c r="N172" s="487">
        <v>23157</v>
      </c>
      <c r="O172" s="471" t="s">
        <v>795</v>
      </c>
    </row>
    <row r="173" spans="1:15" ht="26.4">
      <c r="A173" s="514" t="s">
        <v>71</v>
      </c>
      <c r="B173" s="487">
        <v>8950</v>
      </c>
      <c r="C173" s="487">
        <v>5827</v>
      </c>
      <c r="D173" s="487">
        <v>4262</v>
      </c>
      <c r="E173" s="487">
        <v>5126</v>
      </c>
      <c r="F173" s="487">
        <v>5387</v>
      </c>
      <c r="G173" s="487">
        <v>6824</v>
      </c>
      <c r="H173" s="511">
        <v>5753</v>
      </c>
      <c r="I173" s="487">
        <v>7765</v>
      </c>
      <c r="J173" s="487">
        <v>7585</v>
      </c>
      <c r="K173" s="487">
        <v>10316</v>
      </c>
      <c r="L173" s="487">
        <v>12738</v>
      </c>
      <c r="M173" s="487">
        <v>14959</v>
      </c>
      <c r="N173" s="487">
        <v>95492</v>
      </c>
      <c r="O173" s="472" t="s">
        <v>824</v>
      </c>
    </row>
    <row r="174" spans="1:15" ht="26.4">
      <c r="A174" s="514" t="s">
        <v>77</v>
      </c>
      <c r="B174" s="487">
        <v>58</v>
      </c>
      <c r="C174" s="487">
        <v>78</v>
      </c>
      <c r="D174" s="487">
        <v>104</v>
      </c>
      <c r="E174" s="487">
        <v>139</v>
      </c>
      <c r="F174" s="487">
        <v>73</v>
      </c>
      <c r="G174" s="487">
        <v>80</v>
      </c>
      <c r="H174" s="511">
        <v>85</v>
      </c>
      <c r="I174" s="487">
        <v>41</v>
      </c>
      <c r="J174" s="487">
        <v>32</v>
      </c>
      <c r="K174" s="487">
        <v>68</v>
      </c>
      <c r="L174" s="487">
        <v>21</v>
      </c>
      <c r="M174" s="487">
        <v>2</v>
      </c>
      <c r="N174" s="487">
        <v>781</v>
      </c>
      <c r="O174" s="478" t="s">
        <v>797</v>
      </c>
    </row>
    <row r="175" spans="1:15" ht="26.4">
      <c r="A175" s="513" t="s">
        <v>801</v>
      </c>
      <c r="B175" s="487"/>
      <c r="C175" s="487"/>
      <c r="D175" s="487"/>
      <c r="E175" s="487"/>
      <c r="F175" s="487"/>
      <c r="G175" s="487"/>
      <c r="H175" s="511"/>
      <c r="I175" s="487"/>
      <c r="J175" s="487"/>
      <c r="K175" s="487"/>
      <c r="L175" s="487"/>
      <c r="M175" s="487"/>
      <c r="N175" s="487"/>
      <c r="O175" s="471" t="s">
        <v>799</v>
      </c>
    </row>
    <row r="176" spans="1:15" ht="26.4">
      <c r="A176" s="511" t="s">
        <v>113</v>
      </c>
      <c r="B176" s="487">
        <v>2954</v>
      </c>
      <c r="C176" s="487">
        <v>2768</v>
      </c>
      <c r="D176" s="487">
        <v>2778</v>
      </c>
      <c r="E176" s="487">
        <v>2364</v>
      </c>
      <c r="F176" s="487">
        <v>2767</v>
      </c>
      <c r="G176" s="487">
        <v>2497</v>
      </c>
      <c r="H176" s="511">
        <v>2588</v>
      </c>
      <c r="I176" s="487">
        <v>5738</v>
      </c>
      <c r="J176" s="487">
        <v>5836</v>
      </c>
      <c r="K176" s="487">
        <v>3020</v>
      </c>
      <c r="L176" s="487">
        <v>3274</v>
      </c>
      <c r="M176" s="487">
        <v>2325</v>
      </c>
      <c r="N176" s="487">
        <v>38909</v>
      </c>
      <c r="O176" s="475" t="s">
        <v>802</v>
      </c>
    </row>
    <row r="177" spans="1:15" ht="26.4">
      <c r="A177" s="511" t="s">
        <v>115</v>
      </c>
      <c r="B177" s="487">
        <v>85</v>
      </c>
      <c r="C177" s="487">
        <v>421</v>
      </c>
      <c r="D177" s="487">
        <v>174</v>
      </c>
      <c r="E177" s="487">
        <v>225</v>
      </c>
      <c r="F177" s="487">
        <v>399</v>
      </c>
      <c r="G177" s="487">
        <v>132</v>
      </c>
      <c r="H177" s="511">
        <v>152</v>
      </c>
      <c r="I177" s="487">
        <v>54</v>
      </c>
      <c r="J177" s="487">
        <v>115</v>
      </c>
      <c r="K177" s="487">
        <v>242</v>
      </c>
      <c r="L177" s="487">
        <v>73</v>
      </c>
      <c r="M177" s="487">
        <v>7</v>
      </c>
      <c r="N177" s="487">
        <v>2079</v>
      </c>
      <c r="O177" s="515" t="s">
        <v>803</v>
      </c>
    </row>
    <row r="178" spans="1:15" ht="26.4">
      <c r="A178" s="511" t="s">
        <v>804</v>
      </c>
      <c r="B178" s="487">
        <v>8950</v>
      </c>
      <c r="C178" s="487">
        <v>5827</v>
      </c>
      <c r="D178" s="487">
        <v>4262</v>
      </c>
      <c r="E178" s="487">
        <v>5126</v>
      </c>
      <c r="F178" s="487">
        <v>5387</v>
      </c>
      <c r="G178" s="487">
        <v>6824</v>
      </c>
      <c r="H178" s="511">
        <v>5753</v>
      </c>
      <c r="I178" s="487">
        <v>7765</v>
      </c>
      <c r="J178" s="487">
        <v>7585</v>
      </c>
      <c r="K178" s="487">
        <v>10316</v>
      </c>
      <c r="L178" s="487">
        <v>12738</v>
      </c>
      <c r="M178" s="487">
        <v>14959</v>
      </c>
      <c r="N178" s="487">
        <v>95492</v>
      </c>
      <c r="O178" s="515" t="s">
        <v>118</v>
      </c>
    </row>
    <row r="179" spans="1:15" ht="26.4">
      <c r="A179" s="511" t="s">
        <v>798</v>
      </c>
      <c r="B179" s="487">
        <v>149</v>
      </c>
      <c r="C179" s="487">
        <v>388</v>
      </c>
      <c r="D179" s="487">
        <v>390</v>
      </c>
      <c r="E179" s="487">
        <v>1388</v>
      </c>
      <c r="F179" s="487">
        <v>1178</v>
      </c>
      <c r="G179" s="487">
        <v>1266</v>
      </c>
      <c r="H179" s="511">
        <v>686</v>
      </c>
      <c r="I179" s="487">
        <v>463</v>
      </c>
      <c r="J179" s="487">
        <v>632</v>
      </c>
      <c r="K179" s="487">
        <v>1234</v>
      </c>
      <c r="L179" s="487">
        <v>573</v>
      </c>
      <c r="M179" s="487">
        <v>449</v>
      </c>
      <c r="N179" s="487">
        <v>8796</v>
      </c>
      <c r="O179" s="515" t="s">
        <v>799</v>
      </c>
    </row>
    <row r="180" spans="1:15" ht="26.4">
      <c r="A180" s="511">
        <v>2023</v>
      </c>
      <c r="B180" s="487">
        <v>20581</v>
      </c>
      <c r="C180" s="487">
        <v>16523</v>
      </c>
      <c r="D180" s="487">
        <v>16679</v>
      </c>
      <c r="E180" s="487">
        <v>11814</v>
      </c>
      <c r="F180" s="487">
        <v>13498</v>
      </c>
      <c r="G180" s="487">
        <v>14216</v>
      </c>
      <c r="H180" s="512">
        <v>9617</v>
      </c>
      <c r="I180" s="487">
        <v>15845</v>
      </c>
      <c r="J180" s="487">
        <v>10602</v>
      </c>
      <c r="K180" s="487">
        <v>13225</v>
      </c>
      <c r="L180" s="487">
        <v>12899</v>
      </c>
      <c r="M180" s="487">
        <v>15826</v>
      </c>
      <c r="N180" s="487">
        <v>171325</v>
      </c>
      <c r="O180" s="471">
        <v>2023</v>
      </c>
    </row>
    <row r="181" spans="1:15" ht="26.4">
      <c r="A181" s="513" t="s">
        <v>73</v>
      </c>
      <c r="B181" s="487">
        <v>1607</v>
      </c>
      <c r="C181" s="487">
        <v>1928</v>
      </c>
      <c r="D181" s="487">
        <v>2264</v>
      </c>
      <c r="E181" s="487">
        <v>1820</v>
      </c>
      <c r="F181" s="487">
        <v>2310</v>
      </c>
      <c r="G181" s="487">
        <v>1950</v>
      </c>
      <c r="H181" s="512">
        <v>1166</v>
      </c>
      <c r="I181" s="487">
        <v>1554</v>
      </c>
      <c r="J181" s="487">
        <v>1225</v>
      </c>
      <c r="K181" s="487">
        <v>1549</v>
      </c>
      <c r="L181" s="487">
        <v>1612</v>
      </c>
      <c r="M181" s="487">
        <v>1144</v>
      </c>
      <c r="N181" s="487">
        <v>20129</v>
      </c>
      <c r="O181" s="471" t="s">
        <v>795</v>
      </c>
    </row>
    <row r="182" spans="1:15" ht="26.4">
      <c r="A182" s="514" t="s">
        <v>71</v>
      </c>
      <c r="B182" s="487">
        <v>12024</v>
      </c>
      <c r="C182" s="487">
        <v>9810</v>
      </c>
      <c r="D182" s="487">
        <v>10172</v>
      </c>
      <c r="E182" s="487">
        <v>6458</v>
      </c>
      <c r="F182" s="487">
        <v>5615</v>
      </c>
      <c r="G182" s="487">
        <v>6926</v>
      </c>
      <c r="H182" s="512">
        <v>5219</v>
      </c>
      <c r="I182" s="487">
        <v>7393</v>
      </c>
      <c r="J182" s="487">
        <v>4766</v>
      </c>
      <c r="K182" s="487">
        <v>8044</v>
      </c>
      <c r="L182" s="487">
        <v>9755</v>
      </c>
      <c r="M182" s="487">
        <v>12258</v>
      </c>
      <c r="N182" s="487">
        <v>98440</v>
      </c>
      <c r="O182" s="472" t="s">
        <v>824</v>
      </c>
    </row>
    <row r="183" spans="1:15" ht="26.4">
      <c r="A183" s="514" t="s">
        <v>77</v>
      </c>
      <c r="B183" s="487">
        <v>28</v>
      </c>
      <c r="C183" s="487">
        <v>28</v>
      </c>
      <c r="D183" s="487">
        <v>80</v>
      </c>
      <c r="E183" s="487">
        <v>35</v>
      </c>
      <c r="F183" s="487">
        <v>75</v>
      </c>
      <c r="G183" s="487">
        <v>36</v>
      </c>
      <c r="H183" s="511">
        <v>33</v>
      </c>
      <c r="I183" s="487">
        <v>79</v>
      </c>
      <c r="J183" s="487">
        <v>47</v>
      </c>
      <c r="K183" s="487">
        <v>38</v>
      </c>
      <c r="L183" s="487">
        <v>23</v>
      </c>
      <c r="M183" s="487">
        <v>54</v>
      </c>
      <c r="N183" s="487">
        <v>556</v>
      </c>
      <c r="O183" s="478" t="s">
        <v>797</v>
      </c>
    </row>
    <row r="184" spans="1:15" ht="26.4">
      <c r="A184" s="513" t="s">
        <v>801</v>
      </c>
      <c r="B184" s="487">
        <v>6392</v>
      </c>
      <c r="C184" s="487">
        <v>3989</v>
      </c>
      <c r="D184" s="487">
        <v>2921</v>
      </c>
      <c r="E184" s="487">
        <v>2351</v>
      </c>
      <c r="F184" s="487">
        <v>2574</v>
      </c>
      <c r="G184" s="487">
        <v>1377</v>
      </c>
      <c r="H184" s="512">
        <v>1437</v>
      </c>
      <c r="I184" s="487">
        <v>4931</v>
      </c>
      <c r="J184" s="487">
        <v>3597</v>
      </c>
      <c r="K184" s="487">
        <v>3118</v>
      </c>
      <c r="L184" s="487">
        <v>1198</v>
      </c>
      <c r="M184" s="487">
        <v>2158</v>
      </c>
      <c r="N184" s="487">
        <v>36043</v>
      </c>
      <c r="O184" s="471" t="s">
        <v>799</v>
      </c>
    </row>
    <row r="185" spans="1:15" ht="26.4">
      <c r="A185" s="511" t="s">
        <v>113</v>
      </c>
      <c r="B185" s="487">
        <v>5986</v>
      </c>
      <c r="C185" s="487">
        <v>3086</v>
      </c>
      <c r="D185" s="487">
        <v>1840</v>
      </c>
      <c r="E185" s="487">
        <v>1573</v>
      </c>
      <c r="F185" s="487">
        <v>1674</v>
      </c>
      <c r="G185" s="487">
        <v>759</v>
      </c>
      <c r="H185" s="512">
        <v>1246</v>
      </c>
      <c r="I185" s="487">
        <v>4596</v>
      </c>
      <c r="J185" s="487">
        <v>3171</v>
      </c>
      <c r="K185" s="487">
        <v>2641</v>
      </c>
      <c r="L185" s="487">
        <v>1023</v>
      </c>
      <c r="M185" s="487">
        <v>2106</v>
      </c>
      <c r="N185" s="487">
        <v>29701</v>
      </c>
      <c r="O185" s="475" t="s">
        <v>802</v>
      </c>
    </row>
    <row r="186" spans="1:15" ht="26.4">
      <c r="A186" s="511" t="s">
        <v>115</v>
      </c>
      <c r="B186" s="487">
        <v>119</v>
      </c>
      <c r="C186" s="487">
        <v>521</v>
      </c>
      <c r="D186" s="487">
        <v>654</v>
      </c>
      <c r="E186" s="487">
        <v>578</v>
      </c>
      <c r="F186" s="487">
        <v>624</v>
      </c>
      <c r="G186" s="487">
        <v>445</v>
      </c>
      <c r="H186" s="511">
        <v>111</v>
      </c>
      <c r="I186" s="487">
        <v>127</v>
      </c>
      <c r="J186" s="487">
        <v>224</v>
      </c>
      <c r="K186" s="487">
        <v>253</v>
      </c>
      <c r="L186" s="487">
        <v>98</v>
      </c>
      <c r="M186" s="487">
        <v>19</v>
      </c>
      <c r="N186" s="487">
        <v>3773</v>
      </c>
      <c r="O186" s="515" t="s">
        <v>803</v>
      </c>
    </row>
    <row r="187" spans="1:15" ht="26.4">
      <c r="A187" s="511" t="s">
        <v>804</v>
      </c>
      <c r="B187" s="487">
        <v>287</v>
      </c>
      <c r="C187" s="487">
        <v>382</v>
      </c>
      <c r="D187" s="487">
        <v>427</v>
      </c>
      <c r="E187" s="487">
        <v>200</v>
      </c>
      <c r="F187" s="487">
        <v>276</v>
      </c>
      <c r="G187" s="487">
        <v>173</v>
      </c>
      <c r="H187" s="511">
        <v>80</v>
      </c>
      <c r="I187" s="487">
        <v>208</v>
      </c>
      <c r="J187" s="487">
        <v>202</v>
      </c>
      <c r="K187" s="487">
        <v>224</v>
      </c>
      <c r="L187" s="487">
        <v>77</v>
      </c>
      <c r="M187" s="487">
        <v>33</v>
      </c>
      <c r="N187" s="487">
        <v>2569</v>
      </c>
      <c r="O187" s="515" t="s">
        <v>118</v>
      </c>
    </row>
    <row r="188" spans="1:15" ht="26.4">
      <c r="A188" s="511" t="s">
        <v>798</v>
      </c>
      <c r="B188" s="487">
        <v>530</v>
      </c>
      <c r="C188" s="487">
        <v>768</v>
      </c>
      <c r="D188" s="487">
        <v>1242</v>
      </c>
      <c r="E188" s="487">
        <v>1150</v>
      </c>
      <c r="F188" s="487">
        <v>2924</v>
      </c>
      <c r="G188" s="487">
        <v>3927</v>
      </c>
      <c r="H188" s="512">
        <v>1762</v>
      </c>
      <c r="I188" s="487">
        <v>1888</v>
      </c>
      <c r="J188" s="487">
        <v>967</v>
      </c>
      <c r="K188" s="487">
        <v>476</v>
      </c>
      <c r="L188" s="487">
        <v>311</v>
      </c>
      <c r="M188" s="487">
        <v>212</v>
      </c>
      <c r="N188" s="487">
        <v>16157</v>
      </c>
      <c r="O188" s="515" t="s">
        <v>799</v>
      </c>
    </row>
    <row r="202" spans="1:15" ht="27">
      <c r="A202" s="143" t="s">
        <v>791</v>
      </c>
      <c r="B202" s="197"/>
      <c r="C202" s="198"/>
      <c r="D202" s="198"/>
      <c r="E202" s="198"/>
      <c r="F202" s="198"/>
      <c r="G202" s="198"/>
      <c r="H202" s="198"/>
      <c r="I202" s="198"/>
      <c r="J202" s="198"/>
      <c r="K202" s="199"/>
      <c r="L202" s="199"/>
      <c r="M202" s="200"/>
      <c r="N202" s="201"/>
      <c r="O202" s="144" t="s">
        <v>792</v>
      </c>
    </row>
  </sheetData>
  <mergeCells count="2">
    <mergeCell ref="A3:A4"/>
    <mergeCell ref="O3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AJ14"/>
  <sheetViews>
    <sheetView tabSelected="1" zoomScale="55" workbookViewId="0">
      <selection activeCell="P17" sqref="P17"/>
    </sheetView>
  </sheetViews>
  <sheetFormatPr baseColWidth="10" defaultRowHeight="14.4"/>
  <cols>
    <col min="1" max="1" width="36" customWidth="1"/>
    <col min="31" max="31" width="29.5546875" customWidth="1"/>
  </cols>
  <sheetData>
    <row r="2" spans="1:36" ht="14.4" customHeight="1">
      <c r="A2" s="306" t="s">
        <v>992</v>
      </c>
      <c r="B2" s="306"/>
      <c r="C2" s="306"/>
      <c r="D2" s="306"/>
      <c r="E2" s="306"/>
      <c r="F2" s="306"/>
      <c r="G2" s="306"/>
      <c r="AC2" s="306" t="s">
        <v>993</v>
      </c>
      <c r="AD2" s="306"/>
      <c r="AE2" s="306"/>
      <c r="AF2" s="306"/>
      <c r="AG2" s="306"/>
      <c r="AH2" s="306"/>
      <c r="AI2" s="306"/>
      <c r="AJ2" s="306"/>
    </row>
    <row r="3" spans="1:36" ht="14.4" customHeight="1">
      <c r="A3" s="306"/>
      <c r="B3" s="306"/>
      <c r="C3" s="306"/>
      <c r="D3" s="306"/>
      <c r="E3" s="306"/>
      <c r="F3" s="306"/>
      <c r="G3" s="306"/>
      <c r="AC3" s="306"/>
      <c r="AD3" s="306"/>
      <c r="AE3" s="306"/>
      <c r="AF3" s="306"/>
      <c r="AG3" s="306"/>
      <c r="AH3" s="306"/>
      <c r="AI3" s="306"/>
      <c r="AJ3" s="306"/>
    </row>
    <row r="5" spans="1:36" ht="15" thickBot="1"/>
    <row r="6" spans="1:36" ht="30.6" thickBot="1">
      <c r="A6" s="302" t="s">
        <v>31</v>
      </c>
      <c r="B6" s="302">
        <v>1995</v>
      </c>
      <c r="C6" s="302">
        <v>1996</v>
      </c>
      <c r="D6" s="302">
        <v>1997</v>
      </c>
      <c r="E6" s="302">
        <v>1998</v>
      </c>
      <c r="F6" s="302">
        <v>1999</v>
      </c>
      <c r="G6" s="302">
        <v>2000</v>
      </c>
      <c r="H6" s="302">
        <v>2001</v>
      </c>
      <c r="I6" s="302">
        <v>2002</v>
      </c>
      <c r="J6" s="302">
        <v>2003</v>
      </c>
      <c r="K6" s="302">
        <v>2004</v>
      </c>
      <c r="L6" s="302">
        <v>2005</v>
      </c>
      <c r="M6" s="302">
        <v>2006</v>
      </c>
      <c r="N6" s="302">
        <v>2007</v>
      </c>
      <c r="O6" s="302">
        <v>2008</v>
      </c>
      <c r="P6" s="302">
        <v>2009</v>
      </c>
      <c r="Q6" s="302">
        <v>2010</v>
      </c>
      <c r="R6" s="302">
        <v>2011</v>
      </c>
      <c r="S6" s="302">
        <v>2012</v>
      </c>
      <c r="T6" s="302">
        <v>2013</v>
      </c>
      <c r="U6" s="302">
        <v>2014</v>
      </c>
      <c r="V6" s="302">
        <v>2015</v>
      </c>
      <c r="W6" s="302">
        <v>2016</v>
      </c>
      <c r="X6" s="302">
        <v>2017</v>
      </c>
      <c r="Y6" s="302">
        <v>2018</v>
      </c>
      <c r="Z6" s="302">
        <v>2019</v>
      </c>
      <c r="AA6" s="302">
        <v>2020</v>
      </c>
      <c r="AB6" s="302">
        <v>2021</v>
      </c>
      <c r="AC6" s="302">
        <v>2022</v>
      </c>
      <c r="AD6" s="302">
        <v>2023</v>
      </c>
      <c r="AE6" s="302" t="s">
        <v>32</v>
      </c>
    </row>
    <row r="7" spans="1:36" ht="26.4">
      <c r="A7" s="311" t="s">
        <v>33</v>
      </c>
      <c r="B7" s="309">
        <v>8264</v>
      </c>
      <c r="C7" s="309">
        <v>8473</v>
      </c>
      <c r="D7" s="309">
        <v>8677</v>
      </c>
      <c r="E7" s="309">
        <v>8887</v>
      </c>
      <c r="F7" s="309">
        <v>9102</v>
      </c>
      <c r="G7" s="309">
        <v>9322</v>
      </c>
      <c r="H7" s="309">
        <v>9549</v>
      </c>
      <c r="I7" s="309">
        <v>9781</v>
      </c>
      <c r="J7" s="309">
        <v>16966</v>
      </c>
      <c r="K7" s="309">
        <v>17709</v>
      </c>
      <c r="L7" s="309">
        <v>18495</v>
      </c>
      <c r="M7" s="309">
        <v>20774</v>
      </c>
      <c r="N7" s="309">
        <v>21708</v>
      </c>
      <c r="O7" s="309">
        <v>16283</v>
      </c>
      <c r="P7" s="309">
        <v>16990</v>
      </c>
      <c r="Q7" s="309">
        <v>18321.222000000002</v>
      </c>
      <c r="R7" s="309">
        <v>19116.282999999999</v>
      </c>
      <c r="S7" s="309">
        <v>19949.815999999999</v>
      </c>
      <c r="T7" s="309">
        <v>20824</v>
      </c>
      <c r="U7" s="309">
        <v>21741</v>
      </c>
      <c r="V7" s="309">
        <v>22699</v>
      </c>
      <c r="W7" s="309">
        <v>24477</v>
      </c>
      <c r="X7" s="309">
        <v>24512.695567915755</v>
      </c>
      <c r="Y7" s="309">
        <v>25876.268514100339</v>
      </c>
      <c r="Z7" s="309">
        <v>27319.326842290939</v>
      </c>
      <c r="AA7" s="309">
        <v>28846.570018298327</v>
      </c>
      <c r="AB7" s="309">
        <v>29978.040155245213</v>
      </c>
      <c r="AC7" s="309">
        <v>31378.358739390904</v>
      </c>
      <c r="AD7" s="404">
        <v>32847</v>
      </c>
      <c r="AE7" s="317" t="s">
        <v>34</v>
      </c>
    </row>
    <row r="8" spans="1:36" ht="26.4">
      <c r="A8" s="311" t="s">
        <v>35</v>
      </c>
      <c r="B8" s="309">
        <v>1081</v>
      </c>
      <c r="C8" s="309">
        <v>1124</v>
      </c>
      <c r="D8" s="309">
        <v>1157</v>
      </c>
      <c r="E8" s="309">
        <v>1192</v>
      </c>
      <c r="F8" s="309">
        <v>1228</v>
      </c>
      <c r="G8" s="309">
        <v>1265</v>
      </c>
      <c r="H8" s="309">
        <v>1303</v>
      </c>
      <c r="I8" s="309">
        <v>1342</v>
      </c>
      <c r="J8" s="309">
        <v>1314</v>
      </c>
      <c r="K8" s="309">
        <v>1332</v>
      </c>
      <c r="L8" s="309">
        <v>1355</v>
      </c>
      <c r="M8" s="309">
        <v>1397</v>
      </c>
      <c r="N8" s="309">
        <v>1421</v>
      </c>
      <c r="O8" s="309">
        <v>1699</v>
      </c>
      <c r="P8" s="309">
        <v>1728</v>
      </c>
      <c r="Q8" s="309">
        <v>1724.9269999999999</v>
      </c>
      <c r="R8" s="309">
        <v>1749.076</v>
      </c>
      <c r="S8" s="309">
        <v>1773.5630000000001</v>
      </c>
      <c r="T8" s="309">
        <v>1798</v>
      </c>
      <c r="U8" s="309">
        <v>1824</v>
      </c>
      <c r="V8" s="309">
        <v>1849</v>
      </c>
      <c r="W8" s="309">
        <v>1953</v>
      </c>
      <c r="X8" s="309">
        <v>1862.016625664</v>
      </c>
      <c r="Y8" s="309">
        <v>1936.49729069056</v>
      </c>
      <c r="Z8" s="309">
        <v>2013.9571823181825</v>
      </c>
      <c r="AA8" s="309">
        <v>2094.5154696109098</v>
      </c>
      <c r="AB8" s="309">
        <v>2148.4976851255833</v>
      </c>
      <c r="AC8" s="309">
        <v>2223.6951041049788</v>
      </c>
      <c r="AD8" s="404" t="s">
        <v>1005</v>
      </c>
      <c r="AE8" s="317" t="s">
        <v>36</v>
      </c>
    </row>
    <row r="9" spans="1:36" ht="26.4">
      <c r="A9" s="311" t="s">
        <v>37</v>
      </c>
      <c r="B9" s="309">
        <v>1114</v>
      </c>
      <c r="C9" s="309">
        <v>1158</v>
      </c>
      <c r="D9" s="309">
        <v>1205</v>
      </c>
      <c r="E9" s="309">
        <v>1254</v>
      </c>
      <c r="F9" s="309">
        <v>1304</v>
      </c>
      <c r="G9" s="309">
        <v>1356</v>
      </c>
      <c r="H9" s="309">
        <v>1411</v>
      </c>
      <c r="I9" s="309">
        <v>1467</v>
      </c>
      <c r="J9" s="309">
        <v>1323</v>
      </c>
      <c r="K9" s="309">
        <v>1332</v>
      </c>
      <c r="L9" s="309">
        <v>1342</v>
      </c>
      <c r="M9" s="309">
        <v>1370</v>
      </c>
      <c r="N9" s="309">
        <v>1380</v>
      </c>
      <c r="O9" s="309">
        <v>1181</v>
      </c>
      <c r="P9" s="309">
        <v>1189</v>
      </c>
      <c r="Q9" s="309">
        <v>1369.828</v>
      </c>
      <c r="R9" s="309">
        <v>1379.4169999999999</v>
      </c>
      <c r="S9" s="309">
        <v>1389.0730000000001</v>
      </c>
      <c r="T9" s="309">
        <v>1399</v>
      </c>
      <c r="U9" s="309">
        <v>1409</v>
      </c>
      <c r="V9" s="309">
        <v>1418</v>
      </c>
      <c r="W9" s="309">
        <v>1471</v>
      </c>
      <c r="X9" s="309">
        <v>1457.259487022556</v>
      </c>
      <c r="Y9" s="309">
        <v>1474.7466008668266</v>
      </c>
      <c r="Z9" s="309">
        <v>1492.4435600772285</v>
      </c>
      <c r="AA9" s="309">
        <v>1510.3528827981552</v>
      </c>
      <c r="AB9" s="309">
        <v>1528.4771173917329</v>
      </c>
      <c r="AC9" s="309">
        <v>1546.8188428004337</v>
      </c>
      <c r="AD9" s="404" t="s">
        <v>1006</v>
      </c>
      <c r="AE9" s="317" t="s">
        <v>38</v>
      </c>
    </row>
    <row r="10" spans="1:36" ht="27" thickBot="1">
      <c r="A10" s="313" t="s">
        <v>39</v>
      </c>
      <c r="B10" s="314">
        <v>6069</v>
      </c>
      <c r="C10" s="314">
        <v>6191</v>
      </c>
      <c r="D10" s="314">
        <v>6315</v>
      </c>
      <c r="E10" s="314">
        <v>6441</v>
      </c>
      <c r="F10" s="314">
        <v>6570</v>
      </c>
      <c r="G10" s="314">
        <v>6701</v>
      </c>
      <c r="H10" s="314">
        <v>6835</v>
      </c>
      <c r="I10" s="314">
        <v>6972</v>
      </c>
      <c r="J10" s="314">
        <v>14329</v>
      </c>
      <c r="K10" s="314">
        <v>15045</v>
      </c>
      <c r="L10" s="314">
        <v>15798</v>
      </c>
      <c r="M10" s="314">
        <v>18007</v>
      </c>
      <c r="N10" s="314">
        <v>18907</v>
      </c>
      <c r="O10" s="314">
        <v>13403</v>
      </c>
      <c r="P10" s="314">
        <v>14073</v>
      </c>
      <c r="Q10" s="314">
        <v>15226.467000000001</v>
      </c>
      <c r="R10" s="314">
        <v>15987.79</v>
      </c>
      <c r="S10" s="314">
        <v>16787.18</v>
      </c>
      <c r="T10" s="314">
        <v>17627</v>
      </c>
      <c r="U10" s="314">
        <v>18508</v>
      </c>
      <c r="V10" s="314">
        <v>19432</v>
      </c>
      <c r="W10" s="314">
        <v>21053</v>
      </c>
      <c r="X10" s="314">
        <v>21193.419455229199</v>
      </c>
      <c r="Y10" s="314">
        <v>22465.024622542951</v>
      </c>
      <c r="Z10" s="314">
        <v>23812.926099895529</v>
      </c>
      <c r="AA10" s="314">
        <v>25241.701665889261</v>
      </c>
      <c r="AB10" s="314">
        <v>26301.065352727896</v>
      </c>
      <c r="AC10" s="314">
        <v>27607.844792485492</v>
      </c>
      <c r="AD10" s="405" t="s">
        <v>1007</v>
      </c>
      <c r="AE10" s="318" t="s">
        <v>40</v>
      </c>
    </row>
    <row r="13" spans="1:36" ht="14.4" customHeight="1">
      <c r="A13" s="306" t="s">
        <v>1593</v>
      </c>
      <c r="B13" s="306"/>
      <c r="C13" s="306"/>
      <c r="D13" s="306"/>
      <c r="E13" s="306"/>
      <c r="F13" s="306"/>
      <c r="G13" s="306"/>
      <c r="AC13" s="306" t="s">
        <v>41</v>
      </c>
      <c r="AD13" s="306"/>
      <c r="AE13" s="306"/>
      <c r="AF13" s="306"/>
      <c r="AG13" s="306"/>
      <c r="AH13" s="306"/>
      <c r="AI13" s="306"/>
      <c r="AJ13" s="306"/>
    </row>
    <row r="14" spans="1:36" ht="14.4" customHeight="1">
      <c r="A14" s="306"/>
      <c r="B14" s="306"/>
      <c r="C14" s="306"/>
      <c r="D14" s="306"/>
      <c r="E14" s="306"/>
      <c r="F14" s="306"/>
      <c r="G14" s="306"/>
      <c r="AC14" s="306"/>
      <c r="AD14" s="306"/>
      <c r="AE14" s="306"/>
      <c r="AF14" s="306"/>
      <c r="AG14" s="306"/>
      <c r="AH14" s="306"/>
      <c r="AI14" s="306"/>
      <c r="AJ14" s="30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/>
  </sheetPr>
  <dimension ref="A1:O192"/>
  <sheetViews>
    <sheetView zoomScale="84" workbookViewId="0">
      <selection activeCell="I4" sqref="I4"/>
    </sheetView>
  </sheetViews>
  <sheetFormatPr baseColWidth="10" defaultRowHeight="14.4"/>
  <cols>
    <col min="1" max="1" width="25.5546875" customWidth="1"/>
    <col min="2" max="2" width="13.5546875" customWidth="1"/>
    <col min="3" max="3" width="13.44140625" customWidth="1"/>
    <col min="9" max="9" width="13.5546875" customWidth="1"/>
    <col min="10" max="10" width="15.6640625" customWidth="1"/>
    <col min="11" max="11" width="13.77734375" customWidth="1"/>
    <col min="12" max="12" width="15.44140625" customWidth="1"/>
    <col min="13" max="13" width="15.5546875" customWidth="1"/>
    <col min="15" max="15" width="27.88671875" customWidth="1"/>
  </cols>
  <sheetData>
    <row r="1" spans="1:15" ht="26.4">
      <c r="A1" s="145"/>
      <c r="B1" s="195"/>
      <c r="C1" s="195"/>
      <c r="D1" s="195"/>
      <c r="E1" s="195"/>
      <c r="F1" s="195"/>
      <c r="G1" s="195"/>
      <c r="H1" s="195"/>
      <c r="I1" s="176"/>
      <c r="J1" s="856" t="s">
        <v>1557</v>
      </c>
      <c r="K1" s="856"/>
      <c r="L1" s="856"/>
      <c r="M1" s="856"/>
      <c r="N1" s="856"/>
      <c r="O1" s="856"/>
    </row>
    <row r="2" spans="1:15" ht="27">
      <c r="A2" s="175" t="s">
        <v>1556</v>
      </c>
      <c r="B2" s="176"/>
      <c r="C2" s="176"/>
      <c r="D2" s="196"/>
      <c r="E2" s="196"/>
      <c r="F2" s="196"/>
      <c r="G2" s="196"/>
      <c r="H2" s="196"/>
      <c r="I2" s="196"/>
      <c r="J2" s="196"/>
      <c r="K2" s="177"/>
      <c r="L2" s="177"/>
      <c r="M2" s="178"/>
      <c r="N2" s="179"/>
      <c r="O2" s="149"/>
    </row>
    <row r="3" spans="1:15" ht="15.6" customHeight="1">
      <c r="A3" s="841" t="s">
        <v>825</v>
      </c>
      <c r="B3" s="446" t="s">
        <v>163</v>
      </c>
      <c r="C3" s="446" t="s">
        <v>165</v>
      </c>
      <c r="D3" s="446" t="s">
        <v>167</v>
      </c>
      <c r="E3" s="446" t="s">
        <v>169</v>
      </c>
      <c r="F3" s="446" t="s">
        <v>171</v>
      </c>
      <c r="G3" s="446" t="s">
        <v>173</v>
      </c>
      <c r="H3" s="446" t="s">
        <v>175</v>
      </c>
      <c r="I3" s="516" t="s">
        <v>177</v>
      </c>
      <c r="J3" s="446" t="s">
        <v>179</v>
      </c>
      <c r="K3" s="446" t="s">
        <v>181</v>
      </c>
      <c r="L3" s="446" t="s">
        <v>183</v>
      </c>
      <c r="M3" s="516" t="s">
        <v>185</v>
      </c>
      <c r="N3" s="446" t="s">
        <v>48</v>
      </c>
      <c r="O3" s="854" t="s">
        <v>826</v>
      </c>
    </row>
    <row r="4" spans="1:15" ht="30.6" thickBot="1">
      <c r="A4" s="853"/>
      <c r="B4" s="502" t="s">
        <v>244</v>
      </c>
      <c r="C4" s="502" t="s">
        <v>245</v>
      </c>
      <c r="D4" s="502" t="s">
        <v>246</v>
      </c>
      <c r="E4" s="517" t="s">
        <v>247</v>
      </c>
      <c r="F4" s="502" t="s">
        <v>172</v>
      </c>
      <c r="G4" s="502" t="s">
        <v>248</v>
      </c>
      <c r="H4" s="502" t="s">
        <v>249</v>
      </c>
      <c r="I4" s="517" t="s">
        <v>250</v>
      </c>
      <c r="J4" s="502" t="s">
        <v>180</v>
      </c>
      <c r="K4" s="502" t="s">
        <v>182</v>
      </c>
      <c r="L4" s="502" t="s">
        <v>184</v>
      </c>
      <c r="M4" s="517" t="s">
        <v>186</v>
      </c>
      <c r="N4" s="502" t="s">
        <v>4</v>
      </c>
      <c r="O4" s="855"/>
    </row>
    <row r="5" spans="1:15" ht="26.4">
      <c r="A5" s="518">
        <v>2000</v>
      </c>
      <c r="B5" s="519">
        <f t="shared" ref="B5:N5" si="0">SUM(B6:B9)</f>
        <v>3183</v>
      </c>
      <c r="C5" s="519">
        <f t="shared" si="0"/>
        <v>8894</v>
      </c>
      <c r="D5" s="519">
        <f t="shared" si="0"/>
        <v>14251</v>
      </c>
      <c r="E5" s="519">
        <f t="shared" si="0"/>
        <v>5299</v>
      </c>
      <c r="F5" s="519">
        <f t="shared" si="0"/>
        <v>9968</v>
      </c>
      <c r="G5" s="519">
        <f t="shared" si="0"/>
        <v>4086</v>
      </c>
      <c r="H5" s="519">
        <f t="shared" si="0"/>
        <v>12437</v>
      </c>
      <c r="I5" s="519">
        <f t="shared" si="0"/>
        <v>11119</v>
      </c>
      <c r="J5" s="519">
        <f t="shared" si="0"/>
        <v>15345</v>
      </c>
      <c r="K5" s="519">
        <f t="shared" si="0"/>
        <v>1925</v>
      </c>
      <c r="L5" s="519">
        <f t="shared" si="0"/>
        <v>349</v>
      </c>
      <c r="M5" s="519">
        <f t="shared" si="0"/>
        <v>3255</v>
      </c>
      <c r="N5" s="519">
        <f t="shared" si="0"/>
        <v>90111</v>
      </c>
      <c r="O5" s="520">
        <v>2000</v>
      </c>
    </row>
    <row r="6" spans="1:15" ht="26.4">
      <c r="A6" s="521" t="s">
        <v>73</v>
      </c>
      <c r="B6" s="487">
        <v>661</v>
      </c>
      <c r="C6" s="487">
        <v>1634</v>
      </c>
      <c r="D6" s="487">
        <v>1378</v>
      </c>
      <c r="E6" s="487">
        <v>1526</v>
      </c>
      <c r="F6" s="487">
        <v>997</v>
      </c>
      <c r="G6" s="487">
        <v>1382</v>
      </c>
      <c r="H6" s="487">
        <v>2216</v>
      </c>
      <c r="I6" s="487">
        <v>1722</v>
      </c>
      <c r="J6" s="487">
        <v>805</v>
      </c>
      <c r="K6" s="487">
        <v>370</v>
      </c>
      <c r="L6" s="487">
        <v>90</v>
      </c>
      <c r="M6" s="487">
        <v>413</v>
      </c>
      <c r="N6" s="487">
        <f t="shared" ref="N6:N12" si="1">SUM(B6:M6)</f>
        <v>13194</v>
      </c>
      <c r="O6" s="522" t="s">
        <v>823</v>
      </c>
    </row>
    <row r="7" spans="1:15" ht="26.4">
      <c r="A7" s="523" t="s">
        <v>71</v>
      </c>
      <c r="B7" s="487">
        <v>53</v>
      </c>
      <c r="C7" s="487">
        <v>248</v>
      </c>
      <c r="D7" s="487">
        <v>136</v>
      </c>
      <c r="E7" s="487">
        <v>235</v>
      </c>
      <c r="F7" s="487">
        <v>122</v>
      </c>
      <c r="G7" s="487">
        <v>66</v>
      </c>
      <c r="H7" s="487">
        <v>67</v>
      </c>
      <c r="I7" s="487">
        <v>57</v>
      </c>
      <c r="J7" s="487">
        <v>238</v>
      </c>
      <c r="K7" s="487">
        <v>115</v>
      </c>
      <c r="L7" s="487">
        <v>1</v>
      </c>
      <c r="M7" s="487">
        <v>17</v>
      </c>
      <c r="N7" s="487">
        <f t="shared" si="1"/>
        <v>1355</v>
      </c>
      <c r="O7" s="524" t="s">
        <v>824</v>
      </c>
    </row>
    <row r="8" spans="1:15" ht="26.4">
      <c r="A8" s="523" t="s">
        <v>77</v>
      </c>
      <c r="B8" s="487">
        <v>132</v>
      </c>
      <c r="C8" s="487">
        <v>402</v>
      </c>
      <c r="D8" s="487">
        <v>228</v>
      </c>
      <c r="E8" s="487">
        <v>242</v>
      </c>
      <c r="F8" s="487">
        <v>419</v>
      </c>
      <c r="G8" s="487">
        <v>167</v>
      </c>
      <c r="H8" s="487">
        <v>527</v>
      </c>
      <c r="I8" s="487">
        <v>142</v>
      </c>
      <c r="J8" s="487">
        <v>803</v>
      </c>
      <c r="K8" s="487">
        <v>25</v>
      </c>
      <c r="L8" s="487">
        <v>52</v>
      </c>
      <c r="M8" s="487">
        <v>593</v>
      </c>
      <c r="N8" s="487">
        <f t="shared" si="1"/>
        <v>3732</v>
      </c>
      <c r="O8" s="525" t="s">
        <v>797</v>
      </c>
    </row>
    <row r="9" spans="1:15" ht="26.4">
      <c r="A9" s="521" t="s">
        <v>801</v>
      </c>
      <c r="B9" s="487">
        <f>SUM(B10:B12)</f>
        <v>2337</v>
      </c>
      <c r="C9" s="487">
        <f>SUM(C10:C12)</f>
        <v>6610</v>
      </c>
      <c r="D9" s="487">
        <f t="shared" ref="D9:M9" si="2">SUM(D10:D12)</f>
        <v>12509</v>
      </c>
      <c r="E9" s="487">
        <f t="shared" si="2"/>
        <v>3296</v>
      </c>
      <c r="F9" s="487">
        <f t="shared" si="2"/>
        <v>8430</v>
      </c>
      <c r="G9" s="487">
        <f t="shared" si="2"/>
        <v>2471</v>
      </c>
      <c r="H9" s="487">
        <f t="shared" si="2"/>
        <v>9627</v>
      </c>
      <c r="I9" s="487">
        <f t="shared" si="2"/>
        <v>9198</v>
      </c>
      <c r="J9" s="487">
        <f t="shared" si="2"/>
        <v>13499</v>
      </c>
      <c r="K9" s="487">
        <f t="shared" si="2"/>
        <v>1415</v>
      </c>
      <c r="L9" s="487">
        <f t="shared" si="2"/>
        <v>206</v>
      </c>
      <c r="M9" s="487">
        <f t="shared" si="2"/>
        <v>2232</v>
      </c>
      <c r="N9" s="487">
        <f t="shared" si="1"/>
        <v>71830</v>
      </c>
      <c r="O9" s="522" t="s">
        <v>799</v>
      </c>
    </row>
    <row r="10" spans="1:15" ht="26.4">
      <c r="A10" s="526" t="s">
        <v>113</v>
      </c>
      <c r="B10" s="487">
        <v>342</v>
      </c>
      <c r="C10" s="487">
        <v>1723</v>
      </c>
      <c r="D10" s="487">
        <v>5920</v>
      </c>
      <c r="E10" s="487">
        <v>1208</v>
      </c>
      <c r="F10" s="487">
        <v>5951</v>
      </c>
      <c r="G10" s="487">
        <v>1668</v>
      </c>
      <c r="H10" s="487">
        <v>6788</v>
      </c>
      <c r="I10" s="487">
        <v>8254</v>
      </c>
      <c r="J10" s="487">
        <v>12643</v>
      </c>
      <c r="K10" s="487">
        <v>745</v>
      </c>
      <c r="L10" s="487">
        <v>93</v>
      </c>
      <c r="M10" s="487">
        <v>397</v>
      </c>
      <c r="N10" s="487">
        <f t="shared" si="1"/>
        <v>45732</v>
      </c>
      <c r="O10" s="527" t="s">
        <v>802</v>
      </c>
    </row>
    <row r="11" spans="1:15" ht="26.4">
      <c r="A11" s="526" t="s">
        <v>115</v>
      </c>
      <c r="B11" s="487">
        <v>1214</v>
      </c>
      <c r="C11" s="487">
        <v>1540</v>
      </c>
      <c r="D11" s="487">
        <v>2480</v>
      </c>
      <c r="E11" s="487">
        <v>796</v>
      </c>
      <c r="F11" s="487">
        <v>1249</v>
      </c>
      <c r="G11" s="487">
        <v>609</v>
      </c>
      <c r="H11" s="487">
        <v>1497</v>
      </c>
      <c r="I11" s="487">
        <v>446</v>
      </c>
      <c r="J11" s="487">
        <v>544</v>
      </c>
      <c r="K11" s="487">
        <v>275</v>
      </c>
      <c r="L11" s="487">
        <v>107</v>
      </c>
      <c r="M11" s="487">
        <v>1200</v>
      </c>
      <c r="N11" s="487">
        <f t="shared" si="1"/>
        <v>11957</v>
      </c>
      <c r="O11" s="528" t="s">
        <v>803</v>
      </c>
    </row>
    <row r="12" spans="1:15" ht="26.4">
      <c r="A12" s="526" t="s">
        <v>804</v>
      </c>
      <c r="B12" s="487">
        <v>781</v>
      </c>
      <c r="C12" s="487">
        <v>3347</v>
      </c>
      <c r="D12" s="487">
        <v>4109</v>
      </c>
      <c r="E12" s="487">
        <v>1292</v>
      </c>
      <c r="F12" s="487">
        <v>1230</v>
      </c>
      <c r="G12" s="487">
        <v>194</v>
      </c>
      <c r="H12" s="487">
        <v>1342</v>
      </c>
      <c r="I12" s="487">
        <v>498</v>
      </c>
      <c r="J12" s="487">
        <v>312</v>
      </c>
      <c r="K12" s="487">
        <v>395</v>
      </c>
      <c r="L12" s="487">
        <v>6</v>
      </c>
      <c r="M12" s="487">
        <v>635</v>
      </c>
      <c r="N12" s="487">
        <f t="shared" si="1"/>
        <v>14141</v>
      </c>
      <c r="O12" s="528" t="s">
        <v>118</v>
      </c>
    </row>
    <row r="13" spans="1:15" ht="26.4">
      <c r="A13" s="529">
        <v>2001</v>
      </c>
      <c r="B13" s="487">
        <f t="shared" ref="B13:N13" si="3">SUM(B14:B17)</f>
        <v>9317</v>
      </c>
      <c r="C13" s="487">
        <f t="shared" si="3"/>
        <v>9830</v>
      </c>
      <c r="D13" s="487">
        <f t="shared" si="3"/>
        <v>18614</v>
      </c>
      <c r="E13" s="487">
        <f t="shared" si="3"/>
        <v>7360</v>
      </c>
      <c r="F13" s="487">
        <f t="shared" si="3"/>
        <v>6440</v>
      </c>
      <c r="G13" s="487">
        <f t="shared" si="3"/>
        <v>6425</v>
      </c>
      <c r="H13" s="487">
        <f t="shared" si="3"/>
        <v>5588</v>
      </c>
      <c r="I13" s="487">
        <f t="shared" si="3"/>
        <v>12319</v>
      </c>
      <c r="J13" s="487">
        <f t="shared" si="3"/>
        <v>19854</v>
      </c>
      <c r="K13" s="487">
        <f t="shared" si="3"/>
        <v>7599</v>
      </c>
      <c r="L13" s="487">
        <f t="shared" si="3"/>
        <v>4113</v>
      </c>
      <c r="M13" s="487">
        <f t="shared" si="3"/>
        <v>8387</v>
      </c>
      <c r="N13" s="487">
        <f t="shared" si="3"/>
        <v>115846</v>
      </c>
      <c r="O13" s="530">
        <v>2001</v>
      </c>
    </row>
    <row r="14" spans="1:15" ht="26.4">
      <c r="A14" s="521" t="s">
        <v>73</v>
      </c>
      <c r="B14" s="487">
        <v>1880</v>
      </c>
      <c r="C14" s="487">
        <v>1795</v>
      </c>
      <c r="D14" s="487">
        <v>994</v>
      </c>
      <c r="E14" s="487">
        <v>1544</v>
      </c>
      <c r="F14" s="487">
        <v>1751</v>
      </c>
      <c r="G14" s="487">
        <v>2136</v>
      </c>
      <c r="H14" s="487">
        <v>1368</v>
      </c>
      <c r="I14" s="487">
        <v>974</v>
      </c>
      <c r="J14" s="487">
        <v>1392</v>
      </c>
      <c r="K14" s="487">
        <v>235</v>
      </c>
      <c r="L14" s="487">
        <v>353</v>
      </c>
      <c r="M14" s="487">
        <v>916</v>
      </c>
      <c r="N14" s="487">
        <f t="shared" ref="N14:N20" si="4">SUM(B14:M14)</f>
        <v>15338</v>
      </c>
      <c r="O14" s="522" t="s">
        <v>823</v>
      </c>
    </row>
    <row r="15" spans="1:15" ht="26.4">
      <c r="A15" s="523" t="s">
        <v>71</v>
      </c>
      <c r="B15" s="487">
        <v>165</v>
      </c>
      <c r="C15" s="487">
        <v>311</v>
      </c>
      <c r="D15" s="487">
        <v>137</v>
      </c>
      <c r="E15" s="487">
        <v>252</v>
      </c>
      <c r="F15" s="487">
        <v>109</v>
      </c>
      <c r="G15" s="487">
        <v>99</v>
      </c>
      <c r="H15" s="487">
        <v>321</v>
      </c>
      <c r="I15" s="487">
        <v>29</v>
      </c>
      <c r="J15" s="487">
        <v>223</v>
      </c>
      <c r="K15" s="487">
        <v>16</v>
      </c>
      <c r="L15" s="487">
        <v>15</v>
      </c>
      <c r="M15" s="487">
        <v>48</v>
      </c>
      <c r="N15" s="487">
        <f t="shared" si="4"/>
        <v>1725</v>
      </c>
      <c r="O15" s="524" t="s">
        <v>824</v>
      </c>
    </row>
    <row r="16" spans="1:15" ht="26.4">
      <c r="A16" s="523" t="s">
        <v>77</v>
      </c>
      <c r="B16" s="487">
        <v>117</v>
      </c>
      <c r="C16" s="487">
        <v>555</v>
      </c>
      <c r="D16" s="487">
        <v>143</v>
      </c>
      <c r="E16" s="487">
        <v>725</v>
      </c>
      <c r="F16" s="487">
        <v>190</v>
      </c>
      <c r="G16" s="487">
        <v>607</v>
      </c>
      <c r="H16" s="487">
        <v>239</v>
      </c>
      <c r="I16" s="487">
        <v>153</v>
      </c>
      <c r="J16" s="487">
        <v>848</v>
      </c>
      <c r="K16" s="487">
        <v>63</v>
      </c>
      <c r="L16" s="487">
        <v>1874</v>
      </c>
      <c r="M16" s="487">
        <v>7</v>
      </c>
      <c r="N16" s="487">
        <f t="shared" si="4"/>
        <v>5521</v>
      </c>
      <c r="O16" s="525" t="s">
        <v>797</v>
      </c>
    </row>
    <row r="17" spans="1:15" ht="26.4">
      <c r="A17" s="521" t="s">
        <v>801</v>
      </c>
      <c r="B17" s="487">
        <f t="shared" ref="B17:M17" si="5">SUM(B18:B20)</f>
        <v>7155</v>
      </c>
      <c r="C17" s="487">
        <f t="shared" si="5"/>
        <v>7169</v>
      </c>
      <c r="D17" s="487">
        <f t="shared" si="5"/>
        <v>17340</v>
      </c>
      <c r="E17" s="487">
        <f t="shared" si="5"/>
        <v>4839</v>
      </c>
      <c r="F17" s="487">
        <f t="shared" si="5"/>
        <v>4390</v>
      </c>
      <c r="G17" s="487">
        <f t="shared" si="5"/>
        <v>3583</v>
      </c>
      <c r="H17" s="487">
        <f t="shared" si="5"/>
        <v>3660</v>
      </c>
      <c r="I17" s="487">
        <f t="shared" si="5"/>
        <v>11163</v>
      </c>
      <c r="J17" s="487">
        <f t="shared" si="5"/>
        <v>17391</v>
      </c>
      <c r="K17" s="487">
        <f t="shared" si="5"/>
        <v>7285</v>
      </c>
      <c r="L17" s="487">
        <f t="shared" si="5"/>
        <v>1871</v>
      </c>
      <c r="M17" s="487">
        <f t="shared" si="5"/>
        <v>7416</v>
      </c>
      <c r="N17" s="487">
        <f t="shared" si="4"/>
        <v>93262</v>
      </c>
      <c r="O17" s="522" t="s">
        <v>799</v>
      </c>
    </row>
    <row r="18" spans="1:15" ht="26.4">
      <c r="A18" s="526" t="s">
        <v>113</v>
      </c>
      <c r="B18" s="487">
        <v>3506</v>
      </c>
      <c r="C18" s="487">
        <v>2381</v>
      </c>
      <c r="D18" s="487">
        <v>13590</v>
      </c>
      <c r="E18" s="487">
        <v>3179</v>
      </c>
      <c r="F18" s="487">
        <v>2410</v>
      </c>
      <c r="G18" s="487">
        <v>1566</v>
      </c>
      <c r="H18" s="487">
        <v>2491</v>
      </c>
      <c r="I18" s="487">
        <v>10242</v>
      </c>
      <c r="J18" s="487">
        <v>16030</v>
      </c>
      <c r="K18" s="487">
        <v>5661</v>
      </c>
      <c r="L18" s="487">
        <v>849</v>
      </c>
      <c r="M18" s="487">
        <v>3899</v>
      </c>
      <c r="N18" s="487">
        <f t="shared" si="4"/>
        <v>65804</v>
      </c>
      <c r="O18" s="527" t="s">
        <v>802</v>
      </c>
    </row>
    <row r="19" spans="1:15" ht="26.4">
      <c r="A19" s="526" t="s">
        <v>115</v>
      </c>
      <c r="B19" s="487">
        <v>1428</v>
      </c>
      <c r="C19" s="487">
        <v>1458</v>
      </c>
      <c r="D19" s="487">
        <v>2736</v>
      </c>
      <c r="E19" s="487">
        <v>817</v>
      </c>
      <c r="F19" s="487">
        <v>1457</v>
      </c>
      <c r="G19" s="487">
        <v>1537</v>
      </c>
      <c r="H19" s="487">
        <v>709</v>
      </c>
      <c r="I19" s="487">
        <v>339</v>
      </c>
      <c r="J19" s="487">
        <v>454</v>
      </c>
      <c r="K19" s="487">
        <v>628</v>
      </c>
      <c r="L19" s="487">
        <v>521</v>
      </c>
      <c r="M19" s="487">
        <v>2022</v>
      </c>
      <c r="N19" s="487">
        <f t="shared" si="4"/>
        <v>14106</v>
      </c>
      <c r="O19" s="528" t="s">
        <v>803</v>
      </c>
    </row>
    <row r="20" spans="1:15" ht="26.4">
      <c r="A20" s="526" t="s">
        <v>804</v>
      </c>
      <c r="B20" s="487">
        <v>2221</v>
      </c>
      <c r="C20" s="487">
        <v>3330</v>
      </c>
      <c r="D20" s="487">
        <v>1014</v>
      </c>
      <c r="E20" s="487">
        <v>843</v>
      </c>
      <c r="F20" s="487">
        <v>523</v>
      </c>
      <c r="G20" s="487">
        <v>480</v>
      </c>
      <c r="H20" s="487">
        <v>460</v>
      </c>
      <c r="I20" s="487">
        <v>582</v>
      </c>
      <c r="J20" s="487">
        <v>907</v>
      </c>
      <c r="K20" s="487">
        <v>996</v>
      </c>
      <c r="L20" s="487">
        <v>501</v>
      </c>
      <c r="M20" s="487">
        <v>1495</v>
      </c>
      <c r="N20" s="487">
        <f t="shared" si="4"/>
        <v>13352</v>
      </c>
      <c r="O20" s="528" t="s">
        <v>118</v>
      </c>
    </row>
    <row r="21" spans="1:15" ht="26.4">
      <c r="A21" s="529">
        <v>2002</v>
      </c>
      <c r="B21" s="487">
        <f t="shared" ref="B21:N21" si="6">SUM(B22:B25)</f>
        <v>13070</v>
      </c>
      <c r="C21" s="487">
        <f t="shared" si="6"/>
        <v>7262</v>
      </c>
      <c r="D21" s="487">
        <f t="shared" si="6"/>
        <v>7514</v>
      </c>
      <c r="E21" s="487">
        <f t="shared" si="6"/>
        <v>7162</v>
      </c>
      <c r="F21" s="487">
        <f t="shared" si="6"/>
        <v>9226</v>
      </c>
      <c r="G21" s="487">
        <f t="shared" si="6"/>
        <v>4628</v>
      </c>
      <c r="H21" s="487">
        <f t="shared" si="6"/>
        <v>10899</v>
      </c>
      <c r="I21" s="487">
        <f t="shared" si="6"/>
        <v>8678</v>
      </c>
      <c r="J21" s="487">
        <f t="shared" si="6"/>
        <v>14444</v>
      </c>
      <c r="K21" s="487">
        <f t="shared" si="6"/>
        <v>3935</v>
      </c>
      <c r="L21" s="487">
        <f t="shared" si="6"/>
        <v>2387</v>
      </c>
      <c r="M21" s="487">
        <f t="shared" si="6"/>
        <v>28983</v>
      </c>
      <c r="N21" s="487">
        <f t="shared" si="6"/>
        <v>118188</v>
      </c>
      <c r="O21" s="530">
        <v>2002</v>
      </c>
    </row>
    <row r="22" spans="1:15" ht="26.4">
      <c r="A22" s="521" t="s">
        <v>73</v>
      </c>
      <c r="B22" s="487">
        <v>1003</v>
      </c>
      <c r="C22" s="487">
        <v>916</v>
      </c>
      <c r="D22" s="487">
        <v>1313</v>
      </c>
      <c r="E22" s="487">
        <v>1572</v>
      </c>
      <c r="F22" s="487">
        <v>3046</v>
      </c>
      <c r="G22" s="487">
        <v>1084</v>
      </c>
      <c r="H22" s="487">
        <v>2179</v>
      </c>
      <c r="I22" s="487">
        <v>750</v>
      </c>
      <c r="J22" s="487">
        <v>1349</v>
      </c>
      <c r="K22" s="487">
        <v>215</v>
      </c>
      <c r="L22" s="487">
        <v>82</v>
      </c>
      <c r="M22" s="487">
        <v>520</v>
      </c>
      <c r="N22" s="487">
        <f t="shared" ref="N22:N28" si="7">SUM(B22:M22)</f>
        <v>14029</v>
      </c>
      <c r="O22" s="522" t="s">
        <v>823</v>
      </c>
    </row>
    <row r="23" spans="1:15" ht="26.4">
      <c r="A23" s="523" t="s">
        <v>71</v>
      </c>
      <c r="B23" s="487">
        <v>114</v>
      </c>
      <c r="C23" s="487">
        <v>215</v>
      </c>
      <c r="D23" s="487">
        <v>411</v>
      </c>
      <c r="E23" s="487">
        <v>221</v>
      </c>
      <c r="F23" s="487">
        <v>140</v>
      </c>
      <c r="G23" s="487">
        <v>127</v>
      </c>
      <c r="H23" s="487">
        <v>263</v>
      </c>
      <c r="I23" s="487">
        <v>92</v>
      </c>
      <c r="J23" s="487">
        <v>128</v>
      </c>
      <c r="K23" s="487">
        <v>67</v>
      </c>
      <c r="L23" s="487">
        <v>20</v>
      </c>
      <c r="M23" s="487">
        <v>42</v>
      </c>
      <c r="N23" s="487">
        <f t="shared" si="7"/>
        <v>1840</v>
      </c>
      <c r="O23" s="524" t="s">
        <v>824</v>
      </c>
    </row>
    <row r="24" spans="1:15" ht="26.4">
      <c r="A24" s="523" t="s">
        <v>77</v>
      </c>
      <c r="B24" s="487">
        <v>1101</v>
      </c>
      <c r="C24" s="487">
        <v>15</v>
      </c>
      <c r="D24" s="487">
        <v>476</v>
      </c>
      <c r="E24" s="487">
        <v>507</v>
      </c>
      <c r="F24" s="487">
        <v>925</v>
      </c>
      <c r="G24" s="487">
        <v>407</v>
      </c>
      <c r="H24" s="487">
        <v>729</v>
      </c>
      <c r="I24" s="487">
        <v>137</v>
      </c>
      <c r="J24" s="487">
        <v>1161</v>
      </c>
      <c r="K24" s="487">
        <v>103</v>
      </c>
      <c r="L24" s="487">
        <v>304</v>
      </c>
      <c r="M24" s="487">
        <v>586</v>
      </c>
      <c r="N24" s="487">
        <f t="shared" si="7"/>
        <v>6451</v>
      </c>
      <c r="O24" s="525" t="s">
        <v>797</v>
      </c>
    </row>
    <row r="25" spans="1:15" ht="26.4">
      <c r="A25" s="521" t="s">
        <v>801</v>
      </c>
      <c r="B25" s="487">
        <f t="shared" ref="B25:M25" si="8">SUM(B26:B28)</f>
        <v>10852</v>
      </c>
      <c r="C25" s="487">
        <f t="shared" si="8"/>
        <v>6116</v>
      </c>
      <c r="D25" s="487">
        <f t="shared" si="8"/>
        <v>5314</v>
      </c>
      <c r="E25" s="487">
        <f t="shared" si="8"/>
        <v>4862</v>
      </c>
      <c r="F25" s="487">
        <f t="shared" si="8"/>
        <v>5115</v>
      </c>
      <c r="G25" s="487">
        <f t="shared" si="8"/>
        <v>3010</v>
      </c>
      <c r="H25" s="487">
        <f t="shared" si="8"/>
        <v>7728</v>
      </c>
      <c r="I25" s="487">
        <f t="shared" si="8"/>
        <v>7699</v>
      </c>
      <c r="J25" s="487">
        <f t="shared" si="8"/>
        <v>11806</v>
      </c>
      <c r="K25" s="487">
        <f t="shared" si="8"/>
        <v>3550</v>
      </c>
      <c r="L25" s="487">
        <f t="shared" si="8"/>
        <v>1981</v>
      </c>
      <c r="M25" s="487">
        <f t="shared" si="8"/>
        <v>27835</v>
      </c>
      <c r="N25" s="487">
        <f t="shared" si="7"/>
        <v>95868</v>
      </c>
      <c r="O25" s="522" t="s">
        <v>799</v>
      </c>
    </row>
    <row r="26" spans="1:15" ht="26.4">
      <c r="A26" s="526" t="s">
        <v>113</v>
      </c>
      <c r="B26" s="487">
        <v>7439</v>
      </c>
      <c r="C26" s="487">
        <v>4430</v>
      </c>
      <c r="D26" s="487">
        <v>3431</v>
      </c>
      <c r="E26" s="487">
        <v>3949</v>
      </c>
      <c r="F26" s="487">
        <v>3491</v>
      </c>
      <c r="G26" s="487">
        <v>2321</v>
      </c>
      <c r="H26" s="487">
        <v>6204</v>
      </c>
      <c r="I26" s="487">
        <v>7350</v>
      </c>
      <c r="J26" s="487">
        <v>10972</v>
      </c>
      <c r="K26" s="487">
        <v>3532</v>
      </c>
      <c r="L26" s="487">
        <v>1812</v>
      </c>
      <c r="M26" s="487">
        <v>26296</v>
      </c>
      <c r="N26" s="487">
        <f t="shared" si="7"/>
        <v>81227</v>
      </c>
      <c r="O26" s="527" t="s">
        <v>802</v>
      </c>
    </row>
    <row r="27" spans="1:15" ht="26.4">
      <c r="A27" s="526" t="s">
        <v>115</v>
      </c>
      <c r="B27" s="487">
        <v>1926</v>
      </c>
      <c r="C27" s="487">
        <v>1316</v>
      </c>
      <c r="D27" s="487">
        <v>1285</v>
      </c>
      <c r="E27" s="487">
        <v>568</v>
      </c>
      <c r="F27" s="487">
        <v>1043</v>
      </c>
      <c r="G27" s="487">
        <v>363</v>
      </c>
      <c r="H27" s="487">
        <v>675</v>
      </c>
      <c r="I27" s="487">
        <v>107</v>
      </c>
      <c r="J27" s="487">
        <v>199</v>
      </c>
      <c r="K27" s="487">
        <v>7</v>
      </c>
      <c r="L27" s="487">
        <v>120</v>
      </c>
      <c r="M27" s="487">
        <v>828</v>
      </c>
      <c r="N27" s="487">
        <f t="shared" si="7"/>
        <v>8437</v>
      </c>
      <c r="O27" s="528" t="s">
        <v>803</v>
      </c>
    </row>
    <row r="28" spans="1:15" ht="26.4">
      <c r="A28" s="526" t="s">
        <v>804</v>
      </c>
      <c r="B28" s="487">
        <v>1487</v>
      </c>
      <c r="C28" s="487">
        <v>370</v>
      </c>
      <c r="D28" s="487">
        <v>598</v>
      </c>
      <c r="E28" s="487">
        <v>345</v>
      </c>
      <c r="F28" s="487">
        <v>581</v>
      </c>
      <c r="G28" s="487">
        <v>326</v>
      </c>
      <c r="H28" s="487">
        <v>849</v>
      </c>
      <c r="I28" s="487">
        <v>242</v>
      </c>
      <c r="J28" s="487">
        <v>635</v>
      </c>
      <c r="K28" s="487">
        <v>11</v>
      </c>
      <c r="L28" s="487">
        <v>49</v>
      </c>
      <c r="M28" s="487">
        <v>711</v>
      </c>
      <c r="N28" s="487">
        <f t="shared" si="7"/>
        <v>6204</v>
      </c>
      <c r="O28" s="528" t="s">
        <v>118</v>
      </c>
    </row>
    <row r="29" spans="1:15" ht="26.4">
      <c r="A29" s="529">
        <v>2003</v>
      </c>
      <c r="B29" s="487">
        <f t="shared" ref="B29:N29" si="9">SUM(B30:B33)</f>
        <v>8994</v>
      </c>
      <c r="C29" s="487">
        <f t="shared" si="9"/>
        <v>12304</v>
      </c>
      <c r="D29" s="487">
        <f t="shared" si="9"/>
        <v>15369</v>
      </c>
      <c r="E29" s="487">
        <f t="shared" si="9"/>
        <v>10110</v>
      </c>
      <c r="F29" s="487">
        <f t="shared" si="9"/>
        <v>7936</v>
      </c>
      <c r="G29" s="487">
        <f t="shared" si="9"/>
        <v>8956</v>
      </c>
      <c r="H29" s="487">
        <f t="shared" si="9"/>
        <v>8040</v>
      </c>
      <c r="I29" s="487">
        <f t="shared" si="9"/>
        <v>4202</v>
      </c>
      <c r="J29" s="487">
        <f t="shared" si="9"/>
        <v>18537</v>
      </c>
      <c r="K29" s="487">
        <f t="shared" si="9"/>
        <v>2380</v>
      </c>
      <c r="L29" s="487">
        <f t="shared" si="9"/>
        <v>564</v>
      </c>
      <c r="M29" s="487">
        <f t="shared" si="9"/>
        <v>16836</v>
      </c>
      <c r="N29" s="487">
        <f t="shared" si="9"/>
        <v>114228</v>
      </c>
      <c r="O29" s="530">
        <v>2003</v>
      </c>
    </row>
    <row r="30" spans="1:15" ht="26.4">
      <c r="A30" s="521" t="s">
        <v>73</v>
      </c>
      <c r="B30" s="487">
        <v>265</v>
      </c>
      <c r="C30" s="487">
        <v>716</v>
      </c>
      <c r="D30" s="487">
        <v>553</v>
      </c>
      <c r="E30" s="487">
        <v>918</v>
      </c>
      <c r="F30" s="487">
        <v>629</v>
      </c>
      <c r="G30" s="487">
        <v>1166</v>
      </c>
      <c r="H30" s="487">
        <v>1129</v>
      </c>
      <c r="I30" s="487">
        <v>616</v>
      </c>
      <c r="J30" s="487">
        <v>1111</v>
      </c>
      <c r="K30" s="487">
        <v>271</v>
      </c>
      <c r="L30" s="487">
        <v>93</v>
      </c>
      <c r="M30" s="487">
        <v>1201</v>
      </c>
      <c r="N30" s="487">
        <f t="shared" ref="N30:N36" si="10">SUM(B30:M30)</f>
        <v>8668</v>
      </c>
      <c r="O30" s="522" t="s">
        <v>823</v>
      </c>
    </row>
    <row r="31" spans="1:15" ht="26.4">
      <c r="A31" s="523" t="s">
        <v>71</v>
      </c>
      <c r="B31" s="487">
        <v>64</v>
      </c>
      <c r="C31" s="487">
        <v>179</v>
      </c>
      <c r="D31" s="487">
        <v>99</v>
      </c>
      <c r="E31" s="487">
        <v>125</v>
      </c>
      <c r="F31" s="487">
        <v>214</v>
      </c>
      <c r="G31" s="487">
        <v>415</v>
      </c>
      <c r="H31" s="487">
        <v>174</v>
      </c>
      <c r="I31" s="487">
        <v>223</v>
      </c>
      <c r="J31" s="487">
        <v>248</v>
      </c>
      <c r="K31" s="487">
        <v>19</v>
      </c>
      <c r="L31" s="487">
        <v>39</v>
      </c>
      <c r="M31" s="487">
        <v>363</v>
      </c>
      <c r="N31" s="487">
        <f t="shared" si="10"/>
        <v>2162</v>
      </c>
      <c r="O31" s="524" t="s">
        <v>824</v>
      </c>
    </row>
    <row r="32" spans="1:15" ht="26.4">
      <c r="A32" s="523" t="s">
        <v>77</v>
      </c>
      <c r="B32" s="487">
        <v>984</v>
      </c>
      <c r="C32" s="487">
        <v>394</v>
      </c>
      <c r="D32" s="487">
        <v>1075</v>
      </c>
      <c r="E32" s="487">
        <v>94</v>
      </c>
      <c r="F32" s="487">
        <v>1445</v>
      </c>
      <c r="G32" s="487">
        <v>87</v>
      </c>
      <c r="H32" s="487">
        <v>406</v>
      </c>
      <c r="I32" s="487">
        <v>356</v>
      </c>
      <c r="J32" s="487">
        <v>417</v>
      </c>
      <c r="K32" s="487">
        <v>118</v>
      </c>
      <c r="L32" s="487">
        <v>12</v>
      </c>
      <c r="M32" s="487">
        <v>651</v>
      </c>
      <c r="N32" s="487">
        <f t="shared" si="10"/>
        <v>6039</v>
      </c>
      <c r="O32" s="525" t="s">
        <v>797</v>
      </c>
    </row>
    <row r="33" spans="1:15" ht="26.4">
      <c r="A33" s="521" t="s">
        <v>801</v>
      </c>
      <c r="B33" s="487">
        <f t="shared" ref="B33:M33" si="11">SUM(B34:B36)</f>
        <v>7681</v>
      </c>
      <c r="C33" s="487">
        <f t="shared" si="11"/>
        <v>11015</v>
      </c>
      <c r="D33" s="487">
        <f t="shared" si="11"/>
        <v>13642</v>
      </c>
      <c r="E33" s="487">
        <f t="shared" si="11"/>
        <v>8973</v>
      </c>
      <c r="F33" s="487">
        <f t="shared" si="11"/>
        <v>5648</v>
      </c>
      <c r="G33" s="487">
        <f t="shared" si="11"/>
        <v>7288</v>
      </c>
      <c r="H33" s="487">
        <f t="shared" si="11"/>
        <v>6331</v>
      </c>
      <c r="I33" s="487">
        <f t="shared" si="11"/>
        <v>3007</v>
      </c>
      <c r="J33" s="487">
        <f t="shared" si="11"/>
        <v>16761</v>
      </c>
      <c r="K33" s="487">
        <f t="shared" si="11"/>
        <v>1972</v>
      </c>
      <c r="L33" s="487">
        <f t="shared" si="11"/>
        <v>420</v>
      </c>
      <c r="M33" s="487">
        <f t="shared" si="11"/>
        <v>14621</v>
      </c>
      <c r="N33" s="487">
        <f t="shared" si="10"/>
        <v>97359</v>
      </c>
      <c r="O33" s="522" t="s">
        <v>799</v>
      </c>
    </row>
    <row r="34" spans="1:15" ht="26.4">
      <c r="A34" s="526" t="s">
        <v>113</v>
      </c>
      <c r="B34" s="487">
        <v>6515</v>
      </c>
      <c r="C34" s="487">
        <v>10291</v>
      </c>
      <c r="D34" s="487">
        <v>12526</v>
      </c>
      <c r="E34" s="487">
        <v>8190</v>
      </c>
      <c r="F34" s="487">
        <v>5009</v>
      </c>
      <c r="G34" s="487">
        <v>6621</v>
      </c>
      <c r="H34" s="487">
        <v>3223</v>
      </c>
      <c r="I34" s="487">
        <v>2634</v>
      </c>
      <c r="J34" s="487">
        <v>15756</v>
      </c>
      <c r="K34" s="487">
        <v>1775</v>
      </c>
      <c r="L34" s="487">
        <v>388</v>
      </c>
      <c r="M34" s="487">
        <v>11764</v>
      </c>
      <c r="N34" s="487">
        <f t="shared" si="10"/>
        <v>84692</v>
      </c>
      <c r="O34" s="527" t="s">
        <v>802</v>
      </c>
    </row>
    <row r="35" spans="1:15" ht="26.4">
      <c r="A35" s="526" t="s">
        <v>115</v>
      </c>
      <c r="B35" s="487">
        <v>715</v>
      </c>
      <c r="C35" s="487">
        <v>521</v>
      </c>
      <c r="D35" s="487">
        <v>822</v>
      </c>
      <c r="E35" s="487">
        <v>604</v>
      </c>
      <c r="F35" s="487">
        <v>494</v>
      </c>
      <c r="G35" s="487">
        <v>505</v>
      </c>
      <c r="H35" s="487">
        <v>2713</v>
      </c>
      <c r="I35" s="487">
        <v>245</v>
      </c>
      <c r="J35" s="487">
        <v>544</v>
      </c>
      <c r="K35" s="487">
        <v>139</v>
      </c>
      <c r="L35" s="487">
        <v>19</v>
      </c>
      <c r="M35" s="487">
        <v>2349</v>
      </c>
      <c r="N35" s="487">
        <f t="shared" si="10"/>
        <v>9670</v>
      </c>
      <c r="O35" s="528" t="s">
        <v>803</v>
      </c>
    </row>
    <row r="36" spans="1:15" ht="26.4">
      <c r="A36" s="526" t="s">
        <v>804</v>
      </c>
      <c r="B36" s="487">
        <v>451</v>
      </c>
      <c r="C36" s="487">
        <v>203</v>
      </c>
      <c r="D36" s="487">
        <v>294</v>
      </c>
      <c r="E36" s="487">
        <v>179</v>
      </c>
      <c r="F36" s="487">
        <v>145</v>
      </c>
      <c r="G36" s="487">
        <v>162</v>
      </c>
      <c r="H36" s="487">
        <v>395</v>
      </c>
      <c r="I36" s="487">
        <v>128</v>
      </c>
      <c r="J36" s="487">
        <v>461</v>
      </c>
      <c r="K36" s="487">
        <v>58</v>
      </c>
      <c r="L36" s="487">
        <v>13</v>
      </c>
      <c r="M36" s="487">
        <v>508</v>
      </c>
      <c r="N36" s="487">
        <f t="shared" si="10"/>
        <v>2997</v>
      </c>
      <c r="O36" s="528" t="s">
        <v>118</v>
      </c>
    </row>
    <row r="37" spans="1:15" ht="26.4">
      <c r="A37" s="529">
        <v>2004</v>
      </c>
      <c r="B37" s="487">
        <f t="shared" ref="B37:N37" si="12">SUM(B38:B41)</f>
        <v>16772</v>
      </c>
      <c r="C37" s="487">
        <f t="shared" si="12"/>
        <v>15695</v>
      </c>
      <c r="D37" s="487">
        <f t="shared" si="12"/>
        <v>7566</v>
      </c>
      <c r="E37" s="487">
        <f t="shared" si="12"/>
        <v>7777</v>
      </c>
      <c r="F37" s="487">
        <f t="shared" si="12"/>
        <v>10485</v>
      </c>
      <c r="G37" s="487">
        <f t="shared" si="12"/>
        <v>10228</v>
      </c>
      <c r="H37" s="487">
        <f t="shared" si="12"/>
        <v>12186</v>
      </c>
      <c r="I37" s="487">
        <f t="shared" si="12"/>
        <v>14091</v>
      </c>
      <c r="J37" s="487">
        <f t="shared" si="12"/>
        <v>23648</v>
      </c>
      <c r="K37" s="487">
        <f t="shared" si="12"/>
        <v>7179</v>
      </c>
      <c r="L37" s="487">
        <f t="shared" si="12"/>
        <v>6364</v>
      </c>
      <c r="M37" s="487">
        <f t="shared" si="12"/>
        <v>20003</v>
      </c>
      <c r="N37" s="487">
        <f t="shared" si="12"/>
        <v>151994</v>
      </c>
      <c r="O37" s="530">
        <v>2004</v>
      </c>
    </row>
    <row r="38" spans="1:15" ht="26.4">
      <c r="A38" s="521" t="s">
        <v>73</v>
      </c>
      <c r="B38" s="487">
        <v>171</v>
      </c>
      <c r="C38" s="487">
        <v>1095</v>
      </c>
      <c r="D38" s="487">
        <v>553</v>
      </c>
      <c r="E38" s="487">
        <v>606</v>
      </c>
      <c r="F38" s="487">
        <v>873</v>
      </c>
      <c r="G38" s="487">
        <v>779</v>
      </c>
      <c r="H38" s="487">
        <v>1189</v>
      </c>
      <c r="I38" s="487">
        <v>641</v>
      </c>
      <c r="J38" s="487">
        <v>1099</v>
      </c>
      <c r="K38" s="487">
        <v>184</v>
      </c>
      <c r="L38" s="487">
        <v>301</v>
      </c>
      <c r="M38" s="487">
        <v>323</v>
      </c>
      <c r="N38" s="487">
        <f t="shared" ref="N38:N44" si="13">SUM(B38:M38)</f>
        <v>7814</v>
      </c>
      <c r="O38" s="522" t="s">
        <v>823</v>
      </c>
    </row>
    <row r="39" spans="1:15" ht="26.4">
      <c r="A39" s="523" t="s">
        <v>71</v>
      </c>
      <c r="B39" s="487">
        <v>119</v>
      </c>
      <c r="C39" s="487">
        <v>163</v>
      </c>
      <c r="D39" s="487">
        <v>65</v>
      </c>
      <c r="E39" s="487">
        <v>139</v>
      </c>
      <c r="F39" s="487">
        <v>187</v>
      </c>
      <c r="G39" s="487">
        <v>128</v>
      </c>
      <c r="H39" s="487">
        <v>321</v>
      </c>
      <c r="I39" s="487">
        <v>103</v>
      </c>
      <c r="J39" s="487">
        <v>352</v>
      </c>
      <c r="K39" s="487">
        <v>189</v>
      </c>
      <c r="L39" s="487">
        <v>34</v>
      </c>
      <c r="M39" s="487">
        <v>284</v>
      </c>
      <c r="N39" s="487">
        <f t="shared" si="13"/>
        <v>2084</v>
      </c>
      <c r="O39" s="524" t="s">
        <v>824</v>
      </c>
    </row>
    <row r="40" spans="1:15" ht="26.4">
      <c r="A40" s="523" t="s">
        <v>77</v>
      </c>
      <c r="B40" s="487">
        <v>652</v>
      </c>
      <c r="C40" s="487">
        <v>10</v>
      </c>
      <c r="D40" s="487">
        <v>1001</v>
      </c>
      <c r="E40" s="487">
        <v>310</v>
      </c>
      <c r="F40" s="487">
        <v>535</v>
      </c>
      <c r="G40" s="487">
        <v>27</v>
      </c>
      <c r="H40" s="487">
        <v>504</v>
      </c>
      <c r="I40" s="487">
        <v>15</v>
      </c>
      <c r="J40" s="487">
        <v>204</v>
      </c>
      <c r="K40" s="487">
        <v>14</v>
      </c>
      <c r="L40" s="487">
        <v>431</v>
      </c>
      <c r="M40" s="487">
        <v>223</v>
      </c>
      <c r="N40" s="487">
        <f t="shared" si="13"/>
        <v>3926</v>
      </c>
      <c r="O40" s="525" t="s">
        <v>797</v>
      </c>
    </row>
    <row r="41" spans="1:15" ht="26.4">
      <c r="A41" s="521" t="s">
        <v>801</v>
      </c>
      <c r="B41" s="487">
        <f t="shared" ref="B41:M41" si="14">SUM(B42:B44)</f>
        <v>15830</v>
      </c>
      <c r="C41" s="487">
        <f t="shared" si="14"/>
        <v>14427</v>
      </c>
      <c r="D41" s="487">
        <f t="shared" si="14"/>
        <v>5947</v>
      </c>
      <c r="E41" s="487">
        <f t="shared" si="14"/>
        <v>6722</v>
      </c>
      <c r="F41" s="487">
        <f t="shared" si="14"/>
        <v>8890</v>
      </c>
      <c r="G41" s="487">
        <f t="shared" si="14"/>
        <v>9294</v>
      </c>
      <c r="H41" s="487">
        <f t="shared" si="14"/>
        <v>10172</v>
      </c>
      <c r="I41" s="487">
        <f t="shared" si="14"/>
        <v>13332</v>
      </c>
      <c r="J41" s="487">
        <f t="shared" si="14"/>
        <v>21993</v>
      </c>
      <c r="K41" s="487">
        <f t="shared" si="14"/>
        <v>6792</v>
      </c>
      <c r="L41" s="487">
        <f t="shared" si="14"/>
        <v>5598</v>
      </c>
      <c r="M41" s="487">
        <f t="shared" si="14"/>
        <v>19173</v>
      </c>
      <c r="N41" s="487">
        <f t="shared" si="13"/>
        <v>138170</v>
      </c>
      <c r="O41" s="522" t="s">
        <v>799</v>
      </c>
    </row>
    <row r="42" spans="1:15" ht="26.4">
      <c r="A42" s="526" t="s">
        <v>113</v>
      </c>
      <c r="B42" s="487">
        <v>14922</v>
      </c>
      <c r="C42" s="487">
        <v>12936</v>
      </c>
      <c r="D42" s="487">
        <v>5092</v>
      </c>
      <c r="E42" s="487">
        <v>5646</v>
      </c>
      <c r="F42" s="487">
        <v>7678</v>
      </c>
      <c r="G42" s="487">
        <v>8075</v>
      </c>
      <c r="H42" s="487">
        <v>8503</v>
      </c>
      <c r="I42" s="487">
        <v>12127</v>
      </c>
      <c r="J42" s="487">
        <v>20396</v>
      </c>
      <c r="K42" s="487">
        <v>6752</v>
      </c>
      <c r="L42" s="487">
        <v>5407</v>
      </c>
      <c r="M42" s="487">
        <v>17605</v>
      </c>
      <c r="N42" s="487">
        <f t="shared" si="13"/>
        <v>125139</v>
      </c>
      <c r="O42" s="527" t="s">
        <v>802</v>
      </c>
    </row>
    <row r="43" spans="1:15" ht="26.4">
      <c r="A43" s="526" t="s">
        <v>115</v>
      </c>
      <c r="B43" s="487">
        <v>789</v>
      </c>
      <c r="C43" s="487">
        <v>1285</v>
      </c>
      <c r="D43" s="487">
        <v>769</v>
      </c>
      <c r="E43" s="487">
        <v>965</v>
      </c>
      <c r="F43" s="487">
        <v>1075</v>
      </c>
      <c r="G43" s="487">
        <v>1097</v>
      </c>
      <c r="H43" s="487">
        <v>1153</v>
      </c>
      <c r="I43" s="487">
        <v>750</v>
      </c>
      <c r="J43" s="487">
        <v>894</v>
      </c>
      <c r="K43" s="487">
        <v>39</v>
      </c>
      <c r="L43" s="487">
        <v>170</v>
      </c>
      <c r="M43" s="487">
        <v>958</v>
      </c>
      <c r="N43" s="487">
        <f t="shared" si="13"/>
        <v>9944</v>
      </c>
      <c r="O43" s="528" t="s">
        <v>803</v>
      </c>
    </row>
    <row r="44" spans="1:15" ht="26.4">
      <c r="A44" s="526" t="s">
        <v>804</v>
      </c>
      <c r="B44" s="487">
        <v>119</v>
      </c>
      <c r="C44" s="487">
        <v>206</v>
      </c>
      <c r="D44" s="487">
        <v>86</v>
      </c>
      <c r="E44" s="487">
        <v>111</v>
      </c>
      <c r="F44" s="487">
        <v>137</v>
      </c>
      <c r="G44" s="487">
        <v>122</v>
      </c>
      <c r="H44" s="487">
        <v>516</v>
      </c>
      <c r="I44" s="487">
        <v>455</v>
      </c>
      <c r="J44" s="487">
        <v>703</v>
      </c>
      <c r="K44" s="487">
        <v>1</v>
      </c>
      <c r="L44" s="487">
        <v>21</v>
      </c>
      <c r="M44" s="487">
        <v>610</v>
      </c>
      <c r="N44" s="487">
        <f t="shared" si="13"/>
        <v>3087</v>
      </c>
      <c r="O44" s="528" t="s">
        <v>118</v>
      </c>
    </row>
    <row r="45" spans="1:15" ht="26.4">
      <c r="A45" s="529">
        <v>2005</v>
      </c>
      <c r="B45" s="487">
        <f t="shared" ref="B45:N45" si="15">SUM(B46:B49)</f>
        <v>10508</v>
      </c>
      <c r="C45" s="487">
        <f t="shared" si="15"/>
        <v>13280</v>
      </c>
      <c r="D45" s="487">
        <f t="shared" si="15"/>
        <v>11330</v>
      </c>
      <c r="E45" s="487">
        <f t="shared" si="15"/>
        <v>17176</v>
      </c>
      <c r="F45" s="487">
        <f t="shared" si="15"/>
        <v>7319</v>
      </c>
      <c r="G45" s="487">
        <f t="shared" si="15"/>
        <v>17020</v>
      </c>
      <c r="H45" s="487">
        <f t="shared" si="15"/>
        <v>18700</v>
      </c>
      <c r="I45" s="487">
        <f t="shared" si="15"/>
        <v>9926</v>
      </c>
      <c r="J45" s="487">
        <f t="shared" si="15"/>
        <v>9513</v>
      </c>
      <c r="K45" s="487">
        <f t="shared" si="15"/>
        <v>15509</v>
      </c>
      <c r="L45" s="487">
        <f t="shared" si="15"/>
        <v>10626</v>
      </c>
      <c r="M45" s="487">
        <f t="shared" si="15"/>
        <v>2124</v>
      </c>
      <c r="N45" s="487">
        <f t="shared" si="15"/>
        <v>143031</v>
      </c>
      <c r="O45" s="530">
        <v>2005</v>
      </c>
    </row>
    <row r="46" spans="1:15" ht="26.4">
      <c r="A46" s="521" t="s">
        <v>73</v>
      </c>
      <c r="B46" s="487">
        <v>335</v>
      </c>
      <c r="C46" s="487">
        <v>646</v>
      </c>
      <c r="D46" s="487">
        <v>618</v>
      </c>
      <c r="E46" s="487">
        <v>519</v>
      </c>
      <c r="F46" s="487">
        <v>1145</v>
      </c>
      <c r="G46" s="487">
        <v>642</v>
      </c>
      <c r="H46" s="487">
        <v>843</v>
      </c>
      <c r="I46" s="487">
        <v>778</v>
      </c>
      <c r="J46" s="487">
        <v>868</v>
      </c>
      <c r="K46" s="487">
        <v>257</v>
      </c>
      <c r="L46" s="487">
        <v>229</v>
      </c>
      <c r="M46" s="487">
        <v>270</v>
      </c>
      <c r="N46" s="487">
        <f t="shared" ref="N46:N52" si="16">SUM(B46:M46)</f>
        <v>7150</v>
      </c>
      <c r="O46" s="522" t="s">
        <v>823</v>
      </c>
    </row>
    <row r="47" spans="1:15" ht="26.4">
      <c r="A47" s="523" t="s">
        <v>71</v>
      </c>
      <c r="B47" s="487">
        <v>91</v>
      </c>
      <c r="C47" s="487">
        <v>363</v>
      </c>
      <c r="D47" s="487">
        <v>314</v>
      </c>
      <c r="E47" s="487">
        <v>179</v>
      </c>
      <c r="F47" s="487">
        <v>449</v>
      </c>
      <c r="G47" s="487">
        <v>138</v>
      </c>
      <c r="H47" s="487">
        <v>269</v>
      </c>
      <c r="I47" s="487">
        <v>421</v>
      </c>
      <c r="J47" s="487">
        <v>264</v>
      </c>
      <c r="K47" s="487">
        <v>176</v>
      </c>
      <c r="L47" s="487">
        <v>24</v>
      </c>
      <c r="M47" s="487">
        <v>29</v>
      </c>
      <c r="N47" s="487">
        <f t="shared" si="16"/>
        <v>2717</v>
      </c>
      <c r="O47" s="524" t="s">
        <v>824</v>
      </c>
    </row>
    <row r="48" spans="1:15" ht="26.4">
      <c r="A48" s="523" t="s">
        <v>77</v>
      </c>
      <c r="B48" s="487">
        <v>614</v>
      </c>
      <c r="C48" s="487">
        <v>5</v>
      </c>
      <c r="D48" s="487">
        <v>518</v>
      </c>
      <c r="E48" s="487">
        <v>275</v>
      </c>
      <c r="F48" s="487">
        <v>100</v>
      </c>
      <c r="G48" s="487">
        <v>180</v>
      </c>
      <c r="H48" s="487">
        <v>302</v>
      </c>
      <c r="I48" s="487">
        <v>354</v>
      </c>
      <c r="J48" s="487">
        <v>470</v>
      </c>
      <c r="K48" s="487">
        <v>12</v>
      </c>
      <c r="L48" s="487">
        <v>566</v>
      </c>
      <c r="M48" s="487">
        <v>210</v>
      </c>
      <c r="N48" s="487">
        <f t="shared" si="16"/>
        <v>3606</v>
      </c>
      <c r="O48" s="525" t="s">
        <v>797</v>
      </c>
    </row>
    <row r="49" spans="1:15" ht="26.4">
      <c r="A49" s="521" t="s">
        <v>801</v>
      </c>
      <c r="B49" s="487">
        <f t="shared" ref="B49:M49" si="17">SUM(B50:B52)</f>
        <v>9468</v>
      </c>
      <c r="C49" s="487">
        <f t="shared" si="17"/>
        <v>12266</v>
      </c>
      <c r="D49" s="487">
        <f t="shared" si="17"/>
        <v>9880</v>
      </c>
      <c r="E49" s="487">
        <f t="shared" si="17"/>
        <v>16203</v>
      </c>
      <c r="F49" s="487">
        <f t="shared" si="17"/>
        <v>5625</v>
      </c>
      <c r="G49" s="487">
        <f t="shared" si="17"/>
        <v>16060</v>
      </c>
      <c r="H49" s="487">
        <f t="shared" si="17"/>
        <v>17286</v>
      </c>
      <c r="I49" s="487">
        <f t="shared" si="17"/>
        <v>8373</v>
      </c>
      <c r="J49" s="487">
        <f t="shared" si="17"/>
        <v>7911</v>
      </c>
      <c r="K49" s="487">
        <f t="shared" si="17"/>
        <v>15064</v>
      </c>
      <c r="L49" s="487">
        <f t="shared" si="17"/>
        <v>9807</v>
      </c>
      <c r="M49" s="487">
        <f t="shared" si="17"/>
        <v>1615</v>
      </c>
      <c r="N49" s="487">
        <f t="shared" si="16"/>
        <v>129558</v>
      </c>
      <c r="O49" s="522" t="s">
        <v>799</v>
      </c>
    </row>
    <row r="50" spans="1:15" ht="26.4">
      <c r="A50" s="526" t="s">
        <v>113</v>
      </c>
      <c r="B50" s="487">
        <v>7256</v>
      </c>
      <c r="C50" s="487">
        <v>9898</v>
      </c>
      <c r="D50" s="487">
        <v>8114</v>
      </c>
      <c r="E50" s="487">
        <v>14862</v>
      </c>
      <c r="F50" s="487">
        <v>4222</v>
      </c>
      <c r="G50" s="487">
        <v>14854</v>
      </c>
      <c r="H50" s="487">
        <v>16073</v>
      </c>
      <c r="I50" s="487">
        <v>7007</v>
      </c>
      <c r="J50" s="487">
        <v>6315</v>
      </c>
      <c r="K50" s="487">
        <v>14701</v>
      </c>
      <c r="L50" s="487">
        <v>9552</v>
      </c>
      <c r="M50" s="487">
        <v>1274</v>
      </c>
      <c r="N50" s="487">
        <f t="shared" si="16"/>
        <v>114128</v>
      </c>
      <c r="O50" s="527" t="s">
        <v>802</v>
      </c>
    </row>
    <row r="51" spans="1:15" ht="26.4">
      <c r="A51" s="526" t="s">
        <v>115</v>
      </c>
      <c r="B51" s="487">
        <v>1548</v>
      </c>
      <c r="C51" s="487">
        <v>1595</v>
      </c>
      <c r="D51" s="487">
        <v>1242</v>
      </c>
      <c r="E51" s="487">
        <v>1064</v>
      </c>
      <c r="F51" s="487">
        <v>1045</v>
      </c>
      <c r="G51" s="487">
        <v>943</v>
      </c>
      <c r="H51" s="487">
        <v>859</v>
      </c>
      <c r="I51" s="487">
        <v>1105</v>
      </c>
      <c r="J51" s="487">
        <v>881</v>
      </c>
      <c r="K51" s="487">
        <v>226</v>
      </c>
      <c r="L51" s="487">
        <v>238</v>
      </c>
      <c r="M51" s="487">
        <v>268</v>
      </c>
      <c r="N51" s="487">
        <f t="shared" si="16"/>
        <v>11014</v>
      </c>
      <c r="O51" s="528" t="s">
        <v>803</v>
      </c>
    </row>
    <row r="52" spans="1:15" ht="26.4">
      <c r="A52" s="526" t="s">
        <v>804</v>
      </c>
      <c r="B52" s="487">
        <v>664</v>
      </c>
      <c r="C52" s="487">
        <v>773</v>
      </c>
      <c r="D52" s="487">
        <v>524</v>
      </c>
      <c r="E52" s="487">
        <v>277</v>
      </c>
      <c r="F52" s="487">
        <v>358</v>
      </c>
      <c r="G52" s="487">
        <v>263</v>
      </c>
      <c r="H52" s="487">
        <v>354</v>
      </c>
      <c r="I52" s="487">
        <v>261</v>
      </c>
      <c r="J52" s="487">
        <v>715</v>
      </c>
      <c r="K52" s="487">
        <v>137</v>
      </c>
      <c r="L52" s="487">
        <v>17</v>
      </c>
      <c r="M52" s="487">
        <v>73</v>
      </c>
      <c r="N52" s="487">
        <f t="shared" si="16"/>
        <v>4416</v>
      </c>
      <c r="O52" s="528" t="s">
        <v>118</v>
      </c>
    </row>
    <row r="53" spans="1:15" ht="26.4">
      <c r="A53" s="529">
        <v>2006</v>
      </c>
      <c r="B53" s="470">
        <f t="shared" ref="B53:N53" si="18">SUM(B54:B57)</f>
        <v>11077</v>
      </c>
      <c r="C53" s="470">
        <f t="shared" si="18"/>
        <v>19131</v>
      </c>
      <c r="D53" s="470">
        <f t="shared" si="18"/>
        <v>50947</v>
      </c>
      <c r="E53" s="470">
        <f t="shared" si="18"/>
        <v>19701</v>
      </c>
      <c r="F53" s="470">
        <f t="shared" si="18"/>
        <v>18216</v>
      </c>
      <c r="G53" s="470">
        <f t="shared" si="18"/>
        <v>34835</v>
      </c>
      <c r="H53" s="470">
        <f t="shared" si="18"/>
        <v>21018</v>
      </c>
      <c r="I53" s="470">
        <f t="shared" si="18"/>
        <v>21569</v>
      </c>
      <c r="J53" s="470">
        <f t="shared" si="18"/>
        <v>44087</v>
      </c>
      <c r="K53" s="470">
        <f t="shared" si="18"/>
        <v>3543</v>
      </c>
      <c r="L53" s="470">
        <f t="shared" si="18"/>
        <v>10620</v>
      </c>
      <c r="M53" s="470">
        <f t="shared" si="18"/>
        <v>13756</v>
      </c>
      <c r="N53" s="470">
        <f t="shared" si="18"/>
        <v>268500</v>
      </c>
      <c r="O53" s="530">
        <v>2006</v>
      </c>
    </row>
    <row r="54" spans="1:15" ht="26.4">
      <c r="A54" s="521" t="s">
        <v>73</v>
      </c>
      <c r="B54" s="470">
        <v>5260</v>
      </c>
      <c r="C54" s="470">
        <v>9111</v>
      </c>
      <c r="D54" s="470">
        <v>25099</v>
      </c>
      <c r="E54" s="470">
        <v>9548</v>
      </c>
      <c r="F54" s="470">
        <v>8287</v>
      </c>
      <c r="G54" s="470">
        <v>16723</v>
      </c>
      <c r="H54" s="470">
        <v>9824</v>
      </c>
      <c r="I54" s="470">
        <v>10230</v>
      </c>
      <c r="J54" s="470">
        <v>21245</v>
      </c>
      <c r="K54" s="470">
        <v>144</v>
      </c>
      <c r="L54" s="470">
        <v>83</v>
      </c>
      <c r="M54" s="470">
        <v>292</v>
      </c>
      <c r="N54" s="470">
        <f t="shared" ref="N54:N68" si="19">SUM(B54:M54)</f>
        <v>115846</v>
      </c>
      <c r="O54" s="522" t="s">
        <v>795</v>
      </c>
    </row>
    <row r="55" spans="1:15" ht="26.4">
      <c r="A55" s="523" t="s">
        <v>71</v>
      </c>
      <c r="B55" s="470">
        <v>409</v>
      </c>
      <c r="C55" s="470">
        <v>466</v>
      </c>
      <c r="D55" s="470">
        <v>461</v>
      </c>
      <c r="E55" s="470">
        <v>476</v>
      </c>
      <c r="F55" s="470">
        <v>1356</v>
      </c>
      <c r="G55" s="470">
        <v>1258</v>
      </c>
      <c r="H55" s="470">
        <v>1054</v>
      </c>
      <c r="I55" s="470">
        <v>919</v>
      </c>
      <c r="J55" s="470">
        <v>1309</v>
      </c>
      <c r="K55" s="470">
        <v>21</v>
      </c>
      <c r="L55" s="470">
        <v>116</v>
      </c>
      <c r="M55" s="470">
        <v>262</v>
      </c>
      <c r="N55" s="470">
        <f t="shared" si="19"/>
        <v>8107</v>
      </c>
      <c r="O55" s="524" t="s">
        <v>824</v>
      </c>
    </row>
    <row r="56" spans="1:15" ht="26.4">
      <c r="A56" s="523" t="s">
        <v>77</v>
      </c>
      <c r="B56" s="470">
        <v>148</v>
      </c>
      <c r="C56" s="470">
        <v>443</v>
      </c>
      <c r="D56" s="470">
        <v>288</v>
      </c>
      <c r="E56" s="470">
        <v>129</v>
      </c>
      <c r="F56" s="470">
        <v>286</v>
      </c>
      <c r="G56" s="470">
        <v>131</v>
      </c>
      <c r="H56" s="470">
        <v>316</v>
      </c>
      <c r="I56" s="470">
        <v>190</v>
      </c>
      <c r="J56" s="470">
        <v>288</v>
      </c>
      <c r="K56" s="470">
        <v>19</v>
      </c>
      <c r="L56" s="470">
        <v>9</v>
      </c>
      <c r="M56" s="470">
        <v>98</v>
      </c>
      <c r="N56" s="470">
        <f t="shared" si="19"/>
        <v>2345</v>
      </c>
      <c r="O56" s="525" t="s">
        <v>797</v>
      </c>
    </row>
    <row r="57" spans="1:15" ht="26.4">
      <c r="A57" s="521" t="s">
        <v>801</v>
      </c>
      <c r="B57" s="470">
        <f t="shared" ref="B57:M57" si="20">SUM(B58:B60)</f>
        <v>5260</v>
      </c>
      <c r="C57" s="470">
        <f t="shared" si="20"/>
        <v>9111</v>
      </c>
      <c r="D57" s="470">
        <f t="shared" si="20"/>
        <v>25099</v>
      </c>
      <c r="E57" s="470">
        <f t="shared" si="20"/>
        <v>9548</v>
      </c>
      <c r="F57" s="470">
        <f t="shared" si="20"/>
        <v>8287</v>
      </c>
      <c r="G57" s="470">
        <f t="shared" si="20"/>
        <v>16723</v>
      </c>
      <c r="H57" s="470">
        <f t="shared" si="20"/>
        <v>9824</v>
      </c>
      <c r="I57" s="470">
        <f t="shared" si="20"/>
        <v>10230</v>
      </c>
      <c r="J57" s="470">
        <f t="shared" si="20"/>
        <v>21245</v>
      </c>
      <c r="K57" s="470">
        <f t="shared" si="20"/>
        <v>3359</v>
      </c>
      <c r="L57" s="470">
        <f t="shared" si="20"/>
        <v>10412</v>
      </c>
      <c r="M57" s="470">
        <f t="shared" si="20"/>
        <v>13104</v>
      </c>
      <c r="N57" s="470">
        <f t="shared" si="19"/>
        <v>142202</v>
      </c>
      <c r="O57" s="522" t="s">
        <v>799</v>
      </c>
    </row>
    <row r="58" spans="1:15" ht="26.4">
      <c r="A58" s="526" t="s">
        <v>113</v>
      </c>
      <c r="B58" s="469">
        <v>2564</v>
      </c>
      <c r="C58" s="469">
        <v>8005</v>
      </c>
      <c r="D58" s="469">
        <v>23991</v>
      </c>
      <c r="E58" s="469">
        <v>8651</v>
      </c>
      <c r="F58" s="469">
        <v>6468</v>
      </c>
      <c r="G58" s="469">
        <v>14976</v>
      </c>
      <c r="H58" s="469">
        <v>9365</v>
      </c>
      <c r="I58" s="469">
        <v>9671</v>
      </c>
      <c r="J58" s="469">
        <v>20323</v>
      </c>
      <c r="K58" s="469">
        <v>3289</v>
      </c>
      <c r="L58" s="469">
        <v>10203</v>
      </c>
      <c r="M58" s="469">
        <v>12264</v>
      </c>
      <c r="N58" s="470">
        <f t="shared" si="19"/>
        <v>129770</v>
      </c>
      <c r="O58" s="527" t="s">
        <v>802</v>
      </c>
    </row>
    <row r="59" spans="1:15" ht="26.4">
      <c r="A59" s="526" t="s">
        <v>115</v>
      </c>
      <c r="B59" s="469">
        <v>2117</v>
      </c>
      <c r="C59" s="469">
        <v>988</v>
      </c>
      <c r="D59" s="469">
        <v>926</v>
      </c>
      <c r="E59" s="469">
        <v>817</v>
      </c>
      <c r="F59" s="469">
        <v>1358</v>
      </c>
      <c r="G59" s="469">
        <v>1618</v>
      </c>
      <c r="H59" s="469">
        <v>317</v>
      </c>
      <c r="I59" s="469">
        <v>216</v>
      </c>
      <c r="J59" s="469">
        <v>784</v>
      </c>
      <c r="K59" s="469">
        <v>42</v>
      </c>
      <c r="L59" s="469">
        <v>169</v>
      </c>
      <c r="M59" s="469">
        <v>730</v>
      </c>
      <c r="N59" s="470">
        <f t="shared" si="19"/>
        <v>10082</v>
      </c>
      <c r="O59" s="528" t="s">
        <v>803</v>
      </c>
    </row>
    <row r="60" spans="1:15" ht="26.4">
      <c r="A60" s="526" t="s">
        <v>804</v>
      </c>
      <c r="B60" s="469">
        <v>579</v>
      </c>
      <c r="C60" s="469">
        <v>118</v>
      </c>
      <c r="D60" s="469">
        <v>182</v>
      </c>
      <c r="E60" s="469">
        <v>80</v>
      </c>
      <c r="F60" s="469">
        <v>461</v>
      </c>
      <c r="G60" s="469">
        <v>129</v>
      </c>
      <c r="H60" s="469">
        <v>142</v>
      </c>
      <c r="I60" s="469">
        <v>343</v>
      </c>
      <c r="J60" s="469">
        <v>138</v>
      </c>
      <c r="K60" s="469">
        <v>28</v>
      </c>
      <c r="L60" s="469">
        <v>40</v>
      </c>
      <c r="M60" s="469">
        <v>110</v>
      </c>
      <c r="N60" s="470">
        <f t="shared" si="19"/>
        <v>2350</v>
      </c>
      <c r="O60" s="528" t="s">
        <v>118</v>
      </c>
    </row>
    <row r="61" spans="1:15" ht="26.4">
      <c r="A61" s="529">
        <v>2007</v>
      </c>
      <c r="B61" s="470">
        <f t="shared" ref="B61:N61" si="21">SUM(B62:B65)</f>
        <v>16549</v>
      </c>
      <c r="C61" s="470">
        <f t="shared" si="21"/>
        <v>10638</v>
      </c>
      <c r="D61" s="470">
        <f t="shared" si="21"/>
        <v>23408</v>
      </c>
      <c r="E61" s="470">
        <f t="shared" si="21"/>
        <v>12599</v>
      </c>
      <c r="F61" s="470">
        <f t="shared" si="21"/>
        <v>15124</v>
      </c>
      <c r="G61" s="470">
        <f t="shared" si="21"/>
        <v>13754</v>
      </c>
      <c r="H61" s="470">
        <f t="shared" si="21"/>
        <v>12300</v>
      </c>
      <c r="I61" s="470">
        <f t="shared" si="21"/>
        <v>27780</v>
      </c>
      <c r="J61" s="470">
        <f t="shared" si="21"/>
        <v>25225</v>
      </c>
      <c r="K61" s="470">
        <f t="shared" si="21"/>
        <v>7592</v>
      </c>
      <c r="L61" s="470">
        <f t="shared" si="21"/>
        <v>15825</v>
      </c>
      <c r="M61" s="470">
        <f t="shared" si="21"/>
        <v>17193</v>
      </c>
      <c r="N61" s="470">
        <f t="shared" si="21"/>
        <v>197987</v>
      </c>
      <c r="O61" s="530">
        <v>2007</v>
      </c>
    </row>
    <row r="62" spans="1:15" ht="26.4">
      <c r="A62" s="521" t="s">
        <v>73</v>
      </c>
      <c r="B62" s="470">
        <v>562</v>
      </c>
      <c r="C62" s="470">
        <v>543</v>
      </c>
      <c r="D62" s="470">
        <v>961</v>
      </c>
      <c r="E62" s="470">
        <v>907</v>
      </c>
      <c r="F62" s="470">
        <v>3113</v>
      </c>
      <c r="G62" s="470">
        <v>2369</v>
      </c>
      <c r="H62" s="470">
        <v>2759</v>
      </c>
      <c r="I62" s="470">
        <v>2800</v>
      </c>
      <c r="J62" s="470">
        <v>2042</v>
      </c>
      <c r="K62" s="470">
        <v>979</v>
      </c>
      <c r="L62" s="470">
        <v>841</v>
      </c>
      <c r="M62" s="470">
        <v>783</v>
      </c>
      <c r="N62" s="470">
        <f t="shared" si="19"/>
        <v>18659</v>
      </c>
      <c r="O62" s="522" t="s">
        <v>795</v>
      </c>
    </row>
    <row r="63" spans="1:15" ht="26.4">
      <c r="A63" s="523" t="s">
        <v>71</v>
      </c>
      <c r="B63" s="470">
        <v>283</v>
      </c>
      <c r="C63" s="470">
        <v>248</v>
      </c>
      <c r="D63" s="470">
        <v>564</v>
      </c>
      <c r="E63" s="470">
        <v>567</v>
      </c>
      <c r="F63" s="470">
        <v>501</v>
      </c>
      <c r="G63" s="470">
        <v>555</v>
      </c>
      <c r="H63" s="470">
        <v>350</v>
      </c>
      <c r="I63" s="470">
        <v>347</v>
      </c>
      <c r="J63" s="470">
        <v>317</v>
      </c>
      <c r="K63" s="470">
        <v>319</v>
      </c>
      <c r="L63" s="470">
        <v>37</v>
      </c>
      <c r="M63" s="470">
        <v>239</v>
      </c>
      <c r="N63" s="470">
        <f t="shared" si="19"/>
        <v>4327</v>
      </c>
      <c r="O63" s="524" t="s">
        <v>824</v>
      </c>
    </row>
    <row r="64" spans="1:15" ht="26.4">
      <c r="A64" s="523" t="s">
        <v>77</v>
      </c>
      <c r="B64" s="470">
        <v>345</v>
      </c>
      <c r="C64" s="470">
        <v>533</v>
      </c>
      <c r="D64" s="470">
        <v>1324</v>
      </c>
      <c r="E64" s="470">
        <v>800</v>
      </c>
      <c r="F64" s="470">
        <v>300</v>
      </c>
      <c r="G64" s="470">
        <v>333</v>
      </c>
      <c r="H64" s="470">
        <v>182</v>
      </c>
      <c r="I64" s="470">
        <v>774</v>
      </c>
      <c r="J64" s="470">
        <v>697</v>
      </c>
      <c r="K64" s="470">
        <v>15</v>
      </c>
      <c r="L64" s="470">
        <v>124</v>
      </c>
      <c r="M64" s="470">
        <v>218</v>
      </c>
      <c r="N64" s="470">
        <f t="shared" si="19"/>
        <v>5645</v>
      </c>
      <c r="O64" s="525" t="s">
        <v>797</v>
      </c>
    </row>
    <row r="65" spans="1:15" ht="26.4">
      <c r="A65" s="521" t="s">
        <v>801</v>
      </c>
      <c r="B65" s="470">
        <v>15359</v>
      </c>
      <c r="C65" s="470">
        <v>9314</v>
      </c>
      <c r="D65" s="470">
        <v>20559</v>
      </c>
      <c r="E65" s="470">
        <v>10325</v>
      </c>
      <c r="F65" s="470">
        <v>11210</v>
      </c>
      <c r="G65" s="470">
        <v>10497</v>
      </c>
      <c r="H65" s="470">
        <v>9009</v>
      </c>
      <c r="I65" s="470">
        <v>23859</v>
      </c>
      <c r="J65" s="470">
        <v>22169</v>
      </c>
      <c r="K65" s="470">
        <v>6279</v>
      </c>
      <c r="L65" s="470">
        <v>14823</v>
      </c>
      <c r="M65" s="470">
        <v>15953</v>
      </c>
      <c r="N65" s="470">
        <f t="shared" si="19"/>
        <v>169356</v>
      </c>
      <c r="O65" s="522" t="s">
        <v>799</v>
      </c>
    </row>
    <row r="66" spans="1:15" ht="26.4">
      <c r="A66" s="526" t="s">
        <v>113</v>
      </c>
      <c r="B66" s="470">
        <v>12613</v>
      </c>
      <c r="C66" s="470">
        <v>8462</v>
      </c>
      <c r="D66" s="470">
        <v>17910</v>
      </c>
      <c r="E66" s="470">
        <v>8182</v>
      </c>
      <c r="F66" s="470">
        <v>8937</v>
      </c>
      <c r="G66" s="470">
        <v>8156</v>
      </c>
      <c r="H66" s="470">
        <v>7438</v>
      </c>
      <c r="I66" s="470">
        <v>21083</v>
      </c>
      <c r="J66" s="470">
        <v>20568</v>
      </c>
      <c r="K66" s="470">
        <v>5725</v>
      </c>
      <c r="L66" s="470">
        <v>14512</v>
      </c>
      <c r="M66" s="470">
        <v>13564</v>
      </c>
      <c r="N66" s="470">
        <f t="shared" si="19"/>
        <v>147150</v>
      </c>
      <c r="O66" s="527" t="s">
        <v>802</v>
      </c>
    </row>
    <row r="67" spans="1:15" ht="26.4">
      <c r="A67" s="526" t="s">
        <v>115</v>
      </c>
      <c r="B67" s="470">
        <v>2367</v>
      </c>
      <c r="C67" s="470">
        <v>700</v>
      </c>
      <c r="D67" s="470">
        <v>2342</v>
      </c>
      <c r="E67" s="470">
        <v>1928</v>
      </c>
      <c r="F67" s="470">
        <v>2039</v>
      </c>
      <c r="G67" s="470">
        <v>2239</v>
      </c>
      <c r="H67" s="470">
        <v>1406</v>
      </c>
      <c r="I67" s="470">
        <v>1365</v>
      </c>
      <c r="J67" s="470">
        <v>604</v>
      </c>
      <c r="K67" s="470">
        <v>207</v>
      </c>
      <c r="L67" s="470">
        <v>218</v>
      </c>
      <c r="M67" s="470">
        <v>804</v>
      </c>
      <c r="N67" s="470">
        <f t="shared" si="19"/>
        <v>16219</v>
      </c>
      <c r="O67" s="528" t="s">
        <v>803</v>
      </c>
    </row>
    <row r="68" spans="1:15" ht="26.4">
      <c r="A68" s="526" t="s">
        <v>804</v>
      </c>
      <c r="B68" s="470">
        <v>379</v>
      </c>
      <c r="C68" s="470">
        <v>152</v>
      </c>
      <c r="D68" s="470">
        <v>307</v>
      </c>
      <c r="E68" s="470">
        <v>215</v>
      </c>
      <c r="F68" s="470">
        <v>234</v>
      </c>
      <c r="G68" s="470">
        <v>102</v>
      </c>
      <c r="H68" s="470">
        <v>165</v>
      </c>
      <c r="I68" s="470">
        <v>1411</v>
      </c>
      <c r="J68" s="470">
        <v>997</v>
      </c>
      <c r="K68" s="470">
        <v>347</v>
      </c>
      <c r="L68" s="470">
        <v>93</v>
      </c>
      <c r="M68" s="470">
        <v>1585</v>
      </c>
      <c r="N68" s="470">
        <f t="shared" si="19"/>
        <v>5987</v>
      </c>
      <c r="O68" s="528" t="s">
        <v>118</v>
      </c>
    </row>
    <row r="69" spans="1:15" ht="26.4">
      <c r="A69" s="529">
        <v>2008</v>
      </c>
      <c r="B69" s="487">
        <f t="shared" ref="B69:M69" si="22">SUM(B70:B73)</f>
        <v>30420</v>
      </c>
      <c r="C69" s="487">
        <f t="shared" si="22"/>
        <v>22632</v>
      </c>
      <c r="D69" s="487">
        <f t="shared" si="22"/>
        <v>20487</v>
      </c>
      <c r="E69" s="487">
        <f t="shared" si="22"/>
        <v>31345</v>
      </c>
      <c r="F69" s="487">
        <f t="shared" si="22"/>
        <v>11779</v>
      </c>
      <c r="G69" s="487">
        <f t="shared" si="22"/>
        <v>5075</v>
      </c>
      <c r="H69" s="487">
        <f t="shared" si="22"/>
        <v>15716</v>
      </c>
      <c r="I69" s="487">
        <f t="shared" si="22"/>
        <v>5827</v>
      </c>
      <c r="J69" s="487">
        <f t="shared" si="22"/>
        <v>5798</v>
      </c>
      <c r="K69" s="487">
        <f t="shared" si="22"/>
        <v>34749</v>
      </c>
      <c r="L69" s="487">
        <f t="shared" si="22"/>
        <v>6548</v>
      </c>
      <c r="M69" s="487">
        <f t="shared" si="22"/>
        <v>28655</v>
      </c>
      <c r="N69" s="487">
        <f>SUM(N70:N73)</f>
        <v>219031</v>
      </c>
      <c r="O69" s="530">
        <v>2008</v>
      </c>
    </row>
    <row r="70" spans="1:15" ht="26.4">
      <c r="A70" s="521" t="s">
        <v>73</v>
      </c>
      <c r="B70" s="487">
        <v>900</v>
      </c>
      <c r="C70" s="487">
        <v>1312</v>
      </c>
      <c r="D70" s="487">
        <v>1890</v>
      </c>
      <c r="E70" s="487">
        <v>1518</v>
      </c>
      <c r="F70" s="487">
        <v>1529</v>
      </c>
      <c r="G70" s="487">
        <v>731</v>
      </c>
      <c r="H70" s="487">
        <v>1190</v>
      </c>
      <c r="I70" s="487">
        <v>445</v>
      </c>
      <c r="J70" s="487">
        <v>337</v>
      </c>
      <c r="K70" s="487">
        <v>311</v>
      </c>
      <c r="L70" s="487">
        <v>323</v>
      </c>
      <c r="M70" s="487">
        <v>237</v>
      </c>
      <c r="N70" s="487">
        <f t="shared" ref="N70:N76" si="23">SUM(B70:M70)</f>
        <v>10723</v>
      </c>
      <c r="O70" s="522" t="s">
        <v>795</v>
      </c>
    </row>
    <row r="71" spans="1:15" ht="26.4">
      <c r="A71" s="523" t="s">
        <v>71</v>
      </c>
      <c r="B71" s="487">
        <v>245</v>
      </c>
      <c r="C71" s="487">
        <v>367</v>
      </c>
      <c r="D71" s="487">
        <v>216</v>
      </c>
      <c r="E71" s="487">
        <v>760</v>
      </c>
      <c r="F71" s="487">
        <v>88</v>
      </c>
      <c r="G71" s="487">
        <v>230</v>
      </c>
      <c r="H71" s="487">
        <v>464</v>
      </c>
      <c r="I71" s="487">
        <v>114</v>
      </c>
      <c r="J71" s="487">
        <v>117</v>
      </c>
      <c r="K71" s="487">
        <v>119</v>
      </c>
      <c r="L71" s="487">
        <v>56</v>
      </c>
      <c r="M71" s="487">
        <v>61</v>
      </c>
      <c r="N71" s="487">
        <f t="shared" si="23"/>
        <v>2837</v>
      </c>
      <c r="O71" s="524" t="s">
        <v>824</v>
      </c>
    </row>
    <row r="72" spans="1:15" ht="26.4">
      <c r="A72" s="523" t="s">
        <v>77</v>
      </c>
      <c r="B72" s="487">
        <v>152</v>
      </c>
      <c r="C72" s="487">
        <v>273</v>
      </c>
      <c r="D72" s="487">
        <v>246</v>
      </c>
      <c r="E72" s="487">
        <v>295</v>
      </c>
      <c r="F72" s="487">
        <v>159</v>
      </c>
      <c r="G72" s="487">
        <v>385</v>
      </c>
      <c r="H72" s="487">
        <v>395</v>
      </c>
      <c r="I72" s="487">
        <v>269</v>
      </c>
      <c r="J72" s="487">
        <v>267</v>
      </c>
      <c r="K72" s="487">
        <v>56</v>
      </c>
      <c r="L72" s="487">
        <v>92</v>
      </c>
      <c r="M72" s="487">
        <v>97</v>
      </c>
      <c r="N72" s="487">
        <f t="shared" si="23"/>
        <v>2686</v>
      </c>
      <c r="O72" s="525" t="s">
        <v>797</v>
      </c>
    </row>
    <row r="73" spans="1:15" ht="26.4">
      <c r="A73" s="521" t="s">
        <v>801</v>
      </c>
      <c r="B73" s="487">
        <v>29123</v>
      </c>
      <c r="C73" s="487">
        <v>20680</v>
      </c>
      <c r="D73" s="487">
        <v>18135</v>
      </c>
      <c r="E73" s="487">
        <v>28772</v>
      </c>
      <c r="F73" s="487">
        <v>10003</v>
      </c>
      <c r="G73" s="487">
        <v>3729</v>
      </c>
      <c r="H73" s="487">
        <v>13667</v>
      </c>
      <c r="I73" s="487">
        <v>4999</v>
      </c>
      <c r="J73" s="487">
        <v>5077</v>
      </c>
      <c r="K73" s="487">
        <v>34263</v>
      </c>
      <c r="L73" s="487">
        <v>6077</v>
      </c>
      <c r="M73" s="487">
        <v>28260</v>
      </c>
      <c r="N73" s="487">
        <f t="shared" si="23"/>
        <v>202785</v>
      </c>
      <c r="O73" s="522" t="s">
        <v>799</v>
      </c>
    </row>
    <row r="74" spans="1:15" ht="26.4">
      <c r="A74" s="526" t="s">
        <v>113</v>
      </c>
      <c r="B74" s="487">
        <v>22992</v>
      </c>
      <c r="C74" s="487">
        <v>14122</v>
      </c>
      <c r="D74" s="487">
        <v>14676</v>
      </c>
      <c r="E74" s="487">
        <v>25556</v>
      </c>
      <c r="F74" s="487">
        <v>8969</v>
      </c>
      <c r="G74" s="487">
        <v>2974</v>
      </c>
      <c r="H74" s="487">
        <v>10215</v>
      </c>
      <c r="I74" s="487">
        <v>4143</v>
      </c>
      <c r="J74" s="487">
        <v>3854</v>
      </c>
      <c r="K74" s="487">
        <v>33843</v>
      </c>
      <c r="L74" s="487">
        <v>4636</v>
      </c>
      <c r="M74" s="487">
        <v>27629</v>
      </c>
      <c r="N74" s="487">
        <f t="shared" si="23"/>
        <v>173609</v>
      </c>
      <c r="O74" s="527" t="s">
        <v>802</v>
      </c>
    </row>
    <row r="75" spans="1:15" ht="26.4">
      <c r="A75" s="526" t="s">
        <v>115</v>
      </c>
      <c r="B75" s="487">
        <v>1588</v>
      </c>
      <c r="C75" s="487">
        <v>1463</v>
      </c>
      <c r="D75" s="487">
        <v>1540</v>
      </c>
      <c r="E75" s="487">
        <v>2037</v>
      </c>
      <c r="F75" s="487">
        <v>815</v>
      </c>
      <c r="G75" s="487">
        <v>691</v>
      </c>
      <c r="H75" s="487">
        <v>2821</v>
      </c>
      <c r="I75" s="487">
        <v>565</v>
      </c>
      <c r="J75" s="487">
        <v>647</v>
      </c>
      <c r="K75" s="487">
        <v>368</v>
      </c>
      <c r="L75" s="487">
        <v>1229</v>
      </c>
      <c r="M75" s="487">
        <v>537</v>
      </c>
      <c r="N75" s="487">
        <f t="shared" si="23"/>
        <v>14301</v>
      </c>
      <c r="O75" s="528" t="s">
        <v>803</v>
      </c>
    </row>
    <row r="76" spans="1:15" ht="26.4">
      <c r="A76" s="526" t="s">
        <v>804</v>
      </c>
      <c r="B76" s="487">
        <v>4543</v>
      </c>
      <c r="C76" s="487">
        <v>5095</v>
      </c>
      <c r="D76" s="487">
        <v>1919</v>
      </c>
      <c r="E76" s="487">
        <v>1179</v>
      </c>
      <c r="F76" s="487">
        <v>219</v>
      </c>
      <c r="G76" s="487">
        <v>64</v>
      </c>
      <c r="H76" s="487">
        <v>631</v>
      </c>
      <c r="I76" s="487">
        <v>291</v>
      </c>
      <c r="J76" s="487">
        <v>576</v>
      </c>
      <c r="K76" s="487">
        <v>52</v>
      </c>
      <c r="L76" s="487">
        <v>212</v>
      </c>
      <c r="M76" s="487">
        <v>94</v>
      </c>
      <c r="N76" s="487">
        <f t="shared" si="23"/>
        <v>14875</v>
      </c>
      <c r="O76" s="528" t="s">
        <v>118</v>
      </c>
    </row>
    <row r="77" spans="1:15" ht="26.4">
      <c r="A77" s="529">
        <v>2009</v>
      </c>
      <c r="B77" s="487">
        <f t="shared" ref="B77:M77" si="24">SUM(B78:B81)</f>
        <v>8689</v>
      </c>
      <c r="C77" s="487">
        <f t="shared" si="24"/>
        <v>6779</v>
      </c>
      <c r="D77" s="487">
        <f t="shared" si="24"/>
        <v>32789</v>
      </c>
      <c r="E77" s="487">
        <f t="shared" si="24"/>
        <v>22698</v>
      </c>
      <c r="F77" s="487">
        <f t="shared" si="24"/>
        <v>28068</v>
      </c>
      <c r="G77" s="487">
        <f t="shared" si="24"/>
        <v>13957</v>
      </c>
      <c r="H77" s="487">
        <f t="shared" si="24"/>
        <v>25742</v>
      </c>
      <c r="I77" s="487">
        <f t="shared" si="24"/>
        <v>32456</v>
      </c>
      <c r="J77" s="487">
        <f t="shared" si="24"/>
        <v>23875</v>
      </c>
      <c r="K77" s="487">
        <f t="shared" si="24"/>
        <v>10671</v>
      </c>
      <c r="L77" s="487">
        <f t="shared" si="24"/>
        <v>8984</v>
      </c>
      <c r="M77" s="487">
        <f t="shared" si="24"/>
        <v>7834</v>
      </c>
      <c r="N77" s="487">
        <f>SUM(N78:N81)</f>
        <v>222542</v>
      </c>
      <c r="O77" s="530">
        <v>2009</v>
      </c>
    </row>
    <row r="78" spans="1:15" ht="26.4">
      <c r="A78" s="521" t="s">
        <v>73</v>
      </c>
      <c r="B78" s="487">
        <v>750</v>
      </c>
      <c r="C78" s="487">
        <v>310</v>
      </c>
      <c r="D78" s="487">
        <v>1271</v>
      </c>
      <c r="E78" s="487">
        <v>785</v>
      </c>
      <c r="F78" s="487">
        <v>1257</v>
      </c>
      <c r="G78" s="487">
        <v>753</v>
      </c>
      <c r="H78" s="487">
        <v>325</v>
      </c>
      <c r="I78" s="487">
        <v>526</v>
      </c>
      <c r="J78" s="487">
        <v>762</v>
      </c>
      <c r="K78" s="487">
        <v>224</v>
      </c>
      <c r="L78" s="487">
        <v>353</v>
      </c>
      <c r="M78" s="487">
        <v>449</v>
      </c>
      <c r="N78" s="487">
        <f t="shared" ref="N78:N92" si="25">SUM(B78:M78)</f>
        <v>7765</v>
      </c>
      <c r="O78" s="522" t="s">
        <v>795</v>
      </c>
    </row>
    <row r="79" spans="1:15" ht="26.4">
      <c r="A79" s="523" t="s">
        <v>71</v>
      </c>
      <c r="B79" s="487">
        <v>267</v>
      </c>
      <c r="C79" s="487">
        <v>139</v>
      </c>
      <c r="D79" s="487">
        <v>321</v>
      </c>
      <c r="E79" s="487">
        <v>233</v>
      </c>
      <c r="F79" s="487">
        <v>675</v>
      </c>
      <c r="G79" s="487">
        <v>138</v>
      </c>
      <c r="H79" s="487">
        <v>78</v>
      </c>
      <c r="I79" s="487">
        <v>114</v>
      </c>
      <c r="J79" s="487">
        <v>210</v>
      </c>
      <c r="K79" s="487">
        <v>92</v>
      </c>
      <c r="L79" s="487">
        <v>82</v>
      </c>
      <c r="M79" s="487">
        <v>234</v>
      </c>
      <c r="N79" s="487">
        <f t="shared" si="25"/>
        <v>2583</v>
      </c>
      <c r="O79" s="524" t="s">
        <v>824</v>
      </c>
    </row>
    <row r="80" spans="1:15" ht="26.4">
      <c r="A80" s="523" t="s">
        <v>77</v>
      </c>
      <c r="B80" s="487">
        <v>132</v>
      </c>
      <c r="C80" s="487">
        <v>92</v>
      </c>
      <c r="D80" s="487">
        <v>67</v>
      </c>
      <c r="E80" s="487">
        <v>93</v>
      </c>
      <c r="F80" s="487">
        <v>344</v>
      </c>
      <c r="G80" s="487">
        <v>125</v>
      </c>
      <c r="H80" s="487">
        <v>143</v>
      </c>
      <c r="I80" s="487">
        <v>157</v>
      </c>
      <c r="J80" s="487">
        <v>416</v>
      </c>
      <c r="K80" s="487">
        <v>53</v>
      </c>
      <c r="L80" s="487">
        <v>5</v>
      </c>
      <c r="M80" s="487">
        <v>143</v>
      </c>
      <c r="N80" s="487">
        <f t="shared" si="25"/>
        <v>1770</v>
      </c>
      <c r="O80" s="525" t="s">
        <v>797</v>
      </c>
    </row>
    <row r="81" spans="1:15" ht="26.4">
      <c r="A81" s="521" t="s">
        <v>801</v>
      </c>
      <c r="B81" s="487">
        <v>7540</v>
      </c>
      <c r="C81" s="487">
        <v>6238</v>
      </c>
      <c r="D81" s="487">
        <v>31130</v>
      </c>
      <c r="E81" s="487">
        <v>21587</v>
      </c>
      <c r="F81" s="487">
        <v>25792</v>
      </c>
      <c r="G81" s="487">
        <v>12941</v>
      </c>
      <c r="H81" s="487">
        <v>25196</v>
      </c>
      <c r="I81" s="487">
        <v>31659</v>
      </c>
      <c r="J81" s="487">
        <v>22487</v>
      </c>
      <c r="K81" s="487">
        <v>10302</v>
      </c>
      <c r="L81" s="487">
        <v>8544</v>
      </c>
      <c r="M81" s="487">
        <v>7008</v>
      </c>
      <c r="N81" s="487">
        <f t="shared" si="25"/>
        <v>210424</v>
      </c>
      <c r="O81" s="522" t="s">
        <v>799</v>
      </c>
    </row>
    <row r="82" spans="1:15" ht="26.4">
      <c r="A82" s="526" t="s">
        <v>113</v>
      </c>
      <c r="B82" s="487">
        <v>6881</v>
      </c>
      <c r="C82" s="487">
        <v>5662</v>
      </c>
      <c r="D82" s="487">
        <v>27547</v>
      </c>
      <c r="E82" s="487">
        <v>18911</v>
      </c>
      <c r="F82" s="487">
        <v>21714</v>
      </c>
      <c r="G82" s="487">
        <v>9880</v>
      </c>
      <c r="H82" s="487">
        <v>24320</v>
      </c>
      <c r="I82" s="487">
        <v>30696</v>
      </c>
      <c r="J82" s="487">
        <v>21656</v>
      </c>
      <c r="K82" s="487">
        <v>10052</v>
      </c>
      <c r="L82" s="487">
        <v>8457</v>
      </c>
      <c r="M82" s="487">
        <v>6460</v>
      </c>
      <c r="N82" s="487">
        <f t="shared" si="25"/>
        <v>192236</v>
      </c>
      <c r="O82" s="527" t="s">
        <v>802</v>
      </c>
    </row>
    <row r="83" spans="1:15" ht="26.4">
      <c r="A83" s="526" t="s">
        <v>115</v>
      </c>
      <c r="B83" s="487">
        <v>587</v>
      </c>
      <c r="C83" s="487">
        <v>426</v>
      </c>
      <c r="D83" s="487">
        <v>2638</v>
      </c>
      <c r="E83" s="487">
        <v>1706</v>
      </c>
      <c r="F83" s="487">
        <v>3056</v>
      </c>
      <c r="G83" s="487">
        <v>2316</v>
      </c>
      <c r="H83" s="487">
        <v>705</v>
      </c>
      <c r="I83" s="487">
        <v>864</v>
      </c>
      <c r="J83" s="487">
        <v>537</v>
      </c>
      <c r="K83" s="487">
        <v>188</v>
      </c>
      <c r="L83" s="487">
        <v>78</v>
      </c>
      <c r="M83" s="487">
        <v>522</v>
      </c>
      <c r="N83" s="487">
        <f t="shared" si="25"/>
        <v>13623</v>
      </c>
      <c r="O83" s="528" t="s">
        <v>803</v>
      </c>
    </row>
    <row r="84" spans="1:15" ht="26.4">
      <c r="A84" s="526" t="s">
        <v>804</v>
      </c>
      <c r="B84" s="487">
        <v>72</v>
      </c>
      <c r="C84" s="487">
        <v>150</v>
      </c>
      <c r="D84" s="487">
        <v>945</v>
      </c>
      <c r="E84" s="487">
        <v>970</v>
      </c>
      <c r="F84" s="487">
        <v>1022</v>
      </c>
      <c r="G84" s="487">
        <v>745</v>
      </c>
      <c r="H84" s="487">
        <v>171</v>
      </c>
      <c r="I84" s="487">
        <v>99</v>
      </c>
      <c r="J84" s="487">
        <v>294</v>
      </c>
      <c r="K84" s="487">
        <v>62</v>
      </c>
      <c r="L84" s="487">
        <v>9</v>
      </c>
      <c r="M84" s="487">
        <v>26</v>
      </c>
      <c r="N84" s="487">
        <f t="shared" si="25"/>
        <v>4565</v>
      </c>
      <c r="O84" s="528" t="s">
        <v>118</v>
      </c>
    </row>
    <row r="85" spans="1:15" ht="26.4">
      <c r="A85" s="529">
        <v>2010</v>
      </c>
      <c r="B85" s="487">
        <f t="shared" ref="B85:N85" si="26">SUM(B86:B89)</f>
        <v>13795</v>
      </c>
      <c r="C85" s="487">
        <f t="shared" si="26"/>
        <v>13648</v>
      </c>
      <c r="D85" s="487">
        <f t="shared" si="26"/>
        <v>13211</v>
      </c>
      <c r="E85" s="487">
        <f t="shared" si="26"/>
        <v>12303</v>
      </c>
      <c r="F85" s="487">
        <f t="shared" si="26"/>
        <v>16842</v>
      </c>
      <c r="G85" s="487">
        <f t="shared" si="26"/>
        <v>4002</v>
      </c>
      <c r="H85" s="487">
        <f t="shared" si="26"/>
        <v>23232</v>
      </c>
      <c r="I85" s="487">
        <f t="shared" si="26"/>
        <v>24222</v>
      </c>
      <c r="J85" s="487">
        <f t="shared" si="26"/>
        <v>18307</v>
      </c>
      <c r="K85" s="487">
        <f t="shared" si="26"/>
        <v>29921</v>
      </c>
      <c r="L85" s="487">
        <f t="shared" si="26"/>
        <v>2688</v>
      </c>
      <c r="M85" s="487">
        <f t="shared" si="26"/>
        <v>16278</v>
      </c>
      <c r="N85" s="487">
        <f t="shared" si="26"/>
        <v>188449</v>
      </c>
      <c r="O85" s="530">
        <v>2010</v>
      </c>
    </row>
    <row r="86" spans="1:15" ht="26.4">
      <c r="A86" s="521" t="s">
        <v>73</v>
      </c>
      <c r="B86" s="487">
        <f>1284+429</f>
        <v>1713</v>
      </c>
      <c r="C86" s="487">
        <f>873+260</f>
        <v>1133</v>
      </c>
      <c r="D86" s="487">
        <f>950+298</f>
        <v>1248</v>
      </c>
      <c r="E86" s="487">
        <f>1208+184</f>
        <v>1392</v>
      </c>
      <c r="F86" s="487">
        <f>1486+116</f>
        <v>1602</v>
      </c>
      <c r="G86" s="487">
        <f>1241+229</f>
        <v>1470</v>
      </c>
      <c r="H86" s="487">
        <f>597+23</f>
        <v>620</v>
      </c>
      <c r="I86" s="487">
        <f>1176+150</f>
        <v>1326</v>
      </c>
      <c r="J86" s="487">
        <f>820+63</f>
        <v>883</v>
      </c>
      <c r="K86" s="487">
        <f>1293+317</f>
        <v>1610</v>
      </c>
      <c r="L86" s="487">
        <f>276+57</f>
        <v>333</v>
      </c>
      <c r="M86" s="487">
        <f>201+35</f>
        <v>236</v>
      </c>
      <c r="N86" s="487">
        <f t="shared" si="25"/>
        <v>13566</v>
      </c>
      <c r="O86" s="522" t="s">
        <v>795</v>
      </c>
    </row>
    <row r="87" spans="1:15" ht="26.4">
      <c r="A87" s="523" t="s">
        <v>71</v>
      </c>
      <c r="B87" s="487">
        <v>176</v>
      </c>
      <c r="C87" s="487">
        <v>265</v>
      </c>
      <c r="D87" s="487">
        <v>784</v>
      </c>
      <c r="E87" s="487">
        <v>316</v>
      </c>
      <c r="F87" s="487">
        <v>493</v>
      </c>
      <c r="G87" s="487">
        <v>222</v>
      </c>
      <c r="H87" s="487">
        <v>51</v>
      </c>
      <c r="I87" s="487">
        <v>121</v>
      </c>
      <c r="J87" s="487">
        <v>73</v>
      </c>
      <c r="K87" s="487">
        <v>115</v>
      </c>
      <c r="L87" s="487">
        <v>140</v>
      </c>
      <c r="M87" s="487">
        <v>73</v>
      </c>
      <c r="N87" s="487">
        <f t="shared" si="25"/>
        <v>2829</v>
      </c>
      <c r="O87" s="524" t="s">
        <v>824</v>
      </c>
    </row>
    <row r="88" spans="1:15" ht="26.4">
      <c r="A88" s="523" t="s">
        <v>77</v>
      </c>
      <c r="B88" s="487">
        <v>134</v>
      </c>
      <c r="C88" s="487">
        <v>123</v>
      </c>
      <c r="D88" s="487">
        <v>104</v>
      </c>
      <c r="E88" s="487">
        <v>185</v>
      </c>
      <c r="F88" s="487">
        <v>274</v>
      </c>
      <c r="G88" s="487">
        <v>88</v>
      </c>
      <c r="H88" s="487">
        <v>136</v>
      </c>
      <c r="I88" s="487">
        <v>494</v>
      </c>
      <c r="J88" s="487">
        <v>172</v>
      </c>
      <c r="K88" s="487">
        <v>530</v>
      </c>
      <c r="L88" s="487">
        <v>460</v>
      </c>
      <c r="M88" s="487">
        <v>211</v>
      </c>
      <c r="N88" s="487">
        <f t="shared" si="25"/>
        <v>2911</v>
      </c>
      <c r="O88" s="525" t="s">
        <v>797</v>
      </c>
    </row>
    <row r="89" spans="1:15" ht="26.4">
      <c r="A89" s="521" t="s">
        <v>801</v>
      </c>
      <c r="B89" s="487">
        <v>11772</v>
      </c>
      <c r="C89" s="487">
        <v>12127</v>
      </c>
      <c r="D89" s="487">
        <v>11075</v>
      </c>
      <c r="E89" s="487">
        <v>10410</v>
      </c>
      <c r="F89" s="487">
        <v>14473</v>
      </c>
      <c r="G89" s="487">
        <v>2222</v>
      </c>
      <c r="H89" s="487">
        <v>22425</v>
      </c>
      <c r="I89" s="487">
        <v>22281</v>
      </c>
      <c r="J89" s="487">
        <v>17179</v>
      </c>
      <c r="K89" s="487">
        <v>27666</v>
      </c>
      <c r="L89" s="487">
        <v>1755</v>
      </c>
      <c r="M89" s="487">
        <v>15758</v>
      </c>
      <c r="N89" s="487">
        <f t="shared" si="25"/>
        <v>169143</v>
      </c>
      <c r="O89" s="522" t="s">
        <v>799</v>
      </c>
    </row>
    <row r="90" spans="1:15" ht="26.4">
      <c r="A90" s="526" t="s">
        <v>113</v>
      </c>
      <c r="B90" s="487">
        <v>10941</v>
      </c>
      <c r="C90" s="487">
        <v>11146</v>
      </c>
      <c r="D90" s="487">
        <v>8850</v>
      </c>
      <c r="E90" s="487">
        <v>8744</v>
      </c>
      <c r="F90" s="487">
        <v>12152</v>
      </c>
      <c r="G90" s="487">
        <v>1658</v>
      </c>
      <c r="H90" s="487">
        <v>21961</v>
      </c>
      <c r="I90" s="487">
        <v>21628</v>
      </c>
      <c r="J90" s="487">
        <v>16123</v>
      </c>
      <c r="K90" s="487">
        <v>27230</v>
      </c>
      <c r="L90" s="487">
        <v>1698</v>
      </c>
      <c r="M90" s="487">
        <v>15593</v>
      </c>
      <c r="N90" s="487">
        <f t="shared" si="25"/>
        <v>157724</v>
      </c>
      <c r="O90" s="527" t="s">
        <v>802</v>
      </c>
    </row>
    <row r="91" spans="1:15" ht="26.4">
      <c r="A91" s="526" t="s">
        <v>115</v>
      </c>
      <c r="B91" s="487">
        <v>608</v>
      </c>
      <c r="C91" s="487">
        <v>825</v>
      </c>
      <c r="D91" s="487">
        <v>1653</v>
      </c>
      <c r="E91" s="487">
        <v>1296</v>
      </c>
      <c r="F91" s="487">
        <v>1938</v>
      </c>
      <c r="G91" s="487">
        <v>346</v>
      </c>
      <c r="H91" s="487">
        <v>455</v>
      </c>
      <c r="I91" s="487">
        <v>502</v>
      </c>
      <c r="J91" s="487">
        <v>943</v>
      </c>
      <c r="K91" s="487">
        <v>363</v>
      </c>
      <c r="L91" s="487">
        <v>39</v>
      </c>
      <c r="M91" s="487">
        <v>111</v>
      </c>
      <c r="N91" s="487">
        <f t="shared" si="25"/>
        <v>9079</v>
      </c>
      <c r="O91" s="528" t="s">
        <v>803</v>
      </c>
    </row>
    <row r="92" spans="1:15" ht="26.4">
      <c r="A92" s="526" t="s">
        <v>804</v>
      </c>
      <c r="B92" s="487">
        <v>223</v>
      </c>
      <c r="C92" s="487">
        <v>156</v>
      </c>
      <c r="D92" s="487">
        <v>572</v>
      </c>
      <c r="E92" s="487">
        <v>370</v>
      </c>
      <c r="F92" s="487">
        <v>383</v>
      </c>
      <c r="G92" s="487">
        <v>218</v>
      </c>
      <c r="H92" s="487">
        <v>9</v>
      </c>
      <c r="I92" s="487">
        <v>151</v>
      </c>
      <c r="J92" s="487">
        <v>113</v>
      </c>
      <c r="K92" s="487">
        <v>73</v>
      </c>
      <c r="L92" s="487">
        <v>18</v>
      </c>
      <c r="M92" s="487">
        <v>54</v>
      </c>
      <c r="N92" s="487">
        <f t="shared" si="25"/>
        <v>2340</v>
      </c>
      <c r="O92" s="528" t="s">
        <v>118</v>
      </c>
    </row>
    <row r="93" spans="1:15" ht="26.4">
      <c r="A93" s="529">
        <v>2011</v>
      </c>
      <c r="B93" s="487">
        <f t="shared" ref="B93:N93" si="27">SUM(B94:B97)</f>
        <v>18022</v>
      </c>
      <c r="C93" s="487">
        <f t="shared" si="27"/>
        <v>25019</v>
      </c>
      <c r="D93" s="487">
        <f t="shared" si="27"/>
        <v>26008</v>
      </c>
      <c r="E93" s="487">
        <f t="shared" si="27"/>
        <v>19168</v>
      </c>
      <c r="F93" s="487">
        <f t="shared" si="27"/>
        <v>29784</v>
      </c>
      <c r="G93" s="487">
        <f t="shared" si="27"/>
        <v>7056</v>
      </c>
      <c r="H93" s="487">
        <f t="shared" si="27"/>
        <v>24839</v>
      </c>
      <c r="I93" s="487">
        <f t="shared" si="27"/>
        <v>31738</v>
      </c>
      <c r="J93" s="487">
        <f t="shared" si="27"/>
        <v>32781</v>
      </c>
      <c r="K93" s="487">
        <f t="shared" si="27"/>
        <v>38403</v>
      </c>
      <c r="L93" s="487">
        <f t="shared" si="27"/>
        <v>3795</v>
      </c>
      <c r="M93" s="487">
        <f t="shared" si="27"/>
        <v>32680</v>
      </c>
      <c r="N93" s="487">
        <f t="shared" si="27"/>
        <v>289293</v>
      </c>
      <c r="O93" s="530">
        <v>2011</v>
      </c>
    </row>
    <row r="94" spans="1:15" ht="26.4">
      <c r="A94" s="521" t="s">
        <v>73</v>
      </c>
      <c r="B94" s="487">
        <f>378+77</f>
        <v>455</v>
      </c>
      <c r="C94" s="487">
        <f>902+292</f>
        <v>1194</v>
      </c>
      <c r="D94" s="487">
        <f>1666+224</f>
        <v>1890</v>
      </c>
      <c r="E94" s="487">
        <f>992+191</f>
        <v>1183</v>
      </c>
      <c r="F94" s="487">
        <f>2340+250</f>
        <v>2590</v>
      </c>
      <c r="G94" s="487">
        <f>1233+151</f>
        <v>1384</v>
      </c>
      <c r="H94" s="487">
        <f>538+76</f>
        <v>614</v>
      </c>
      <c r="I94" s="487">
        <f>1597+180</f>
        <v>1777</v>
      </c>
      <c r="J94" s="487">
        <f>1079+112</f>
        <v>1191</v>
      </c>
      <c r="K94" s="487">
        <f>1509+346</f>
        <v>1855</v>
      </c>
      <c r="L94" s="487">
        <f>609+47</f>
        <v>656</v>
      </c>
      <c r="M94" s="487">
        <f>253+7</f>
        <v>260</v>
      </c>
      <c r="N94" s="487">
        <f t="shared" ref="N94:N100" si="28">SUM(B94:M94)</f>
        <v>15049</v>
      </c>
      <c r="O94" s="522" t="s">
        <v>795</v>
      </c>
    </row>
    <row r="95" spans="1:15" ht="26.4">
      <c r="A95" s="523" t="s">
        <v>71</v>
      </c>
      <c r="B95" s="487">
        <v>304</v>
      </c>
      <c r="C95" s="487">
        <v>311</v>
      </c>
      <c r="D95" s="487">
        <v>435</v>
      </c>
      <c r="E95" s="487">
        <v>471</v>
      </c>
      <c r="F95" s="487">
        <v>880</v>
      </c>
      <c r="G95" s="487">
        <v>390</v>
      </c>
      <c r="H95" s="487">
        <v>331</v>
      </c>
      <c r="I95" s="487">
        <v>511</v>
      </c>
      <c r="J95" s="487">
        <v>307</v>
      </c>
      <c r="K95" s="487">
        <v>325</v>
      </c>
      <c r="L95" s="487">
        <v>267</v>
      </c>
      <c r="M95" s="487">
        <v>220</v>
      </c>
      <c r="N95" s="487">
        <f t="shared" si="28"/>
        <v>4752</v>
      </c>
      <c r="O95" s="524" t="s">
        <v>824</v>
      </c>
    </row>
    <row r="96" spans="1:15" ht="26.4">
      <c r="A96" s="523" t="s">
        <v>77</v>
      </c>
      <c r="B96" s="487">
        <v>142</v>
      </c>
      <c r="C96" s="487">
        <v>520</v>
      </c>
      <c r="D96" s="487">
        <v>256</v>
      </c>
      <c r="E96" s="487">
        <v>652</v>
      </c>
      <c r="F96" s="487">
        <v>817</v>
      </c>
      <c r="G96" s="487">
        <v>783</v>
      </c>
      <c r="H96" s="487">
        <v>297</v>
      </c>
      <c r="I96" s="487">
        <v>583</v>
      </c>
      <c r="J96" s="487">
        <v>376</v>
      </c>
      <c r="K96" s="487">
        <v>703</v>
      </c>
      <c r="L96" s="487">
        <v>57</v>
      </c>
      <c r="M96" s="487">
        <v>300</v>
      </c>
      <c r="N96" s="487">
        <f t="shared" si="28"/>
        <v>5486</v>
      </c>
      <c r="O96" s="525" t="s">
        <v>797</v>
      </c>
    </row>
    <row r="97" spans="1:15" ht="26.4">
      <c r="A97" s="521" t="s">
        <v>801</v>
      </c>
      <c r="B97" s="487">
        <v>17121</v>
      </c>
      <c r="C97" s="487">
        <v>22994</v>
      </c>
      <c r="D97" s="487">
        <v>23427</v>
      </c>
      <c r="E97" s="487">
        <v>16862</v>
      </c>
      <c r="F97" s="487">
        <v>25497</v>
      </c>
      <c r="G97" s="487">
        <v>4499</v>
      </c>
      <c r="H97" s="487">
        <v>23597</v>
      </c>
      <c r="I97" s="487">
        <v>28867</v>
      </c>
      <c r="J97" s="487">
        <v>30907</v>
      </c>
      <c r="K97" s="487">
        <v>35520</v>
      </c>
      <c r="L97" s="487">
        <v>2815</v>
      </c>
      <c r="M97" s="487">
        <v>31900</v>
      </c>
      <c r="N97" s="487">
        <f t="shared" si="28"/>
        <v>264006</v>
      </c>
      <c r="O97" s="522" t="s">
        <v>799</v>
      </c>
    </row>
    <row r="98" spans="1:15" ht="26.4">
      <c r="A98" s="526" t="s">
        <v>113</v>
      </c>
      <c r="B98" s="487">
        <v>16329</v>
      </c>
      <c r="C98" s="487">
        <v>20367</v>
      </c>
      <c r="D98" s="487">
        <v>20931</v>
      </c>
      <c r="E98" s="487">
        <v>14395</v>
      </c>
      <c r="F98" s="487">
        <v>22178</v>
      </c>
      <c r="G98" s="487">
        <v>3948</v>
      </c>
      <c r="H98" s="487">
        <v>22942</v>
      </c>
      <c r="I98" s="487">
        <v>28140</v>
      </c>
      <c r="J98" s="487">
        <v>30398</v>
      </c>
      <c r="K98" s="487">
        <v>35325</v>
      </c>
      <c r="L98" s="487">
        <v>2619</v>
      </c>
      <c r="M98" s="487">
        <v>31833</v>
      </c>
      <c r="N98" s="487">
        <f t="shared" si="28"/>
        <v>249405</v>
      </c>
      <c r="O98" s="527" t="s">
        <v>802</v>
      </c>
    </row>
    <row r="99" spans="1:15" ht="26.4">
      <c r="A99" s="526" t="s">
        <v>115</v>
      </c>
      <c r="B99" s="487">
        <v>316</v>
      </c>
      <c r="C99" s="487">
        <v>1176</v>
      </c>
      <c r="D99" s="487">
        <v>1390</v>
      </c>
      <c r="E99" s="487">
        <v>1604</v>
      </c>
      <c r="F99" s="487">
        <v>2894</v>
      </c>
      <c r="G99" s="487">
        <v>441</v>
      </c>
      <c r="H99" s="487">
        <v>559</v>
      </c>
      <c r="I99" s="487">
        <v>539</v>
      </c>
      <c r="J99" s="487">
        <v>463</v>
      </c>
      <c r="K99" s="487">
        <v>250</v>
      </c>
      <c r="L99" s="487">
        <v>170</v>
      </c>
      <c r="M99" s="487">
        <v>66</v>
      </c>
      <c r="N99" s="487">
        <f t="shared" si="28"/>
        <v>9868</v>
      </c>
      <c r="O99" s="528" t="s">
        <v>803</v>
      </c>
    </row>
    <row r="100" spans="1:15" ht="26.4">
      <c r="A100" s="526" t="s">
        <v>804</v>
      </c>
      <c r="B100" s="487">
        <v>476</v>
      </c>
      <c r="C100" s="487">
        <v>1451</v>
      </c>
      <c r="D100" s="487">
        <v>1106</v>
      </c>
      <c r="E100" s="487">
        <v>863</v>
      </c>
      <c r="F100" s="487">
        <v>425</v>
      </c>
      <c r="G100" s="487">
        <v>110</v>
      </c>
      <c r="H100" s="487">
        <v>96</v>
      </c>
      <c r="I100" s="487">
        <v>188</v>
      </c>
      <c r="J100" s="487">
        <v>46</v>
      </c>
      <c r="K100" s="487">
        <v>45</v>
      </c>
      <c r="L100" s="487">
        <v>26</v>
      </c>
      <c r="M100" s="487">
        <v>1</v>
      </c>
      <c r="N100" s="487">
        <f t="shared" si="28"/>
        <v>4833</v>
      </c>
      <c r="O100" s="528" t="s">
        <v>118</v>
      </c>
    </row>
    <row r="101" spans="1:15" ht="26.4">
      <c r="A101" s="529">
        <v>2012</v>
      </c>
      <c r="B101" s="487">
        <f t="shared" ref="B101:M101" si="29">SUM(B102:B105)</f>
        <v>25296</v>
      </c>
      <c r="C101" s="487">
        <f t="shared" si="29"/>
        <v>41921</v>
      </c>
      <c r="D101" s="487">
        <f t="shared" si="29"/>
        <v>21039</v>
      </c>
      <c r="E101" s="487">
        <f t="shared" si="29"/>
        <v>17965</v>
      </c>
      <c r="F101" s="487">
        <f t="shared" si="29"/>
        <v>39672</v>
      </c>
      <c r="G101" s="487">
        <f t="shared" si="29"/>
        <v>13581</v>
      </c>
      <c r="H101" s="487">
        <f t="shared" si="29"/>
        <v>13778</v>
      </c>
      <c r="I101" s="487">
        <f t="shared" si="29"/>
        <v>58740</v>
      </c>
      <c r="J101" s="487">
        <f t="shared" si="29"/>
        <v>31756</v>
      </c>
      <c r="K101" s="487">
        <f t="shared" si="29"/>
        <v>38031</v>
      </c>
      <c r="L101" s="487">
        <f t="shared" si="29"/>
        <v>20155</v>
      </c>
      <c r="M101" s="487">
        <f t="shared" si="29"/>
        <v>14860</v>
      </c>
      <c r="N101" s="487">
        <f>SUM(N102:N105)</f>
        <v>336794</v>
      </c>
      <c r="O101" s="530">
        <v>2012</v>
      </c>
    </row>
    <row r="102" spans="1:15" ht="26.4">
      <c r="A102" s="521" t="s">
        <v>73</v>
      </c>
      <c r="B102" s="487">
        <f>868+201</f>
        <v>1069</v>
      </c>
      <c r="C102" s="487">
        <f>1518+269</f>
        <v>1787</v>
      </c>
      <c r="D102" s="487">
        <f>1237+121</f>
        <v>1358</v>
      </c>
      <c r="E102" s="487">
        <f>1235+667</f>
        <v>1902</v>
      </c>
      <c r="F102" s="487">
        <f>1743+470</f>
        <v>2213</v>
      </c>
      <c r="G102" s="487">
        <f>1052+301</f>
        <v>1353</v>
      </c>
      <c r="H102" s="487">
        <f>620+44</f>
        <v>664</v>
      </c>
      <c r="I102" s="487">
        <f>579+71</f>
        <v>650</v>
      </c>
      <c r="J102" s="487">
        <f>1099+359</f>
        <v>1458</v>
      </c>
      <c r="K102" s="487">
        <f>570+196</f>
        <v>766</v>
      </c>
      <c r="L102" s="487">
        <f>550+66</f>
        <v>616</v>
      </c>
      <c r="M102" s="487">
        <f>247+3</f>
        <v>250</v>
      </c>
      <c r="N102" s="487">
        <f t="shared" ref="N102:N108" si="30">SUM(B102:M102)</f>
        <v>14086</v>
      </c>
      <c r="O102" s="522" t="s">
        <v>795</v>
      </c>
    </row>
    <row r="103" spans="1:15" ht="26.4">
      <c r="A103" s="523" t="s">
        <v>71</v>
      </c>
      <c r="B103" s="487">
        <v>260</v>
      </c>
      <c r="C103" s="487">
        <v>458</v>
      </c>
      <c r="D103" s="487">
        <v>379</v>
      </c>
      <c r="E103" s="487">
        <v>596</v>
      </c>
      <c r="F103" s="487">
        <v>363</v>
      </c>
      <c r="G103" s="487">
        <v>320</v>
      </c>
      <c r="H103" s="487">
        <v>186</v>
      </c>
      <c r="I103" s="487">
        <v>205</v>
      </c>
      <c r="J103" s="487">
        <v>121</v>
      </c>
      <c r="K103" s="487">
        <v>155</v>
      </c>
      <c r="L103" s="487">
        <v>203</v>
      </c>
      <c r="M103" s="487">
        <v>108</v>
      </c>
      <c r="N103" s="487">
        <f t="shared" si="30"/>
        <v>3354</v>
      </c>
      <c r="O103" s="524" t="s">
        <v>824</v>
      </c>
    </row>
    <row r="104" spans="1:15" ht="26.4">
      <c r="A104" s="523" t="s">
        <v>77</v>
      </c>
      <c r="B104" s="487">
        <v>391</v>
      </c>
      <c r="C104" s="487">
        <v>221</v>
      </c>
      <c r="D104" s="487">
        <v>229</v>
      </c>
      <c r="E104" s="487">
        <v>217</v>
      </c>
      <c r="F104" s="487">
        <v>425</v>
      </c>
      <c r="G104" s="487">
        <v>521</v>
      </c>
      <c r="H104" s="487">
        <v>56</v>
      </c>
      <c r="I104" s="487">
        <v>445</v>
      </c>
      <c r="J104" s="487">
        <v>479</v>
      </c>
      <c r="K104" s="487">
        <v>516</v>
      </c>
      <c r="L104" s="487">
        <v>554</v>
      </c>
      <c r="M104" s="487">
        <v>301</v>
      </c>
      <c r="N104" s="487">
        <f t="shared" si="30"/>
        <v>4355</v>
      </c>
      <c r="O104" s="525" t="s">
        <v>797</v>
      </c>
    </row>
    <row r="105" spans="1:15" ht="26.4">
      <c r="A105" s="521" t="s">
        <v>801</v>
      </c>
      <c r="B105" s="487">
        <v>23576</v>
      </c>
      <c r="C105" s="487">
        <v>39455</v>
      </c>
      <c r="D105" s="487">
        <v>19073</v>
      </c>
      <c r="E105" s="487">
        <v>15250</v>
      </c>
      <c r="F105" s="487">
        <v>36671</v>
      </c>
      <c r="G105" s="487">
        <v>11387</v>
      </c>
      <c r="H105" s="487">
        <v>12872</v>
      </c>
      <c r="I105" s="487">
        <v>57440</v>
      </c>
      <c r="J105" s="487">
        <v>29698</v>
      </c>
      <c r="K105" s="487">
        <v>36594</v>
      </c>
      <c r="L105" s="487">
        <v>18782</v>
      </c>
      <c r="M105" s="487">
        <v>14201</v>
      </c>
      <c r="N105" s="487">
        <f t="shared" si="30"/>
        <v>314999</v>
      </c>
      <c r="O105" s="522" t="s">
        <v>799</v>
      </c>
    </row>
    <row r="106" spans="1:15" ht="26.4">
      <c r="A106" s="526" t="s">
        <v>113</v>
      </c>
      <c r="B106" s="487">
        <v>22630</v>
      </c>
      <c r="C106" s="487">
        <v>35815</v>
      </c>
      <c r="D106" s="487">
        <v>16890</v>
      </c>
      <c r="E106" s="487">
        <v>11652</v>
      </c>
      <c r="F106" s="487">
        <v>32171</v>
      </c>
      <c r="G106" s="487">
        <v>8993</v>
      </c>
      <c r="H106" s="487">
        <v>12235</v>
      </c>
      <c r="I106" s="487">
        <v>56052</v>
      </c>
      <c r="J106" s="487">
        <v>28485</v>
      </c>
      <c r="K106" s="487">
        <v>34086</v>
      </c>
      <c r="L106" s="487">
        <v>18251</v>
      </c>
      <c r="M106" s="487">
        <v>14115</v>
      </c>
      <c r="N106" s="487">
        <f t="shared" si="30"/>
        <v>291375</v>
      </c>
      <c r="O106" s="527" t="s">
        <v>802</v>
      </c>
    </row>
    <row r="107" spans="1:15" ht="26.4">
      <c r="A107" s="526" t="s">
        <v>115</v>
      </c>
      <c r="B107" s="487">
        <v>812</v>
      </c>
      <c r="C107" s="487">
        <v>2728</v>
      </c>
      <c r="D107" s="487">
        <v>1709</v>
      </c>
      <c r="E107" s="487">
        <v>2811</v>
      </c>
      <c r="F107" s="487">
        <v>3510</v>
      </c>
      <c r="G107" s="487">
        <v>1970</v>
      </c>
      <c r="H107" s="487">
        <v>628</v>
      </c>
      <c r="I107" s="487">
        <v>668</v>
      </c>
      <c r="J107" s="487">
        <v>845</v>
      </c>
      <c r="K107" s="487">
        <v>1338</v>
      </c>
      <c r="L107" s="487">
        <v>421</v>
      </c>
      <c r="M107" s="487">
        <v>39</v>
      </c>
      <c r="N107" s="487">
        <f t="shared" si="30"/>
        <v>17479</v>
      </c>
      <c r="O107" s="528" t="s">
        <v>803</v>
      </c>
    </row>
    <row r="108" spans="1:15" ht="26.4">
      <c r="A108" s="526" t="s">
        <v>804</v>
      </c>
      <c r="B108" s="487">
        <v>134</v>
      </c>
      <c r="C108" s="487">
        <v>912</v>
      </c>
      <c r="D108" s="487">
        <v>474</v>
      </c>
      <c r="E108" s="487">
        <v>787</v>
      </c>
      <c r="F108" s="487">
        <v>990</v>
      </c>
      <c r="G108" s="487">
        <v>424</v>
      </c>
      <c r="H108" s="487">
        <v>9</v>
      </c>
      <c r="I108" s="487">
        <v>720</v>
      </c>
      <c r="J108" s="487">
        <v>368</v>
      </c>
      <c r="K108" s="487">
        <v>1170</v>
      </c>
      <c r="L108" s="487">
        <v>110</v>
      </c>
      <c r="M108" s="487">
        <v>47</v>
      </c>
      <c r="N108" s="487">
        <f t="shared" si="30"/>
        <v>6145</v>
      </c>
      <c r="O108" s="528" t="s">
        <v>118</v>
      </c>
    </row>
    <row r="109" spans="1:15" ht="26.4">
      <c r="A109" s="529">
        <v>2013</v>
      </c>
      <c r="B109" s="487">
        <f t="shared" ref="B109:M109" si="31">SUM(B110:B113)</f>
        <v>13556</v>
      </c>
      <c r="C109" s="487">
        <f t="shared" si="31"/>
        <v>23754</v>
      </c>
      <c r="D109" s="487">
        <f t="shared" si="31"/>
        <v>21014</v>
      </c>
      <c r="E109" s="487">
        <f t="shared" si="31"/>
        <v>14600</v>
      </c>
      <c r="F109" s="487">
        <f t="shared" si="31"/>
        <v>24319</v>
      </c>
      <c r="G109" s="487">
        <f t="shared" si="31"/>
        <v>12454</v>
      </c>
      <c r="H109" s="487">
        <f t="shared" si="31"/>
        <v>25388</v>
      </c>
      <c r="I109" s="487">
        <f t="shared" si="31"/>
        <v>20758</v>
      </c>
      <c r="J109" s="487">
        <f t="shared" si="31"/>
        <v>28315</v>
      </c>
      <c r="K109" s="487">
        <f t="shared" si="31"/>
        <v>21920</v>
      </c>
      <c r="L109" s="487">
        <f t="shared" si="31"/>
        <v>5642</v>
      </c>
      <c r="M109" s="487">
        <f t="shared" si="31"/>
        <v>17431</v>
      </c>
      <c r="N109" s="487">
        <f>SUM(N110:N113)</f>
        <v>229151</v>
      </c>
      <c r="O109" s="530">
        <v>2013</v>
      </c>
    </row>
    <row r="110" spans="1:15" ht="26.4">
      <c r="A110" s="521" t="s">
        <v>73</v>
      </c>
      <c r="B110" s="487">
        <f>1330+628</f>
        <v>1958</v>
      </c>
      <c r="C110" s="487">
        <f>617+1341</f>
        <v>1958</v>
      </c>
      <c r="D110" s="487">
        <f>1228+673</f>
        <v>1901</v>
      </c>
      <c r="E110" s="487">
        <f>1661+1371</f>
        <v>3032</v>
      </c>
      <c r="F110" s="487">
        <f>1769+313</f>
        <v>2082</v>
      </c>
      <c r="G110" s="487">
        <f>1601+424</f>
        <v>2025</v>
      </c>
      <c r="H110" s="487">
        <f>1316+6</f>
        <v>1322</v>
      </c>
      <c r="I110" s="487">
        <f>704+117</f>
        <v>821</v>
      </c>
      <c r="J110" s="487">
        <f>1335+193</f>
        <v>1528</v>
      </c>
      <c r="K110" s="487">
        <f>1140+337</f>
        <v>1477</v>
      </c>
      <c r="L110" s="487">
        <f>427+97</f>
        <v>524</v>
      </c>
      <c r="M110" s="487">
        <f>313+571</f>
        <v>884</v>
      </c>
      <c r="N110" s="487">
        <f t="shared" ref="N110:N116" si="32">SUM(B110:M110)</f>
        <v>19512</v>
      </c>
      <c r="O110" s="522" t="s">
        <v>795</v>
      </c>
    </row>
    <row r="111" spans="1:15" ht="26.4">
      <c r="A111" s="523" t="s">
        <v>71</v>
      </c>
      <c r="B111" s="487">
        <v>305</v>
      </c>
      <c r="C111" s="487">
        <v>215</v>
      </c>
      <c r="D111" s="487">
        <v>287</v>
      </c>
      <c r="E111" s="487">
        <v>579</v>
      </c>
      <c r="F111" s="487">
        <v>1159</v>
      </c>
      <c r="G111" s="487">
        <v>466</v>
      </c>
      <c r="H111" s="487">
        <v>253</v>
      </c>
      <c r="I111" s="487">
        <v>71</v>
      </c>
      <c r="J111" s="487">
        <v>112</v>
      </c>
      <c r="K111" s="487">
        <v>155</v>
      </c>
      <c r="L111" s="487">
        <v>240</v>
      </c>
      <c r="M111" s="487">
        <v>1946</v>
      </c>
      <c r="N111" s="487">
        <f t="shared" si="32"/>
        <v>5788</v>
      </c>
      <c r="O111" s="524" t="s">
        <v>824</v>
      </c>
    </row>
    <row r="112" spans="1:15" ht="26.4">
      <c r="A112" s="523" t="s">
        <v>77</v>
      </c>
      <c r="B112" s="487">
        <v>665</v>
      </c>
      <c r="C112" s="487">
        <v>473</v>
      </c>
      <c r="D112" s="487">
        <v>214</v>
      </c>
      <c r="E112" s="487">
        <v>316</v>
      </c>
      <c r="F112" s="487">
        <v>483</v>
      </c>
      <c r="G112" s="487">
        <v>328</v>
      </c>
      <c r="H112" s="487">
        <v>597</v>
      </c>
      <c r="I112" s="487">
        <v>111</v>
      </c>
      <c r="J112" s="487">
        <v>265</v>
      </c>
      <c r="K112" s="487">
        <v>463</v>
      </c>
      <c r="L112" s="487">
        <v>428</v>
      </c>
      <c r="M112" s="487">
        <v>165</v>
      </c>
      <c r="N112" s="487">
        <f t="shared" si="32"/>
        <v>4508</v>
      </c>
      <c r="O112" s="525" t="s">
        <v>797</v>
      </c>
    </row>
    <row r="113" spans="1:15" ht="26.4">
      <c r="A113" s="521" t="s">
        <v>801</v>
      </c>
      <c r="B113" s="487">
        <v>10628</v>
      </c>
      <c r="C113" s="487">
        <v>21108</v>
      </c>
      <c r="D113" s="487">
        <v>18612</v>
      </c>
      <c r="E113" s="487">
        <v>10673</v>
      </c>
      <c r="F113" s="487">
        <v>20595</v>
      </c>
      <c r="G113" s="487">
        <v>9635</v>
      </c>
      <c r="H113" s="487">
        <v>23216</v>
      </c>
      <c r="I113" s="487">
        <v>19755</v>
      </c>
      <c r="J113" s="487">
        <v>26410</v>
      </c>
      <c r="K113" s="487">
        <v>19825</v>
      </c>
      <c r="L113" s="487">
        <v>4450</v>
      </c>
      <c r="M113" s="487">
        <v>14436</v>
      </c>
      <c r="N113" s="487">
        <f t="shared" si="32"/>
        <v>199343</v>
      </c>
      <c r="O113" s="522" t="s">
        <v>799</v>
      </c>
    </row>
    <row r="114" spans="1:15" ht="26.4">
      <c r="A114" s="526" t="s">
        <v>113</v>
      </c>
      <c r="B114" s="487">
        <v>8832</v>
      </c>
      <c r="C114" s="487">
        <v>19834</v>
      </c>
      <c r="D114" s="487">
        <v>11843</v>
      </c>
      <c r="E114" s="487">
        <v>5819</v>
      </c>
      <c r="F114" s="487">
        <v>15283</v>
      </c>
      <c r="G114" s="487">
        <v>7314</v>
      </c>
      <c r="H114" s="487">
        <v>22563</v>
      </c>
      <c r="I114" s="487">
        <v>18120</v>
      </c>
      <c r="J114" s="487">
        <v>23918</v>
      </c>
      <c r="K114" s="487">
        <v>17397</v>
      </c>
      <c r="L114" s="487">
        <v>3761</v>
      </c>
      <c r="M114" s="487">
        <v>13969</v>
      </c>
      <c r="N114" s="487">
        <f t="shared" si="32"/>
        <v>168653</v>
      </c>
      <c r="O114" s="527" t="s">
        <v>802</v>
      </c>
    </row>
    <row r="115" spans="1:15" ht="26.4">
      <c r="A115" s="526" t="s">
        <v>115</v>
      </c>
      <c r="B115" s="487">
        <v>850</v>
      </c>
      <c r="C115" s="487">
        <v>784</v>
      </c>
      <c r="D115" s="487">
        <v>3029</v>
      </c>
      <c r="E115" s="487">
        <v>2658</v>
      </c>
      <c r="F115" s="487">
        <v>3299</v>
      </c>
      <c r="G115" s="487">
        <v>1732</v>
      </c>
      <c r="H115" s="487">
        <v>300</v>
      </c>
      <c r="I115" s="487">
        <v>764</v>
      </c>
      <c r="J115" s="487">
        <v>887</v>
      </c>
      <c r="K115" s="487">
        <v>1103</v>
      </c>
      <c r="L115" s="487">
        <v>176</v>
      </c>
      <c r="M115" s="487">
        <v>246</v>
      </c>
      <c r="N115" s="487">
        <f t="shared" si="32"/>
        <v>15828</v>
      </c>
      <c r="O115" s="528" t="s">
        <v>803</v>
      </c>
    </row>
    <row r="116" spans="1:15" ht="26.4">
      <c r="A116" s="526" t="s">
        <v>804</v>
      </c>
      <c r="B116" s="487">
        <v>946</v>
      </c>
      <c r="C116" s="487">
        <v>490</v>
      </c>
      <c r="D116" s="487">
        <v>3740</v>
      </c>
      <c r="E116" s="487">
        <v>2196</v>
      </c>
      <c r="F116" s="487">
        <v>2013</v>
      </c>
      <c r="G116" s="487">
        <v>589</v>
      </c>
      <c r="H116" s="487">
        <v>353</v>
      </c>
      <c r="I116" s="487">
        <v>871</v>
      </c>
      <c r="J116" s="487">
        <v>1605</v>
      </c>
      <c r="K116" s="487">
        <v>1325</v>
      </c>
      <c r="L116" s="487">
        <v>513</v>
      </c>
      <c r="M116" s="487">
        <v>221</v>
      </c>
      <c r="N116" s="487">
        <f t="shared" si="32"/>
        <v>14862</v>
      </c>
      <c r="O116" s="528" t="s">
        <v>118</v>
      </c>
    </row>
    <row r="117" spans="1:15" ht="26.4">
      <c r="A117" s="529">
        <v>2016</v>
      </c>
      <c r="B117" s="487">
        <f>SUM(B118:B121)+B125</f>
        <v>31317</v>
      </c>
      <c r="C117" s="487">
        <f t="shared" ref="C117:M117" si="33">SUM(C118:C121)+C125</f>
        <v>16806</v>
      </c>
      <c r="D117" s="487">
        <f t="shared" si="33"/>
        <v>26437</v>
      </c>
      <c r="E117" s="487">
        <f t="shared" si="33"/>
        <v>20601</v>
      </c>
      <c r="F117" s="487">
        <f t="shared" si="33"/>
        <v>19925</v>
      </c>
      <c r="G117" s="487">
        <f t="shared" si="33"/>
        <v>6934</v>
      </c>
      <c r="H117" s="487">
        <f t="shared" si="33"/>
        <v>38785</v>
      </c>
      <c r="I117" s="487">
        <f t="shared" si="33"/>
        <v>38149</v>
      </c>
      <c r="J117" s="487">
        <f t="shared" si="33"/>
        <v>27466</v>
      </c>
      <c r="K117" s="487">
        <f t="shared" si="33"/>
        <v>31191</v>
      </c>
      <c r="L117" s="487">
        <f t="shared" si="33"/>
        <v>19829</v>
      </c>
      <c r="M117" s="487">
        <f t="shared" si="33"/>
        <v>25172</v>
      </c>
      <c r="N117" s="487">
        <f t="shared" ref="N117:N161" si="34">SUM(B117:M117)</f>
        <v>302612</v>
      </c>
      <c r="O117" s="530">
        <v>2016</v>
      </c>
    </row>
    <row r="118" spans="1:15" ht="26.4">
      <c r="A118" s="521" t="s">
        <v>73</v>
      </c>
      <c r="B118" s="487">
        <v>1751</v>
      </c>
      <c r="C118" s="487">
        <v>2110</v>
      </c>
      <c r="D118" s="487">
        <v>2731</v>
      </c>
      <c r="E118" s="487">
        <v>2764</v>
      </c>
      <c r="F118" s="487">
        <v>3220</v>
      </c>
      <c r="G118" s="487">
        <v>1797</v>
      </c>
      <c r="H118" s="487">
        <v>1074</v>
      </c>
      <c r="I118" s="487">
        <v>1723</v>
      </c>
      <c r="J118" s="487">
        <v>1531</v>
      </c>
      <c r="K118" s="487">
        <v>1387</v>
      </c>
      <c r="L118" s="487">
        <v>922</v>
      </c>
      <c r="M118" s="487">
        <v>1217</v>
      </c>
      <c r="N118" s="487">
        <f t="shared" si="34"/>
        <v>22227</v>
      </c>
      <c r="O118" s="522" t="s">
        <v>795</v>
      </c>
    </row>
    <row r="119" spans="1:15" ht="26.4">
      <c r="A119" s="523" t="s">
        <v>71</v>
      </c>
      <c r="B119" s="487">
        <v>1434</v>
      </c>
      <c r="C119" s="487">
        <v>1758</v>
      </c>
      <c r="D119" s="487">
        <v>1937</v>
      </c>
      <c r="E119" s="487">
        <v>1667</v>
      </c>
      <c r="F119" s="487">
        <v>1106</v>
      </c>
      <c r="G119" s="487">
        <v>2071</v>
      </c>
      <c r="H119" s="487">
        <v>911</v>
      </c>
      <c r="I119" s="487">
        <v>660</v>
      </c>
      <c r="J119" s="487">
        <v>581</v>
      </c>
      <c r="K119" s="487">
        <v>1274</v>
      </c>
      <c r="L119" s="487">
        <v>2432</v>
      </c>
      <c r="M119" s="487">
        <v>2341</v>
      </c>
      <c r="N119" s="487">
        <f t="shared" si="34"/>
        <v>18172</v>
      </c>
      <c r="O119" s="524" t="s">
        <v>824</v>
      </c>
    </row>
    <row r="120" spans="1:15" ht="26.4">
      <c r="A120" s="523" t="s">
        <v>77</v>
      </c>
      <c r="B120" s="487">
        <v>836</v>
      </c>
      <c r="C120" s="487">
        <v>335</v>
      </c>
      <c r="D120" s="487">
        <v>323</v>
      </c>
      <c r="E120" s="487">
        <v>629</v>
      </c>
      <c r="F120" s="487">
        <v>395</v>
      </c>
      <c r="G120" s="487">
        <v>488</v>
      </c>
      <c r="H120" s="487">
        <v>132</v>
      </c>
      <c r="I120" s="487">
        <v>213</v>
      </c>
      <c r="J120" s="487">
        <v>95</v>
      </c>
      <c r="K120" s="487">
        <v>411</v>
      </c>
      <c r="L120" s="487">
        <v>346</v>
      </c>
      <c r="M120" s="487">
        <v>114</v>
      </c>
      <c r="N120" s="487">
        <f t="shared" si="34"/>
        <v>4317</v>
      </c>
      <c r="O120" s="525" t="s">
        <v>797</v>
      </c>
    </row>
    <row r="121" spans="1:15" ht="26.4">
      <c r="A121" s="521" t="s">
        <v>801</v>
      </c>
      <c r="B121" s="487">
        <v>27296</v>
      </c>
      <c r="C121" s="487">
        <v>12603</v>
      </c>
      <c r="D121" s="487">
        <v>20790</v>
      </c>
      <c r="E121" s="487">
        <v>15507</v>
      </c>
      <c r="F121" s="487">
        <v>14505</v>
      </c>
      <c r="G121" s="487">
        <v>2445</v>
      </c>
      <c r="H121" s="487">
        <v>36479</v>
      </c>
      <c r="I121" s="487">
        <v>35152</v>
      </c>
      <c r="J121" s="487">
        <v>25212</v>
      </c>
      <c r="K121" s="487">
        <v>28096</v>
      </c>
      <c r="L121" s="487">
        <v>16129</v>
      </c>
      <c r="M121" s="487">
        <v>20860</v>
      </c>
      <c r="N121" s="487">
        <f t="shared" si="34"/>
        <v>255074</v>
      </c>
      <c r="O121" s="522" t="s">
        <v>799</v>
      </c>
    </row>
    <row r="122" spans="1:15" ht="26.4">
      <c r="A122" s="526" t="s">
        <v>113</v>
      </c>
      <c r="B122" s="487">
        <v>22193</v>
      </c>
      <c r="C122" s="487">
        <v>9959</v>
      </c>
      <c r="D122" s="487">
        <v>17270</v>
      </c>
      <c r="E122" s="487">
        <v>13054</v>
      </c>
      <c r="F122" s="487">
        <v>12277</v>
      </c>
      <c r="G122" s="487">
        <v>1856</v>
      </c>
      <c r="H122" s="487">
        <v>36023</v>
      </c>
      <c r="I122" s="487">
        <v>30417</v>
      </c>
      <c r="J122" s="487">
        <v>23407</v>
      </c>
      <c r="K122" s="487">
        <v>25798</v>
      </c>
      <c r="L122" s="487">
        <v>15791</v>
      </c>
      <c r="M122" s="487">
        <v>17939</v>
      </c>
      <c r="N122" s="487">
        <f t="shared" si="34"/>
        <v>225984</v>
      </c>
      <c r="O122" s="527" t="s">
        <v>802</v>
      </c>
    </row>
    <row r="123" spans="1:15" ht="26.4">
      <c r="A123" s="526" t="s">
        <v>115</v>
      </c>
      <c r="B123" s="487">
        <v>935</v>
      </c>
      <c r="C123" s="487">
        <v>727</v>
      </c>
      <c r="D123" s="487">
        <v>1455</v>
      </c>
      <c r="E123" s="487">
        <v>1243</v>
      </c>
      <c r="F123" s="487">
        <v>1275</v>
      </c>
      <c r="G123" s="487">
        <v>315</v>
      </c>
      <c r="H123" s="487">
        <v>89</v>
      </c>
      <c r="I123" s="487">
        <v>601</v>
      </c>
      <c r="J123" s="487">
        <v>213</v>
      </c>
      <c r="K123" s="487">
        <v>217</v>
      </c>
      <c r="L123" s="487">
        <v>62</v>
      </c>
      <c r="M123" s="487">
        <v>303</v>
      </c>
      <c r="N123" s="487">
        <f t="shared" si="34"/>
        <v>7435</v>
      </c>
      <c r="O123" s="528" t="s">
        <v>803</v>
      </c>
    </row>
    <row r="124" spans="1:15" ht="26.4">
      <c r="A124" s="526" t="s">
        <v>804</v>
      </c>
      <c r="B124" s="487">
        <v>4168</v>
      </c>
      <c r="C124" s="487">
        <v>1917</v>
      </c>
      <c r="D124" s="487">
        <v>2065</v>
      </c>
      <c r="E124" s="487">
        <v>1210</v>
      </c>
      <c r="F124" s="487">
        <v>953</v>
      </c>
      <c r="G124" s="487">
        <v>274</v>
      </c>
      <c r="H124" s="487">
        <v>367</v>
      </c>
      <c r="I124" s="487">
        <v>4134</v>
      </c>
      <c r="J124" s="487">
        <v>1592</v>
      </c>
      <c r="K124" s="487">
        <v>2081</v>
      </c>
      <c r="L124" s="487">
        <v>276</v>
      </c>
      <c r="M124" s="487">
        <v>2618</v>
      </c>
      <c r="N124" s="487">
        <f t="shared" si="34"/>
        <v>21655</v>
      </c>
      <c r="O124" s="528" t="s">
        <v>118</v>
      </c>
    </row>
    <row r="125" spans="1:15" ht="26.4">
      <c r="A125" s="521" t="s">
        <v>798</v>
      </c>
      <c r="B125" s="487">
        <v>0</v>
      </c>
      <c r="C125" s="487">
        <v>0</v>
      </c>
      <c r="D125" s="487">
        <v>656</v>
      </c>
      <c r="E125" s="487">
        <v>34</v>
      </c>
      <c r="F125" s="487">
        <v>699</v>
      </c>
      <c r="G125" s="487">
        <v>133</v>
      </c>
      <c r="H125" s="487">
        <v>189</v>
      </c>
      <c r="I125" s="487">
        <v>401</v>
      </c>
      <c r="J125" s="487">
        <v>47</v>
      </c>
      <c r="K125" s="487">
        <v>23</v>
      </c>
      <c r="L125" s="487">
        <v>0</v>
      </c>
      <c r="M125" s="487">
        <v>640</v>
      </c>
      <c r="N125" s="487">
        <f t="shared" si="34"/>
        <v>2822</v>
      </c>
      <c r="O125" s="528"/>
    </row>
    <row r="126" spans="1:15" ht="26.4">
      <c r="A126" s="529">
        <v>2017</v>
      </c>
      <c r="B126" s="487">
        <f>SUM(B127:B130)+B134</f>
        <v>46177</v>
      </c>
      <c r="C126" s="487">
        <f t="shared" ref="C126:M126" si="35">SUM(C127:C130)+C134</f>
        <v>50785</v>
      </c>
      <c r="D126" s="487">
        <f t="shared" si="35"/>
        <v>34144</v>
      </c>
      <c r="E126" s="487">
        <f t="shared" si="35"/>
        <v>21756</v>
      </c>
      <c r="F126" s="487">
        <f t="shared" si="35"/>
        <v>31820</v>
      </c>
      <c r="G126" s="487">
        <f t="shared" si="35"/>
        <v>12033</v>
      </c>
      <c r="H126" s="487">
        <f t="shared" si="35"/>
        <v>36234</v>
      </c>
      <c r="I126" s="487">
        <f t="shared" si="35"/>
        <v>55063</v>
      </c>
      <c r="J126" s="487">
        <f t="shared" si="35"/>
        <v>36270</v>
      </c>
      <c r="K126" s="487">
        <f t="shared" si="35"/>
        <v>44421</v>
      </c>
      <c r="L126" s="487">
        <f t="shared" si="35"/>
        <v>13083</v>
      </c>
      <c r="M126" s="487">
        <f t="shared" si="35"/>
        <v>34502.9</v>
      </c>
      <c r="N126" s="487">
        <f t="shared" si="34"/>
        <v>416288.9</v>
      </c>
      <c r="O126" s="530">
        <v>2017</v>
      </c>
    </row>
    <row r="127" spans="1:15" ht="26.4">
      <c r="A127" s="521" t="s">
        <v>73</v>
      </c>
      <c r="B127" s="487">
        <v>2033</v>
      </c>
      <c r="C127" s="487">
        <v>2147</v>
      </c>
      <c r="D127" s="487">
        <v>2405</v>
      </c>
      <c r="E127" s="487">
        <v>1527</v>
      </c>
      <c r="F127" s="487">
        <v>3090</v>
      </c>
      <c r="G127" s="487">
        <v>1336</v>
      </c>
      <c r="H127" s="487">
        <v>747</v>
      </c>
      <c r="I127" s="487">
        <v>1639</v>
      </c>
      <c r="J127" s="487">
        <v>1658</v>
      </c>
      <c r="K127" s="487">
        <v>1919</v>
      </c>
      <c r="L127" s="487">
        <v>1753</v>
      </c>
      <c r="M127" s="487">
        <v>1387</v>
      </c>
      <c r="N127" s="487">
        <f t="shared" si="34"/>
        <v>21641</v>
      </c>
      <c r="O127" s="522" t="s">
        <v>795</v>
      </c>
    </row>
    <row r="128" spans="1:15" ht="26.4">
      <c r="A128" s="523" t="s">
        <v>71</v>
      </c>
      <c r="B128" s="487">
        <v>1534</v>
      </c>
      <c r="C128" s="487">
        <v>650</v>
      </c>
      <c r="D128" s="487">
        <v>814</v>
      </c>
      <c r="E128" s="487">
        <v>1155</v>
      </c>
      <c r="F128" s="487">
        <v>1034</v>
      </c>
      <c r="G128" s="487">
        <v>1389</v>
      </c>
      <c r="H128" s="487">
        <v>703</v>
      </c>
      <c r="I128" s="487">
        <v>697</v>
      </c>
      <c r="J128" s="487">
        <v>842</v>
      </c>
      <c r="K128" s="487">
        <v>1338</v>
      </c>
      <c r="L128" s="487">
        <v>1296</v>
      </c>
      <c r="M128" s="487">
        <v>1436</v>
      </c>
      <c r="N128" s="487">
        <f t="shared" si="34"/>
        <v>12888</v>
      </c>
      <c r="O128" s="524" t="s">
        <v>824</v>
      </c>
    </row>
    <row r="129" spans="1:15" ht="26.4">
      <c r="A129" s="523" t="s">
        <v>77</v>
      </c>
      <c r="B129" s="487">
        <v>364</v>
      </c>
      <c r="C129" s="487">
        <v>96</v>
      </c>
      <c r="D129" s="487">
        <v>429</v>
      </c>
      <c r="E129" s="487">
        <v>262</v>
      </c>
      <c r="F129" s="487">
        <v>824</v>
      </c>
      <c r="G129" s="487">
        <v>314</v>
      </c>
      <c r="H129" s="487">
        <v>526</v>
      </c>
      <c r="I129" s="487">
        <v>201</v>
      </c>
      <c r="J129" s="487">
        <v>685</v>
      </c>
      <c r="K129" s="487">
        <v>79</v>
      </c>
      <c r="L129" s="487">
        <v>435</v>
      </c>
      <c r="M129" s="487">
        <v>1.9</v>
      </c>
      <c r="N129" s="487">
        <f t="shared" si="34"/>
        <v>4216.8999999999996</v>
      </c>
      <c r="O129" s="525" t="s">
        <v>797</v>
      </c>
    </row>
    <row r="130" spans="1:15" ht="26.4">
      <c r="A130" s="521" t="s">
        <v>801</v>
      </c>
      <c r="B130" s="487">
        <v>41521</v>
      </c>
      <c r="C130" s="487">
        <v>47892</v>
      </c>
      <c r="D130" s="487">
        <v>30401</v>
      </c>
      <c r="E130" s="487">
        <v>18312</v>
      </c>
      <c r="F130" s="487">
        <v>26760</v>
      </c>
      <c r="G130" s="487">
        <v>8736</v>
      </c>
      <c r="H130" s="487">
        <v>34119</v>
      </c>
      <c r="I130" s="487">
        <v>51878</v>
      </c>
      <c r="J130" s="487">
        <v>32850</v>
      </c>
      <c r="K130" s="487">
        <v>40471</v>
      </c>
      <c r="L130" s="487">
        <v>9587</v>
      </c>
      <c r="M130" s="487">
        <v>31608</v>
      </c>
      <c r="N130" s="487">
        <f t="shared" si="34"/>
        <v>374135</v>
      </c>
      <c r="O130" s="522" t="s">
        <v>799</v>
      </c>
    </row>
    <row r="131" spans="1:15" ht="26.4">
      <c r="A131" s="526" t="s">
        <v>113</v>
      </c>
      <c r="B131" s="487">
        <v>36027</v>
      </c>
      <c r="C131" s="487">
        <v>43272</v>
      </c>
      <c r="D131" s="487">
        <v>26149</v>
      </c>
      <c r="E131" s="487">
        <v>14991</v>
      </c>
      <c r="F131" s="487">
        <v>22323</v>
      </c>
      <c r="G131" s="487">
        <v>6545</v>
      </c>
      <c r="H131" s="487">
        <v>33307</v>
      </c>
      <c r="I131" s="487">
        <v>45496</v>
      </c>
      <c r="J131" s="487">
        <v>29277</v>
      </c>
      <c r="K131" s="487">
        <v>37895</v>
      </c>
      <c r="L131" s="487">
        <v>9379</v>
      </c>
      <c r="M131" s="487">
        <v>30870</v>
      </c>
      <c r="N131" s="487">
        <f t="shared" si="34"/>
        <v>335531</v>
      </c>
      <c r="O131" s="527" t="s">
        <v>802</v>
      </c>
    </row>
    <row r="132" spans="1:15" ht="26.4">
      <c r="A132" s="526" t="s">
        <v>115</v>
      </c>
      <c r="B132" s="487">
        <v>588</v>
      </c>
      <c r="C132" s="487">
        <v>920</v>
      </c>
      <c r="D132" s="487">
        <v>748</v>
      </c>
      <c r="E132" s="487">
        <v>1130</v>
      </c>
      <c r="F132" s="487">
        <v>1496</v>
      </c>
      <c r="G132" s="487">
        <v>615</v>
      </c>
      <c r="H132" s="487">
        <v>246</v>
      </c>
      <c r="I132" s="487">
        <v>959</v>
      </c>
      <c r="J132" s="487">
        <v>463</v>
      </c>
      <c r="K132" s="487">
        <v>600</v>
      </c>
      <c r="L132" s="487">
        <v>38</v>
      </c>
      <c r="M132" s="487">
        <v>470</v>
      </c>
      <c r="N132" s="487">
        <f t="shared" si="34"/>
        <v>8273</v>
      </c>
      <c r="O132" s="528" t="s">
        <v>803</v>
      </c>
    </row>
    <row r="133" spans="1:15" ht="26.4">
      <c r="A133" s="526" t="s">
        <v>804</v>
      </c>
      <c r="B133" s="487">
        <v>4906</v>
      </c>
      <c r="C133" s="487">
        <v>3700</v>
      </c>
      <c r="D133" s="487">
        <v>3504</v>
      </c>
      <c r="E133" s="487">
        <v>2191</v>
      </c>
      <c r="F133" s="487">
        <v>2941</v>
      </c>
      <c r="G133" s="487">
        <v>1576</v>
      </c>
      <c r="H133" s="487">
        <v>566</v>
      </c>
      <c r="I133" s="487">
        <v>5423</v>
      </c>
      <c r="J133" s="487">
        <v>3110</v>
      </c>
      <c r="K133" s="487">
        <v>1976</v>
      </c>
      <c r="L133" s="487">
        <v>170</v>
      </c>
      <c r="M133" s="487">
        <v>268</v>
      </c>
      <c r="N133" s="487">
        <f t="shared" si="34"/>
        <v>30331</v>
      </c>
      <c r="O133" s="528" t="s">
        <v>118</v>
      </c>
    </row>
    <row r="134" spans="1:15" ht="26.4">
      <c r="A134" s="526" t="s">
        <v>798</v>
      </c>
      <c r="B134" s="487">
        <v>725</v>
      </c>
      <c r="C134" s="487">
        <v>0</v>
      </c>
      <c r="D134" s="487">
        <v>95</v>
      </c>
      <c r="E134" s="487">
        <v>500</v>
      </c>
      <c r="F134" s="487">
        <v>112</v>
      </c>
      <c r="G134" s="487">
        <v>258</v>
      </c>
      <c r="H134" s="487">
        <v>139</v>
      </c>
      <c r="I134" s="487">
        <v>648</v>
      </c>
      <c r="J134" s="487">
        <v>235</v>
      </c>
      <c r="K134" s="487">
        <v>614</v>
      </c>
      <c r="L134" s="487">
        <v>12</v>
      </c>
      <c r="M134" s="487">
        <v>70</v>
      </c>
      <c r="N134" s="487">
        <f t="shared" si="34"/>
        <v>3408</v>
      </c>
      <c r="O134" s="528"/>
    </row>
    <row r="135" spans="1:15" ht="26.4">
      <c r="A135" s="529">
        <v>2018</v>
      </c>
      <c r="B135" s="487">
        <f>SUM(B136:B139)+B143</f>
        <v>34541</v>
      </c>
      <c r="C135" s="487">
        <f t="shared" ref="C135:M135" si="36">SUM(C136:C139)+C143</f>
        <v>49051</v>
      </c>
      <c r="D135" s="487">
        <f t="shared" si="36"/>
        <v>39683</v>
      </c>
      <c r="E135" s="487">
        <f t="shared" si="36"/>
        <v>42922</v>
      </c>
      <c r="F135" s="487">
        <f t="shared" si="36"/>
        <v>41487</v>
      </c>
      <c r="G135" s="487">
        <f t="shared" si="36"/>
        <v>16330</v>
      </c>
      <c r="H135" s="487">
        <f t="shared" si="36"/>
        <v>65254</v>
      </c>
      <c r="I135" s="487">
        <f t="shared" si="36"/>
        <v>56330</v>
      </c>
      <c r="J135" s="487">
        <f t="shared" si="36"/>
        <v>60384</v>
      </c>
      <c r="K135" s="487">
        <f t="shared" si="36"/>
        <v>49020</v>
      </c>
      <c r="L135" s="487">
        <f t="shared" si="36"/>
        <v>17408</v>
      </c>
      <c r="M135" s="487">
        <f t="shared" si="36"/>
        <v>21135</v>
      </c>
      <c r="N135" s="487">
        <f t="shared" si="34"/>
        <v>493545</v>
      </c>
      <c r="O135" s="530">
        <v>2018</v>
      </c>
    </row>
    <row r="136" spans="1:15" ht="26.4">
      <c r="A136" s="521" t="s">
        <v>73</v>
      </c>
      <c r="B136" s="487">
        <v>1386</v>
      </c>
      <c r="C136" s="487">
        <v>2513</v>
      </c>
      <c r="D136" s="487">
        <v>2736</v>
      </c>
      <c r="E136" s="487">
        <v>2635</v>
      </c>
      <c r="F136" s="487">
        <v>3841</v>
      </c>
      <c r="G136" s="487">
        <v>1789</v>
      </c>
      <c r="H136" s="487">
        <v>1336</v>
      </c>
      <c r="I136" s="487">
        <v>1939</v>
      </c>
      <c r="J136" s="487">
        <v>2176</v>
      </c>
      <c r="K136" s="487">
        <v>3314</v>
      </c>
      <c r="L136" s="487">
        <v>1721</v>
      </c>
      <c r="M136" s="487">
        <v>1381</v>
      </c>
      <c r="N136" s="487">
        <f t="shared" si="34"/>
        <v>26767</v>
      </c>
      <c r="O136" s="522" t="s">
        <v>795</v>
      </c>
    </row>
    <row r="137" spans="1:15" ht="26.4">
      <c r="A137" s="523" t="s">
        <v>71</v>
      </c>
      <c r="B137" s="487">
        <v>1435</v>
      </c>
      <c r="C137" s="487">
        <v>1662</v>
      </c>
      <c r="D137" s="487">
        <v>2178</v>
      </c>
      <c r="E137" s="487">
        <v>1870</v>
      </c>
      <c r="F137" s="487">
        <v>2221</v>
      </c>
      <c r="G137" s="487">
        <v>2140</v>
      </c>
      <c r="H137" s="487">
        <v>3143</v>
      </c>
      <c r="I137" s="487">
        <v>2980</v>
      </c>
      <c r="J137" s="487">
        <v>1657</v>
      </c>
      <c r="K137" s="487">
        <v>3021</v>
      </c>
      <c r="L137" s="487">
        <v>3441</v>
      </c>
      <c r="M137" s="487">
        <v>3176</v>
      </c>
      <c r="N137" s="487">
        <f t="shared" si="34"/>
        <v>28924</v>
      </c>
      <c r="O137" s="524" t="s">
        <v>824</v>
      </c>
    </row>
    <row r="138" spans="1:15" ht="26.4">
      <c r="A138" s="523" t="s">
        <v>77</v>
      </c>
      <c r="B138" s="487">
        <v>2</v>
      </c>
      <c r="C138" s="487">
        <v>204</v>
      </c>
      <c r="D138" s="487">
        <v>310</v>
      </c>
      <c r="E138" s="487">
        <v>475</v>
      </c>
      <c r="F138" s="487">
        <v>395</v>
      </c>
      <c r="G138" s="487">
        <v>314</v>
      </c>
      <c r="H138" s="487">
        <v>451</v>
      </c>
      <c r="I138" s="487">
        <v>205</v>
      </c>
      <c r="J138" s="487">
        <v>266</v>
      </c>
      <c r="K138" s="487">
        <v>298</v>
      </c>
      <c r="L138" s="487">
        <v>218</v>
      </c>
      <c r="M138" s="487">
        <v>231</v>
      </c>
      <c r="N138" s="487">
        <f t="shared" si="34"/>
        <v>3369</v>
      </c>
      <c r="O138" s="525" t="s">
        <v>797</v>
      </c>
    </row>
    <row r="139" spans="1:15" ht="26.4">
      <c r="A139" s="521" t="s">
        <v>801</v>
      </c>
      <c r="B139" s="487">
        <v>31609</v>
      </c>
      <c r="C139" s="487">
        <v>44413</v>
      </c>
      <c r="D139" s="487">
        <v>34255</v>
      </c>
      <c r="E139" s="487">
        <v>37395</v>
      </c>
      <c r="F139" s="487">
        <v>34235</v>
      </c>
      <c r="G139" s="487">
        <v>11142</v>
      </c>
      <c r="H139" s="487">
        <v>59603</v>
      </c>
      <c r="I139" s="487">
        <v>50321</v>
      </c>
      <c r="J139" s="487">
        <v>55210</v>
      </c>
      <c r="K139" s="487">
        <v>41294</v>
      </c>
      <c r="L139" s="487">
        <v>11543</v>
      </c>
      <c r="M139" s="487">
        <v>16124</v>
      </c>
      <c r="N139" s="487">
        <f t="shared" si="34"/>
        <v>427144</v>
      </c>
      <c r="O139" s="522" t="s">
        <v>799</v>
      </c>
    </row>
    <row r="140" spans="1:15" ht="26.4">
      <c r="A140" s="526" t="s">
        <v>113</v>
      </c>
      <c r="B140" s="487">
        <v>30870</v>
      </c>
      <c r="C140" s="487">
        <v>38494</v>
      </c>
      <c r="D140" s="487">
        <v>31158</v>
      </c>
      <c r="E140" s="487">
        <v>32161</v>
      </c>
      <c r="F140" s="487">
        <v>30061</v>
      </c>
      <c r="G140" s="487">
        <v>9779</v>
      </c>
      <c r="H140" s="487">
        <v>59072</v>
      </c>
      <c r="I140" s="487">
        <v>47216</v>
      </c>
      <c r="J140" s="487">
        <v>52701</v>
      </c>
      <c r="K140" s="487">
        <v>37661</v>
      </c>
      <c r="L140" s="487">
        <v>10655</v>
      </c>
      <c r="M140" s="487">
        <v>14444</v>
      </c>
      <c r="N140" s="487">
        <f t="shared" si="34"/>
        <v>394272</v>
      </c>
      <c r="O140" s="527" t="s">
        <v>802</v>
      </c>
    </row>
    <row r="141" spans="1:15" ht="26.4">
      <c r="A141" s="526" t="s">
        <v>115</v>
      </c>
      <c r="B141" s="487">
        <v>470</v>
      </c>
      <c r="C141" s="487">
        <v>2305</v>
      </c>
      <c r="D141" s="487">
        <v>1056</v>
      </c>
      <c r="E141" s="487">
        <v>1928</v>
      </c>
      <c r="F141" s="487">
        <v>2025</v>
      </c>
      <c r="G141" s="487">
        <v>881</v>
      </c>
      <c r="H141" s="487">
        <v>161</v>
      </c>
      <c r="I141" s="487">
        <v>544</v>
      </c>
      <c r="J141" s="487">
        <v>523</v>
      </c>
      <c r="K141" s="487">
        <v>780</v>
      </c>
      <c r="L141" s="487">
        <v>122</v>
      </c>
      <c r="M141" s="487">
        <v>63</v>
      </c>
      <c r="N141" s="487">
        <f t="shared" si="34"/>
        <v>10858</v>
      </c>
      <c r="O141" s="528" t="s">
        <v>803</v>
      </c>
    </row>
    <row r="142" spans="1:15" ht="26.4">
      <c r="A142" s="526" t="s">
        <v>804</v>
      </c>
      <c r="B142" s="487">
        <v>269</v>
      </c>
      <c r="C142" s="487">
        <v>3614</v>
      </c>
      <c r="D142" s="487">
        <v>2041</v>
      </c>
      <c r="E142" s="487">
        <v>3306</v>
      </c>
      <c r="F142" s="487">
        <v>2149</v>
      </c>
      <c r="G142" s="487">
        <v>482</v>
      </c>
      <c r="H142" s="487">
        <v>370</v>
      </c>
      <c r="I142" s="487">
        <v>2561</v>
      </c>
      <c r="J142" s="487">
        <v>1986</v>
      </c>
      <c r="K142" s="487">
        <v>2853</v>
      </c>
      <c r="L142" s="487">
        <v>766</v>
      </c>
      <c r="M142" s="487">
        <v>1617</v>
      </c>
      <c r="N142" s="487">
        <f t="shared" si="34"/>
        <v>22014</v>
      </c>
      <c r="O142" s="528" t="s">
        <v>118</v>
      </c>
    </row>
    <row r="143" spans="1:15" ht="26.4">
      <c r="A143" s="526" t="s">
        <v>798</v>
      </c>
      <c r="B143" s="487">
        <v>109</v>
      </c>
      <c r="C143" s="487">
        <v>259</v>
      </c>
      <c r="D143" s="487">
        <v>204</v>
      </c>
      <c r="E143" s="487">
        <v>547</v>
      </c>
      <c r="F143" s="487">
        <v>795</v>
      </c>
      <c r="G143" s="487">
        <v>945</v>
      </c>
      <c r="H143" s="487">
        <v>721</v>
      </c>
      <c r="I143" s="487">
        <v>885</v>
      </c>
      <c r="J143" s="487">
        <v>1075</v>
      </c>
      <c r="K143" s="487">
        <v>1093</v>
      </c>
      <c r="L143" s="487">
        <v>485</v>
      </c>
      <c r="M143" s="487">
        <v>223</v>
      </c>
      <c r="N143" s="487">
        <f t="shared" si="34"/>
        <v>7341</v>
      </c>
      <c r="O143" s="528"/>
    </row>
    <row r="144" spans="1:15" ht="26.4">
      <c r="A144" s="529">
        <v>2019</v>
      </c>
      <c r="B144" s="487">
        <f>SUM(B145:B148)+B152</f>
        <v>34455</v>
      </c>
      <c r="C144" s="487">
        <f t="shared" ref="C144:M144" si="37">SUM(C145:C148)+C152</f>
        <v>52617</v>
      </c>
      <c r="D144" s="487">
        <f t="shared" si="37"/>
        <v>36927</v>
      </c>
      <c r="E144" s="487">
        <f t="shared" si="37"/>
        <v>62383</v>
      </c>
      <c r="F144" s="487">
        <f t="shared" si="37"/>
        <v>56221</v>
      </c>
      <c r="G144" s="487">
        <f t="shared" si="37"/>
        <v>17114</v>
      </c>
      <c r="H144" s="487">
        <f t="shared" si="37"/>
        <v>32891</v>
      </c>
      <c r="I144" s="487">
        <f t="shared" si="37"/>
        <v>27810</v>
      </c>
      <c r="J144" s="487">
        <f t="shared" si="37"/>
        <v>50033</v>
      </c>
      <c r="K144" s="487">
        <f t="shared" si="37"/>
        <v>44795</v>
      </c>
      <c r="L144" s="487">
        <f t="shared" si="37"/>
        <v>35302</v>
      </c>
      <c r="M144" s="487">
        <f t="shared" si="37"/>
        <v>52525</v>
      </c>
      <c r="N144" s="487">
        <f t="shared" si="34"/>
        <v>503073</v>
      </c>
      <c r="O144" s="530">
        <v>2019</v>
      </c>
    </row>
    <row r="145" spans="1:15" ht="26.4">
      <c r="A145" s="521" t="s">
        <v>73</v>
      </c>
      <c r="B145" s="487">
        <v>1474</v>
      </c>
      <c r="C145" s="487">
        <v>1351</v>
      </c>
      <c r="D145" s="487">
        <v>1505</v>
      </c>
      <c r="E145" s="487">
        <v>2173</v>
      </c>
      <c r="F145" s="487">
        <v>2995</v>
      </c>
      <c r="G145" s="487">
        <v>1828</v>
      </c>
      <c r="H145" s="487">
        <v>1468</v>
      </c>
      <c r="I145" s="487">
        <v>1148</v>
      </c>
      <c r="J145" s="487">
        <v>1167</v>
      </c>
      <c r="K145" s="487">
        <v>1591</v>
      </c>
      <c r="L145" s="487">
        <v>1494</v>
      </c>
      <c r="M145" s="487">
        <v>961</v>
      </c>
      <c r="N145" s="487">
        <f t="shared" si="34"/>
        <v>19155</v>
      </c>
      <c r="O145" s="522" t="s">
        <v>795</v>
      </c>
    </row>
    <row r="146" spans="1:15" ht="26.4">
      <c r="A146" s="523" t="s">
        <v>71</v>
      </c>
      <c r="B146" s="487">
        <v>2208</v>
      </c>
      <c r="C146" s="487">
        <v>1911</v>
      </c>
      <c r="D146" s="487">
        <v>2159</v>
      </c>
      <c r="E146" s="487">
        <v>2186</v>
      </c>
      <c r="F146" s="487">
        <v>1907</v>
      </c>
      <c r="G146" s="487">
        <v>2210</v>
      </c>
      <c r="H146" s="487">
        <v>2278</v>
      </c>
      <c r="I146" s="487">
        <v>1026</v>
      </c>
      <c r="J146" s="487">
        <v>1529</v>
      </c>
      <c r="K146" s="487">
        <v>2756</v>
      </c>
      <c r="L146" s="487">
        <v>3713</v>
      </c>
      <c r="M146" s="487">
        <v>2783</v>
      </c>
      <c r="N146" s="487">
        <f t="shared" si="34"/>
        <v>26666</v>
      </c>
      <c r="O146" s="524" t="s">
        <v>824</v>
      </c>
    </row>
    <row r="147" spans="1:15" ht="26.4">
      <c r="A147" s="523" t="s">
        <v>77</v>
      </c>
      <c r="B147" s="487">
        <v>358</v>
      </c>
      <c r="C147" s="487">
        <v>275</v>
      </c>
      <c r="D147" s="487">
        <v>380</v>
      </c>
      <c r="E147" s="487">
        <v>209</v>
      </c>
      <c r="F147" s="487">
        <v>810</v>
      </c>
      <c r="G147" s="487">
        <v>157</v>
      </c>
      <c r="H147" s="487">
        <v>502</v>
      </c>
      <c r="I147" s="487">
        <v>379</v>
      </c>
      <c r="J147" s="487">
        <v>167</v>
      </c>
      <c r="K147" s="487">
        <v>170</v>
      </c>
      <c r="L147" s="487">
        <v>477</v>
      </c>
      <c r="M147" s="487">
        <v>515</v>
      </c>
      <c r="N147" s="487">
        <f t="shared" si="34"/>
        <v>4399</v>
      </c>
      <c r="O147" s="525" t="s">
        <v>797</v>
      </c>
    </row>
    <row r="148" spans="1:15" ht="26.4">
      <c r="A148" s="521" t="s">
        <v>801</v>
      </c>
      <c r="B148" s="487">
        <f>B149+B150+B151</f>
        <v>30178</v>
      </c>
      <c r="C148" s="487">
        <f t="shared" ref="C148:M148" si="38">C149+C150+C151</f>
        <v>48404</v>
      </c>
      <c r="D148" s="487">
        <f t="shared" si="38"/>
        <v>32119</v>
      </c>
      <c r="E148" s="487">
        <f t="shared" si="38"/>
        <v>56761</v>
      </c>
      <c r="F148" s="487">
        <f t="shared" si="38"/>
        <v>48794</v>
      </c>
      <c r="G148" s="487">
        <f t="shared" si="38"/>
        <v>11244</v>
      </c>
      <c r="H148" s="487">
        <f t="shared" si="38"/>
        <v>27519</v>
      </c>
      <c r="I148" s="487">
        <f t="shared" si="38"/>
        <v>24391</v>
      </c>
      <c r="J148" s="487">
        <f t="shared" si="38"/>
        <v>46248</v>
      </c>
      <c r="K148" s="487">
        <f t="shared" si="38"/>
        <v>39453</v>
      </c>
      <c r="L148" s="487">
        <f t="shared" si="38"/>
        <v>28966</v>
      </c>
      <c r="M148" s="487">
        <f t="shared" si="38"/>
        <v>48041</v>
      </c>
      <c r="N148" s="487">
        <f t="shared" si="34"/>
        <v>442118</v>
      </c>
      <c r="O148" s="522" t="s">
        <v>799</v>
      </c>
    </row>
    <row r="149" spans="1:15" ht="26.4">
      <c r="A149" s="526" t="s">
        <v>113</v>
      </c>
      <c r="B149" s="487">
        <v>25200</v>
      </c>
      <c r="C149" s="487">
        <v>40837</v>
      </c>
      <c r="D149" s="487">
        <v>21764</v>
      </c>
      <c r="E149" s="487">
        <v>45228</v>
      </c>
      <c r="F149" s="487">
        <v>41139</v>
      </c>
      <c r="G149" s="487">
        <v>9406</v>
      </c>
      <c r="H149" s="487">
        <v>21947</v>
      </c>
      <c r="I149" s="487">
        <v>21882</v>
      </c>
      <c r="J149" s="487">
        <v>42510</v>
      </c>
      <c r="K149" s="487">
        <v>29233</v>
      </c>
      <c r="L149" s="487">
        <v>19218</v>
      </c>
      <c r="M149" s="487">
        <v>42566</v>
      </c>
      <c r="N149" s="487">
        <f t="shared" si="34"/>
        <v>360930</v>
      </c>
      <c r="O149" s="527" t="s">
        <v>802</v>
      </c>
    </row>
    <row r="150" spans="1:15" ht="26.4">
      <c r="A150" s="526" t="s">
        <v>115</v>
      </c>
      <c r="B150" s="487">
        <v>302</v>
      </c>
      <c r="C150" s="487">
        <v>655</v>
      </c>
      <c r="D150" s="487">
        <v>2522</v>
      </c>
      <c r="E150" s="487">
        <v>2464</v>
      </c>
      <c r="F150" s="487">
        <v>1421</v>
      </c>
      <c r="G150" s="487">
        <v>330</v>
      </c>
      <c r="H150" s="487">
        <v>2671</v>
      </c>
      <c r="I150" s="487">
        <v>673</v>
      </c>
      <c r="J150" s="487">
        <v>556</v>
      </c>
      <c r="K150" s="487">
        <v>911</v>
      </c>
      <c r="L150" s="487">
        <v>2164</v>
      </c>
      <c r="M150" s="487">
        <v>808</v>
      </c>
      <c r="N150" s="487">
        <f t="shared" si="34"/>
        <v>15477</v>
      </c>
      <c r="O150" s="528" t="s">
        <v>803</v>
      </c>
    </row>
    <row r="151" spans="1:15" ht="26.4">
      <c r="A151" s="526" t="s">
        <v>804</v>
      </c>
      <c r="B151" s="487">
        <v>4676</v>
      </c>
      <c r="C151" s="487">
        <v>6912</v>
      </c>
      <c r="D151" s="487">
        <v>7833</v>
      </c>
      <c r="E151" s="487">
        <v>9069</v>
      </c>
      <c r="F151" s="487">
        <v>6234</v>
      </c>
      <c r="G151" s="487">
        <v>1508</v>
      </c>
      <c r="H151" s="487">
        <v>2901</v>
      </c>
      <c r="I151" s="487">
        <v>1836</v>
      </c>
      <c r="J151" s="487">
        <v>3182</v>
      </c>
      <c r="K151" s="487">
        <v>9309</v>
      </c>
      <c r="L151" s="487">
        <v>7584</v>
      </c>
      <c r="M151" s="487">
        <v>4667</v>
      </c>
      <c r="N151" s="487">
        <f t="shared" si="34"/>
        <v>65711</v>
      </c>
      <c r="O151" s="528" t="s">
        <v>118</v>
      </c>
    </row>
    <row r="152" spans="1:15" ht="26.4">
      <c r="A152" s="526" t="s">
        <v>798</v>
      </c>
      <c r="B152" s="487">
        <v>237</v>
      </c>
      <c r="C152" s="487">
        <v>676</v>
      </c>
      <c r="D152" s="487">
        <v>764</v>
      </c>
      <c r="E152" s="487">
        <v>1054</v>
      </c>
      <c r="F152" s="487">
        <v>1715</v>
      </c>
      <c r="G152" s="487">
        <v>1675</v>
      </c>
      <c r="H152" s="487">
        <v>1124</v>
      </c>
      <c r="I152" s="487">
        <v>866</v>
      </c>
      <c r="J152" s="487">
        <v>922</v>
      </c>
      <c r="K152" s="487">
        <v>825</v>
      </c>
      <c r="L152" s="487">
        <v>652</v>
      </c>
      <c r="M152" s="487">
        <v>225</v>
      </c>
      <c r="N152" s="487">
        <f t="shared" si="34"/>
        <v>10735</v>
      </c>
      <c r="O152" s="528"/>
    </row>
    <row r="153" spans="1:15" ht="26.4">
      <c r="A153" s="529">
        <v>2020</v>
      </c>
      <c r="B153" s="487">
        <f>SUM(B154:B157)+B161</f>
        <v>40775</v>
      </c>
      <c r="C153" s="487">
        <f t="shared" ref="C153:M153" si="39">SUM(C154:C157)+C161</f>
        <v>33754</v>
      </c>
      <c r="D153" s="487">
        <f t="shared" si="39"/>
        <v>30525</v>
      </c>
      <c r="E153" s="487">
        <f t="shared" si="39"/>
        <v>13008</v>
      </c>
      <c r="F153" s="487">
        <f t="shared" si="39"/>
        <v>14163</v>
      </c>
      <c r="G153" s="487">
        <f t="shared" si="39"/>
        <v>31492</v>
      </c>
      <c r="H153" s="487">
        <f t="shared" si="39"/>
        <v>24629</v>
      </c>
      <c r="I153" s="487">
        <f t="shared" si="39"/>
        <v>38371</v>
      </c>
      <c r="J153" s="487">
        <f t="shared" si="39"/>
        <v>34247</v>
      </c>
      <c r="K153" s="487">
        <f t="shared" si="39"/>
        <v>39199</v>
      </c>
      <c r="L153" s="487">
        <f t="shared" si="39"/>
        <v>22342</v>
      </c>
      <c r="M153" s="487">
        <f t="shared" si="39"/>
        <v>22964</v>
      </c>
      <c r="N153" s="487">
        <f t="shared" si="34"/>
        <v>345469</v>
      </c>
      <c r="O153" s="530">
        <v>2020</v>
      </c>
    </row>
    <row r="154" spans="1:15" ht="26.4">
      <c r="A154" s="521" t="s">
        <v>73</v>
      </c>
      <c r="B154" s="487">
        <v>1510</v>
      </c>
      <c r="C154" s="487">
        <v>1431</v>
      </c>
      <c r="D154" s="487">
        <v>1816</v>
      </c>
      <c r="E154" s="487">
        <v>1088</v>
      </c>
      <c r="F154" s="487">
        <v>2235</v>
      </c>
      <c r="G154" s="487">
        <v>2142</v>
      </c>
      <c r="H154" s="487">
        <v>1406</v>
      </c>
      <c r="I154" s="487">
        <v>991</v>
      </c>
      <c r="J154" s="487">
        <v>1288</v>
      </c>
      <c r="K154" s="487">
        <v>1784</v>
      </c>
      <c r="L154" s="487">
        <v>1103</v>
      </c>
      <c r="M154" s="487">
        <v>1250</v>
      </c>
      <c r="N154" s="487">
        <f t="shared" si="34"/>
        <v>18044</v>
      </c>
      <c r="O154" s="522" t="s">
        <v>795</v>
      </c>
    </row>
    <row r="155" spans="1:15" ht="26.4">
      <c r="A155" s="523" t="s">
        <v>71</v>
      </c>
      <c r="B155" s="487">
        <v>2813</v>
      </c>
      <c r="C155" s="487">
        <v>2651</v>
      </c>
      <c r="D155" s="487">
        <v>2804</v>
      </c>
      <c r="E155" s="487">
        <v>2426</v>
      </c>
      <c r="F155" s="487">
        <v>2677</v>
      </c>
      <c r="G155" s="487">
        <v>3088</v>
      </c>
      <c r="H155" s="487">
        <v>5534</v>
      </c>
      <c r="I155" s="487">
        <v>2514</v>
      </c>
      <c r="J155" s="487">
        <v>2001</v>
      </c>
      <c r="K155" s="487">
        <v>3008</v>
      </c>
      <c r="L155" s="487">
        <v>11395</v>
      </c>
      <c r="M155" s="487">
        <v>7357</v>
      </c>
      <c r="N155" s="487">
        <f t="shared" si="34"/>
        <v>48268</v>
      </c>
      <c r="O155" s="524" t="s">
        <v>824</v>
      </c>
    </row>
    <row r="156" spans="1:15" ht="26.4">
      <c r="A156" s="523" t="s">
        <v>77</v>
      </c>
      <c r="B156" s="487">
        <v>133</v>
      </c>
      <c r="C156" s="487">
        <v>548</v>
      </c>
      <c r="D156" s="487">
        <v>127</v>
      </c>
      <c r="E156" s="487">
        <v>239</v>
      </c>
      <c r="F156" s="487">
        <v>115</v>
      </c>
      <c r="G156" s="487">
        <v>110</v>
      </c>
      <c r="H156" s="487">
        <v>846</v>
      </c>
      <c r="I156" s="487">
        <v>282</v>
      </c>
      <c r="J156" s="487">
        <v>357</v>
      </c>
      <c r="K156" s="487">
        <v>199</v>
      </c>
      <c r="L156" s="487">
        <v>352</v>
      </c>
      <c r="M156" s="487">
        <v>274</v>
      </c>
      <c r="N156" s="487">
        <f t="shared" si="34"/>
        <v>3582</v>
      </c>
      <c r="O156" s="525" t="s">
        <v>797</v>
      </c>
    </row>
    <row r="157" spans="1:15" ht="26.4">
      <c r="A157" s="521" t="s">
        <v>801</v>
      </c>
      <c r="B157" s="487">
        <v>36080</v>
      </c>
      <c r="C157" s="487">
        <v>28767</v>
      </c>
      <c r="D157" s="487">
        <v>25192</v>
      </c>
      <c r="E157" s="487">
        <v>8687</v>
      </c>
      <c r="F157" s="487">
        <v>8426</v>
      </c>
      <c r="G157" s="487">
        <v>24758</v>
      </c>
      <c r="H157" s="487">
        <v>16238</v>
      </c>
      <c r="I157" s="487">
        <v>34362</v>
      </c>
      <c r="J157" s="487">
        <v>30066</v>
      </c>
      <c r="K157" s="487">
        <v>33832</v>
      </c>
      <c r="L157" s="487">
        <v>8943</v>
      </c>
      <c r="M157" s="487">
        <v>13960</v>
      </c>
      <c r="N157" s="487">
        <f t="shared" si="34"/>
        <v>269311</v>
      </c>
      <c r="O157" s="522" t="s">
        <v>799</v>
      </c>
    </row>
    <row r="158" spans="1:15" ht="26.4">
      <c r="A158" s="526" t="s">
        <v>113</v>
      </c>
      <c r="B158" s="487">
        <v>30050</v>
      </c>
      <c r="C158" s="487">
        <v>21313</v>
      </c>
      <c r="D158" s="487">
        <v>21753</v>
      </c>
      <c r="E158" s="487">
        <v>6917</v>
      </c>
      <c r="F158" s="487">
        <v>5509</v>
      </c>
      <c r="G158" s="487">
        <v>22073</v>
      </c>
      <c r="H158" s="487">
        <v>14272</v>
      </c>
      <c r="I158" s="487">
        <v>32619</v>
      </c>
      <c r="J158" s="487">
        <v>28171</v>
      </c>
      <c r="K158" s="487">
        <v>28787</v>
      </c>
      <c r="L158" s="487">
        <v>5630</v>
      </c>
      <c r="M158" s="487">
        <v>11983</v>
      </c>
      <c r="N158" s="487">
        <f t="shared" si="34"/>
        <v>229077</v>
      </c>
      <c r="O158" s="527" t="s">
        <v>802</v>
      </c>
    </row>
    <row r="159" spans="1:15" ht="26.4">
      <c r="A159" s="526" t="s">
        <v>115</v>
      </c>
      <c r="B159" s="487">
        <v>476</v>
      </c>
      <c r="C159" s="487">
        <v>2249</v>
      </c>
      <c r="D159" s="487">
        <v>672</v>
      </c>
      <c r="E159" s="487">
        <v>1203</v>
      </c>
      <c r="F159" s="487">
        <v>2205</v>
      </c>
      <c r="G159" s="487">
        <v>1626</v>
      </c>
      <c r="H159" s="487">
        <v>881</v>
      </c>
      <c r="I159" s="487">
        <v>448</v>
      </c>
      <c r="J159" s="487">
        <v>369</v>
      </c>
      <c r="K159" s="487">
        <v>1310</v>
      </c>
      <c r="L159" s="487">
        <v>1936</v>
      </c>
      <c r="M159" s="487">
        <v>590</v>
      </c>
      <c r="N159" s="487">
        <f>SUM(B159:M159)</f>
        <v>13965</v>
      </c>
      <c r="O159" s="528" t="s">
        <v>803</v>
      </c>
    </row>
    <row r="160" spans="1:15" ht="26.4">
      <c r="A160" s="526" t="s">
        <v>804</v>
      </c>
      <c r="B160" s="487">
        <v>5554</v>
      </c>
      <c r="C160" s="487">
        <v>5205</v>
      </c>
      <c r="D160" s="487">
        <v>2767</v>
      </c>
      <c r="E160" s="487">
        <v>567</v>
      </c>
      <c r="F160" s="487">
        <v>712</v>
      </c>
      <c r="G160" s="487">
        <v>1059</v>
      </c>
      <c r="H160" s="487">
        <v>1085</v>
      </c>
      <c r="I160" s="487">
        <v>1295</v>
      </c>
      <c r="J160" s="487">
        <v>1526</v>
      </c>
      <c r="K160" s="487">
        <v>3735</v>
      </c>
      <c r="L160" s="487">
        <v>1377</v>
      </c>
      <c r="M160" s="487">
        <v>1387</v>
      </c>
      <c r="N160" s="487">
        <f t="shared" si="34"/>
        <v>26269</v>
      </c>
      <c r="O160" s="528" t="s">
        <v>118</v>
      </c>
    </row>
    <row r="161" spans="1:15" ht="26.4">
      <c r="A161" s="526" t="s">
        <v>798</v>
      </c>
      <c r="B161" s="487">
        <v>239</v>
      </c>
      <c r="C161" s="487">
        <v>357</v>
      </c>
      <c r="D161" s="487">
        <v>586</v>
      </c>
      <c r="E161" s="487">
        <v>568</v>
      </c>
      <c r="F161" s="487">
        <v>710</v>
      </c>
      <c r="G161" s="487">
        <v>1394</v>
      </c>
      <c r="H161" s="487">
        <v>605</v>
      </c>
      <c r="I161" s="487">
        <v>222</v>
      </c>
      <c r="J161" s="487">
        <v>535</v>
      </c>
      <c r="K161" s="487">
        <v>376</v>
      </c>
      <c r="L161" s="487">
        <v>549</v>
      </c>
      <c r="M161" s="487">
        <v>123</v>
      </c>
      <c r="N161" s="487">
        <f t="shared" si="34"/>
        <v>6264</v>
      </c>
      <c r="O161" s="528"/>
    </row>
    <row r="162" spans="1:15" ht="26.4">
      <c r="A162" s="526">
        <v>2021</v>
      </c>
      <c r="B162" s="487"/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528">
        <v>2021</v>
      </c>
    </row>
    <row r="163" spans="1:15" ht="26.4">
      <c r="A163" s="521" t="s">
        <v>73</v>
      </c>
      <c r="B163" s="487">
        <v>1799</v>
      </c>
      <c r="C163" s="487">
        <v>2851</v>
      </c>
      <c r="D163" s="487">
        <v>2652</v>
      </c>
      <c r="E163" s="487">
        <v>2846</v>
      </c>
      <c r="F163" s="487">
        <v>2812</v>
      </c>
      <c r="G163" s="487">
        <v>2452</v>
      </c>
      <c r="H163" s="487">
        <v>1102</v>
      </c>
      <c r="I163" s="487">
        <v>1956</v>
      </c>
      <c r="J163" s="487">
        <v>2784</v>
      </c>
      <c r="K163" s="487">
        <v>2393</v>
      </c>
      <c r="L163" s="487">
        <v>1710</v>
      </c>
      <c r="M163" s="487">
        <v>1246</v>
      </c>
      <c r="N163" s="487">
        <v>26603</v>
      </c>
      <c r="O163" s="522" t="s">
        <v>795</v>
      </c>
    </row>
    <row r="164" spans="1:15" ht="26.4">
      <c r="A164" s="523" t="s">
        <v>71</v>
      </c>
      <c r="B164" s="487">
        <v>6257</v>
      </c>
      <c r="C164" s="487">
        <v>4029</v>
      </c>
      <c r="D164" s="487">
        <v>4417</v>
      </c>
      <c r="E164" s="487">
        <v>4965</v>
      </c>
      <c r="F164" s="487">
        <v>3721</v>
      </c>
      <c r="G164" s="487">
        <v>4646</v>
      </c>
      <c r="H164" s="487">
        <v>3631</v>
      </c>
      <c r="I164" s="487">
        <v>3227</v>
      </c>
      <c r="J164" s="487">
        <v>3637</v>
      </c>
      <c r="K164" s="487">
        <v>7034</v>
      </c>
      <c r="L164" s="487">
        <v>8789</v>
      </c>
      <c r="M164" s="487">
        <v>7586</v>
      </c>
      <c r="N164" s="487">
        <v>61939</v>
      </c>
      <c r="O164" s="524" t="s">
        <v>824</v>
      </c>
    </row>
    <row r="165" spans="1:15" ht="26.4">
      <c r="A165" s="523" t="s">
        <v>77</v>
      </c>
      <c r="B165" s="487">
        <v>273</v>
      </c>
      <c r="C165" s="487">
        <v>74</v>
      </c>
      <c r="D165" s="487">
        <v>314</v>
      </c>
      <c r="E165" s="487">
        <v>327</v>
      </c>
      <c r="F165" s="487">
        <v>333</v>
      </c>
      <c r="G165" s="487">
        <v>495</v>
      </c>
      <c r="H165" s="487">
        <v>392</v>
      </c>
      <c r="I165" s="487">
        <v>341</v>
      </c>
      <c r="J165" s="487">
        <v>168</v>
      </c>
      <c r="K165" s="487">
        <v>283</v>
      </c>
      <c r="L165" s="487">
        <v>375</v>
      </c>
      <c r="M165" s="487">
        <v>260</v>
      </c>
      <c r="N165" s="487">
        <v>3635</v>
      </c>
      <c r="O165" s="525" t="s">
        <v>797</v>
      </c>
    </row>
    <row r="166" spans="1:15" ht="26.4">
      <c r="A166" s="521" t="s">
        <v>801</v>
      </c>
      <c r="B166" s="487"/>
      <c r="C166" s="487"/>
      <c r="D166" s="487"/>
      <c r="E166" s="487"/>
      <c r="F166" s="487"/>
      <c r="G166" s="487"/>
      <c r="H166" s="487"/>
      <c r="I166" s="487"/>
      <c r="J166" s="487"/>
      <c r="K166" s="487"/>
      <c r="L166" s="487"/>
      <c r="M166" s="487"/>
      <c r="N166" s="487"/>
      <c r="O166" s="522" t="s">
        <v>799</v>
      </c>
    </row>
    <row r="167" spans="1:15" ht="26.4">
      <c r="A167" s="526" t="s">
        <v>113</v>
      </c>
      <c r="B167" s="487">
        <v>17533</v>
      </c>
      <c r="C167" s="487">
        <v>15361</v>
      </c>
      <c r="D167" s="487">
        <v>17592</v>
      </c>
      <c r="E167" s="487">
        <v>21891</v>
      </c>
      <c r="F167" s="487">
        <v>13087</v>
      </c>
      <c r="G167" s="487">
        <v>1909</v>
      </c>
      <c r="H167" s="487">
        <v>11112</v>
      </c>
      <c r="I167" s="487">
        <v>54291</v>
      </c>
      <c r="J167" s="487">
        <v>49242</v>
      </c>
      <c r="K167" s="487">
        <v>37332</v>
      </c>
      <c r="L167" s="487">
        <v>25463</v>
      </c>
      <c r="M167" s="487">
        <v>48165</v>
      </c>
      <c r="N167" s="487">
        <v>312978</v>
      </c>
      <c r="O167" s="527" t="s">
        <v>802</v>
      </c>
    </row>
    <row r="168" spans="1:15" ht="26.4">
      <c r="A168" s="526" t="s">
        <v>115</v>
      </c>
      <c r="B168" s="487">
        <v>344</v>
      </c>
      <c r="C168" s="487">
        <v>1473</v>
      </c>
      <c r="D168" s="487">
        <v>1150</v>
      </c>
      <c r="E168" s="487">
        <v>2254</v>
      </c>
      <c r="F168" s="487">
        <v>1563</v>
      </c>
      <c r="G168" s="487">
        <v>942</v>
      </c>
      <c r="H168" s="487">
        <v>98</v>
      </c>
      <c r="I168" s="487">
        <v>63</v>
      </c>
      <c r="J168" s="487">
        <v>153</v>
      </c>
      <c r="K168" s="487">
        <v>526</v>
      </c>
      <c r="L168" s="487">
        <v>239</v>
      </c>
      <c r="M168" s="487">
        <v>55</v>
      </c>
      <c r="N168" s="487">
        <v>8860</v>
      </c>
      <c r="O168" s="528" t="s">
        <v>803</v>
      </c>
    </row>
    <row r="169" spans="1:15" ht="26.4">
      <c r="A169" s="526" t="s">
        <v>804</v>
      </c>
      <c r="B169" s="487">
        <v>3224</v>
      </c>
      <c r="C169" s="487">
        <v>7049</v>
      </c>
      <c r="D169" s="487">
        <v>3307</v>
      </c>
      <c r="E169" s="487">
        <v>2841</v>
      </c>
      <c r="F169" s="487">
        <v>1912</v>
      </c>
      <c r="G169" s="487">
        <v>909</v>
      </c>
      <c r="H169" s="487">
        <v>467</v>
      </c>
      <c r="I169" s="487">
        <v>1473</v>
      </c>
      <c r="J169" s="487">
        <v>842</v>
      </c>
      <c r="K169" s="487">
        <v>1734</v>
      </c>
      <c r="L169" s="487">
        <v>451</v>
      </c>
      <c r="M169" s="487">
        <v>365</v>
      </c>
      <c r="N169" s="487">
        <v>24574</v>
      </c>
      <c r="O169" s="528" t="s">
        <v>118</v>
      </c>
    </row>
    <row r="170" spans="1:15" ht="26.4">
      <c r="A170" s="526" t="s">
        <v>798</v>
      </c>
      <c r="B170" s="487">
        <v>535</v>
      </c>
      <c r="C170" s="487">
        <v>417</v>
      </c>
      <c r="D170" s="487">
        <v>698</v>
      </c>
      <c r="E170" s="487">
        <v>1355</v>
      </c>
      <c r="F170" s="487">
        <v>1076</v>
      </c>
      <c r="G170" s="487">
        <v>2401</v>
      </c>
      <c r="H170" s="487">
        <v>1091</v>
      </c>
      <c r="I170" s="487">
        <v>403</v>
      </c>
      <c r="J170" s="487">
        <v>1104</v>
      </c>
      <c r="K170" s="487">
        <v>1728</v>
      </c>
      <c r="L170" s="487">
        <v>571</v>
      </c>
      <c r="M170" s="487">
        <v>562</v>
      </c>
      <c r="N170" s="487">
        <v>11941</v>
      </c>
      <c r="O170" s="528"/>
    </row>
    <row r="171" spans="1:15" ht="26.4">
      <c r="A171" s="526">
        <v>2022</v>
      </c>
      <c r="B171" s="487">
        <v>48206</v>
      </c>
      <c r="C171" s="487">
        <v>46466</v>
      </c>
      <c r="D171" s="487">
        <v>43496</v>
      </c>
      <c r="E171" s="487">
        <v>39146</v>
      </c>
      <c r="F171" s="487">
        <v>42419</v>
      </c>
      <c r="G171" s="487">
        <v>35316</v>
      </c>
      <c r="H171" s="487">
        <v>39976</v>
      </c>
      <c r="I171" s="487">
        <v>77274</v>
      </c>
      <c r="J171" s="487">
        <v>77418</v>
      </c>
      <c r="K171" s="487">
        <v>47835</v>
      </c>
      <c r="L171" s="487">
        <v>39520</v>
      </c>
      <c r="M171" s="487">
        <v>33428</v>
      </c>
      <c r="N171" s="487">
        <v>570500</v>
      </c>
      <c r="O171" s="528">
        <v>2022</v>
      </c>
    </row>
    <row r="172" spans="1:15" ht="26.4">
      <c r="A172" s="521" t="s">
        <v>73</v>
      </c>
      <c r="B172" s="487">
        <v>1916</v>
      </c>
      <c r="C172" s="487">
        <v>2429</v>
      </c>
      <c r="D172" s="487">
        <v>2176</v>
      </c>
      <c r="E172" s="487">
        <v>2260</v>
      </c>
      <c r="F172" s="487">
        <v>2649</v>
      </c>
      <c r="G172" s="487">
        <v>1863</v>
      </c>
      <c r="H172" s="487">
        <v>1209</v>
      </c>
      <c r="I172" s="487">
        <v>1244</v>
      </c>
      <c r="J172" s="487">
        <v>1472</v>
      </c>
      <c r="K172" s="487">
        <v>1416</v>
      </c>
      <c r="L172" s="487">
        <v>1532</v>
      </c>
      <c r="M172" s="487">
        <v>1138</v>
      </c>
      <c r="N172" s="487">
        <v>21304</v>
      </c>
      <c r="O172" s="522" t="s">
        <v>795</v>
      </c>
    </row>
    <row r="173" spans="1:15" ht="26.4">
      <c r="A173" s="523" t="s">
        <v>71</v>
      </c>
      <c r="B173" s="487">
        <v>5322</v>
      </c>
      <c r="C173" s="487">
        <v>3534</v>
      </c>
      <c r="D173" s="487">
        <v>2425</v>
      </c>
      <c r="E173" s="487">
        <v>2730</v>
      </c>
      <c r="F173" s="487">
        <v>3051</v>
      </c>
      <c r="G173" s="487">
        <v>3651</v>
      </c>
      <c r="H173" s="487">
        <v>2849</v>
      </c>
      <c r="I173" s="487">
        <v>3707</v>
      </c>
      <c r="J173" s="487">
        <v>3722</v>
      </c>
      <c r="K173" s="487">
        <v>5210</v>
      </c>
      <c r="L173" s="487">
        <v>7366</v>
      </c>
      <c r="M173" s="487">
        <v>8444</v>
      </c>
      <c r="N173" s="487">
        <v>52011</v>
      </c>
      <c r="O173" s="524" t="s">
        <v>824</v>
      </c>
    </row>
    <row r="174" spans="1:15" ht="26.4">
      <c r="A174" s="523" t="s">
        <v>77</v>
      </c>
      <c r="B174" s="487">
        <v>180</v>
      </c>
      <c r="C174" s="487">
        <v>349</v>
      </c>
      <c r="D174" s="487">
        <v>624</v>
      </c>
      <c r="E174" s="487">
        <v>795</v>
      </c>
      <c r="F174" s="487">
        <v>473</v>
      </c>
      <c r="G174" s="487">
        <v>446</v>
      </c>
      <c r="H174" s="487">
        <v>471</v>
      </c>
      <c r="I174" s="487">
        <v>260</v>
      </c>
      <c r="J174" s="487">
        <v>115</v>
      </c>
      <c r="K174" s="487">
        <v>246</v>
      </c>
      <c r="L174" s="487">
        <v>85</v>
      </c>
      <c r="M174" s="487">
        <v>17</v>
      </c>
      <c r="N174" s="487">
        <v>4061</v>
      </c>
      <c r="O174" s="525" t="s">
        <v>797</v>
      </c>
    </row>
    <row r="175" spans="1:15" ht="26.4">
      <c r="A175" s="521" t="s">
        <v>801</v>
      </c>
      <c r="B175" s="487"/>
      <c r="C175" s="487"/>
      <c r="D175" s="487"/>
      <c r="E175" s="487"/>
      <c r="F175" s="487"/>
      <c r="G175" s="487"/>
      <c r="H175" s="487"/>
      <c r="I175" s="487"/>
      <c r="J175" s="487"/>
      <c r="K175" s="487"/>
      <c r="L175" s="487"/>
      <c r="M175" s="487"/>
      <c r="N175" s="487"/>
      <c r="O175" s="522" t="s">
        <v>799</v>
      </c>
    </row>
    <row r="176" spans="1:15" ht="26.4">
      <c r="A176" s="526" t="s">
        <v>113</v>
      </c>
      <c r="B176" s="487">
        <v>39167</v>
      </c>
      <c r="C176" s="487">
        <v>35811</v>
      </c>
      <c r="D176" s="487">
        <v>36210</v>
      </c>
      <c r="E176" s="487">
        <v>30114</v>
      </c>
      <c r="F176" s="487">
        <v>32605</v>
      </c>
      <c r="G176" s="487">
        <v>26649</v>
      </c>
      <c r="H176" s="487">
        <v>33754</v>
      </c>
      <c r="I176" s="487">
        <v>70119</v>
      </c>
      <c r="J176" s="487">
        <v>68762</v>
      </c>
      <c r="K176" s="487">
        <v>35422</v>
      </c>
      <c r="L176" s="487">
        <v>28758</v>
      </c>
      <c r="M176" s="487">
        <v>22899</v>
      </c>
      <c r="N176" s="487">
        <v>460270</v>
      </c>
      <c r="O176" s="527" t="s">
        <v>802</v>
      </c>
    </row>
    <row r="177" spans="1:15" ht="26.4">
      <c r="A177" s="526" t="s">
        <v>115</v>
      </c>
      <c r="B177" s="487">
        <v>300</v>
      </c>
      <c r="C177" s="487">
        <v>1574</v>
      </c>
      <c r="D177" s="487">
        <v>697</v>
      </c>
      <c r="E177" s="487">
        <v>797</v>
      </c>
      <c r="F177" s="487">
        <v>1339</v>
      </c>
      <c r="G177" s="487">
        <v>467</v>
      </c>
      <c r="H177" s="487">
        <v>512</v>
      </c>
      <c r="I177" s="487">
        <v>193</v>
      </c>
      <c r="J177" s="487">
        <v>360</v>
      </c>
      <c r="K177" s="487">
        <v>770</v>
      </c>
      <c r="L177" s="487">
        <v>230</v>
      </c>
      <c r="M177" s="487">
        <v>29</v>
      </c>
      <c r="N177" s="487">
        <v>7268</v>
      </c>
      <c r="O177" s="528" t="s">
        <v>803</v>
      </c>
    </row>
    <row r="178" spans="1:15" ht="26.4">
      <c r="A178" s="526" t="s">
        <v>804</v>
      </c>
      <c r="B178" s="487">
        <v>1090</v>
      </c>
      <c r="C178" s="487">
        <v>2193</v>
      </c>
      <c r="D178" s="487">
        <v>759</v>
      </c>
      <c r="E178" s="487">
        <v>637</v>
      </c>
      <c r="F178" s="487">
        <v>665</v>
      </c>
      <c r="G178" s="487">
        <v>309</v>
      </c>
      <c r="H178" s="487">
        <v>41</v>
      </c>
      <c r="I178" s="487">
        <v>1018</v>
      </c>
      <c r="J178" s="487">
        <v>2059</v>
      </c>
      <c r="K178" s="487">
        <v>2919</v>
      </c>
      <c r="L178" s="487">
        <v>660</v>
      </c>
      <c r="M178" s="487">
        <v>195</v>
      </c>
      <c r="N178" s="487">
        <v>12545</v>
      </c>
      <c r="O178" s="528" t="s">
        <v>118</v>
      </c>
    </row>
    <row r="179" spans="1:15" ht="26.4">
      <c r="A179" s="526" t="s">
        <v>798</v>
      </c>
      <c r="B179" s="487">
        <v>231</v>
      </c>
      <c r="C179" s="487">
        <v>576</v>
      </c>
      <c r="D179" s="487">
        <v>605</v>
      </c>
      <c r="E179" s="487">
        <v>1813</v>
      </c>
      <c r="F179" s="487">
        <v>1637</v>
      </c>
      <c r="G179" s="487">
        <v>1931</v>
      </c>
      <c r="H179" s="487">
        <v>1140</v>
      </c>
      <c r="I179" s="487">
        <v>733</v>
      </c>
      <c r="J179" s="487">
        <v>928</v>
      </c>
      <c r="K179" s="487">
        <v>1852</v>
      </c>
      <c r="L179" s="487">
        <v>889</v>
      </c>
      <c r="M179" s="487">
        <v>706</v>
      </c>
      <c r="N179" s="487">
        <v>13041</v>
      </c>
      <c r="O179" s="528"/>
    </row>
    <row r="180" spans="1:15" ht="26.4">
      <c r="A180" s="526">
        <v>2023</v>
      </c>
      <c r="B180" s="487">
        <v>70488</v>
      </c>
      <c r="C180" s="487">
        <v>44536</v>
      </c>
      <c r="D180" s="487">
        <v>35196</v>
      </c>
      <c r="E180" s="487">
        <v>27341</v>
      </c>
      <c r="F180" s="487">
        <v>32488</v>
      </c>
      <c r="G180" s="487">
        <v>24183</v>
      </c>
      <c r="H180" s="487">
        <v>22772</v>
      </c>
      <c r="I180" s="487">
        <v>58476</v>
      </c>
      <c r="J180" s="487">
        <v>39102</v>
      </c>
      <c r="K180" s="487">
        <v>34415</v>
      </c>
      <c r="L180" s="487">
        <v>18789</v>
      </c>
      <c r="M180" s="487">
        <v>31646</v>
      </c>
      <c r="N180" s="487">
        <v>439432</v>
      </c>
      <c r="O180" s="528">
        <v>2023</v>
      </c>
    </row>
    <row r="181" spans="1:15" ht="26.4">
      <c r="A181" s="521" t="s">
        <v>73</v>
      </c>
      <c r="B181" s="487">
        <v>1330</v>
      </c>
      <c r="C181" s="487">
        <v>2060</v>
      </c>
      <c r="D181" s="487">
        <v>2066</v>
      </c>
      <c r="E181" s="487">
        <v>1923</v>
      </c>
      <c r="F181" s="487">
        <v>2565</v>
      </c>
      <c r="G181" s="487">
        <v>2178</v>
      </c>
      <c r="H181" s="487">
        <v>1024</v>
      </c>
      <c r="I181" s="487">
        <v>1459</v>
      </c>
      <c r="J181" s="487">
        <v>1065</v>
      </c>
      <c r="K181" s="487">
        <v>1374</v>
      </c>
      <c r="L181" s="487">
        <v>1438</v>
      </c>
      <c r="M181" s="487">
        <v>749</v>
      </c>
      <c r="N181" s="487">
        <v>19231</v>
      </c>
      <c r="O181" s="522" t="s">
        <v>795</v>
      </c>
    </row>
    <row r="182" spans="1:15" ht="26.4">
      <c r="A182" s="523" t="s">
        <v>71</v>
      </c>
      <c r="B182" s="487">
        <v>6843</v>
      </c>
      <c r="C182" s="487">
        <v>5663</v>
      </c>
      <c r="D182" s="487">
        <v>5661</v>
      </c>
      <c r="E182" s="487">
        <v>3700</v>
      </c>
      <c r="F182" s="487">
        <v>3181</v>
      </c>
      <c r="G182" s="487">
        <v>4072</v>
      </c>
      <c r="H182" s="487">
        <v>3069</v>
      </c>
      <c r="I182" s="487">
        <v>4144</v>
      </c>
      <c r="J182" s="487">
        <v>2547</v>
      </c>
      <c r="K182" s="487">
        <v>4420</v>
      </c>
      <c r="L182" s="487">
        <v>5962</v>
      </c>
      <c r="M182" s="487">
        <v>6969</v>
      </c>
      <c r="N182" s="487">
        <v>56231</v>
      </c>
      <c r="O182" s="524" t="s">
        <v>824</v>
      </c>
    </row>
    <row r="183" spans="1:15" ht="26.4">
      <c r="A183" s="523" t="s">
        <v>77</v>
      </c>
      <c r="B183" s="487">
        <v>131</v>
      </c>
      <c r="C183" s="487">
        <v>258</v>
      </c>
      <c r="D183" s="487">
        <v>464</v>
      </c>
      <c r="E183" s="487">
        <v>310</v>
      </c>
      <c r="F183" s="487">
        <v>380</v>
      </c>
      <c r="G183" s="487">
        <v>148</v>
      </c>
      <c r="H183" s="487">
        <v>170</v>
      </c>
      <c r="I183" s="487">
        <v>372</v>
      </c>
      <c r="J183" s="487">
        <v>411</v>
      </c>
      <c r="K183" s="487">
        <v>101</v>
      </c>
      <c r="L183" s="487">
        <v>202</v>
      </c>
      <c r="M183" s="487">
        <v>368</v>
      </c>
      <c r="N183" s="487">
        <v>3315</v>
      </c>
      <c r="O183" s="525" t="s">
        <v>797</v>
      </c>
    </row>
    <row r="184" spans="1:15" ht="26.4">
      <c r="A184" s="521" t="s">
        <v>801</v>
      </c>
      <c r="B184" s="487">
        <v>61352</v>
      </c>
      <c r="C184" s="487">
        <v>35317</v>
      </c>
      <c r="D184" s="487">
        <v>25122</v>
      </c>
      <c r="E184" s="487">
        <v>19359</v>
      </c>
      <c r="F184" s="487">
        <v>21072</v>
      </c>
      <c r="G184" s="487">
        <v>10571</v>
      </c>
      <c r="H184" s="487">
        <v>15289</v>
      </c>
      <c r="I184" s="487">
        <v>49080</v>
      </c>
      <c r="J184" s="487">
        <v>33335</v>
      </c>
      <c r="K184" s="487">
        <v>27728</v>
      </c>
      <c r="L184" s="487">
        <v>10624</v>
      </c>
      <c r="M184" s="487">
        <v>23162</v>
      </c>
      <c r="N184" s="487">
        <v>332011</v>
      </c>
      <c r="O184" s="522" t="s">
        <v>799</v>
      </c>
    </row>
    <row r="185" spans="1:15" ht="26.4">
      <c r="A185" s="526" t="s">
        <v>113</v>
      </c>
      <c r="B185" s="487">
        <v>58931</v>
      </c>
      <c r="C185" s="487">
        <v>30303</v>
      </c>
      <c r="D185" s="487">
        <v>19204</v>
      </c>
      <c r="E185" s="487">
        <v>15392</v>
      </c>
      <c r="F185" s="487">
        <v>16486</v>
      </c>
      <c r="G185" s="487">
        <v>7534</v>
      </c>
      <c r="H185" s="487">
        <v>14425</v>
      </c>
      <c r="I185" s="487">
        <v>46979</v>
      </c>
      <c r="J185" s="487">
        <v>30801</v>
      </c>
      <c r="K185" s="487">
        <v>25095</v>
      </c>
      <c r="L185" s="487">
        <v>9647</v>
      </c>
      <c r="M185" s="487">
        <v>22829</v>
      </c>
      <c r="N185" s="487">
        <v>297626</v>
      </c>
      <c r="O185" s="527" t="s">
        <v>802</v>
      </c>
    </row>
    <row r="186" spans="1:15" ht="26.4">
      <c r="A186" s="526" t="s">
        <v>115</v>
      </c>
      <c r="B186" s="487">
        <v>454</v>
      </c>
      <c r="C186" s="487">
        <v>2035</v>
      </c>
      <c r="D186" s="487">
        <v>2654</v>
      </c>
      <c r="E186" s="487">
        <v>2352</v>
      </c>
      <c r="F186" s="487">
        <v>2545</v>
      </c>
      <c r="G186" s="487">
        <v>1770</v>
      </c>
      <c r="H186" s="487">
        <v>473</v>
      </c>
      <c r="I186" s="487">
        <v>564</v>
      </c>
      <c r="J186" s="487">
        <v>897</v>
      </c>
      <c r="K186" s="487">
        <v>983</v>
      </c>
      <c r="L186" s="487">
        <v>404</v>
      </c>
      <c r="M186" s="487">
        <v>74</v>
      </c>
      <c r="N186" s="487">
        <v>15205</v>
      </c>
      <c r="O186" s="528" t="s">
        <v>803</v>
      </c>
    </row>
    <row r="187" spans="1:15" ht="26.4">
      <c r="A187" s="526" t="s">
        <v>804</v>
      </c>
      <c r="B187" s="487">
        <v>1967</v>
      </c>
      <c r="C187" s="487">
        <v>2979</v>
      </c>
      <c r="D187" s="487">
        <v>3264</v>
      </c>
      <c r="E187" s="487">
        <v>1615</v>
      </c>
      <c r="F187" s="487">
        <v>2041</v>
      </c>
      <c r="G187" s="487">
        <v>1267</v>
      </c>
      <c r="H187" s="487">
        <v>391</v>
      </c>
      <c r="I187" s="487">
        <v>1537</v>
      </c>
      <c r="J187" s="487">
        <v>1637</v>
      </c>
      <c r="K187" s="487">
        <v>1650</v>
      </c>
      <c r="L187" s="487">
        <v>573</v>
      </c>
      <c r="M187" s="487">
        <v>259</v>
      </c>
      <c r="N187" s="487">
        <v>19180</v>
      </c>
      <c r="O187" s="528" t="s">
        <v>118</v>
      </c>
    </row>
    <row r="188" spans="1:15" ht="27" thickBot="1">
      <c r="A188" s="531" t="s">
        <v>798</v>
      </c>
      <c r="B188" s="202">
        <v>832</v>
      </c>
      <c r="C188" s="202">
        <v>1238</v>
      </c>
      <c r="D188" s="202">
        <v>1883</v>
      </c>
      <c r="E188" s="202">
        <v>2049</v>
      </c>
      <c r="F188" s="202">
        <v>5290</v>
      </c>
      <c r="G188" s="202">
        <v>7214</v>
      </c>
      <c r="H188" s="202">
        <v>3220</v>
      </c>
      <c r="I188" s="202">
        <v>3421</v>
      </c>
      <c r="J188" s="202">
        <v>1744</v>
      </c>
      <c r="K188" s="202">
        <v>792</v>
      </c>
      <c r="L188" s="202">
        <v>563</v>
      </c>
      <c r="M188" s="202">
        <v>398</v>
      </c>
      <c r="N188" s="202">
        <v>28644</v>
      </c>
      <c r="O188" s="532"/>
    </row>
    <row r="192" spans="1:15" ht="21.6">
      <c r="A192" s="180" t="s">
        <v>827</v>
      </c>
      <c r="B192" s="181"/>
      <c r="C192" s="181"/>
      <c r="D192" s="181"/>
      <c r="E192" s="181"/>
      <c r="F192" s="181"/>
      <c r="G192" s="181"/>
      <c r="H192" s="181"/>
      <c r="I192" s="181"/>
      <c r="J192" s="181"/>
      <c r="K192" s="182"/>
      <c r="L192" s="182"/>
      <c r="M192" s="183"/>
      <c r="N192" s="184"/>
      <c r="O192" s="185" t="s">
        <v>828</v>
      </c>
    </row>
  </sheetData>
  <mergeCells count="3">
    <mergeCell ref="A3:A4"/>
    <mergeCell ref="O3:O4"/>
    <mergeCell ref="J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7E84-C196-4813-9C74-E015301F947B}">
  <sheetPr>
    <tabColor theme="6"/>
  </sheetPr>
  <dimension ref="A1:P35"/>
  <sheetViews>
    <sheetView topLeftCell="D1" zoomScale="74" workbookViewId="0">
      <selection activeCell="E7" sqref="E7"/>
    </sheetView>
  </sheetViews>
  <sheetFormatPr baseColWidth="10" defaultRowHeight="14.4"/>
  <cols>
    <col min="1" max="1" width="50.6640625" customWidth="1"/>
    <col min="2" max="2" width="17.6640625" customWidth="1"/>
    <col min="3" max="3" width="14.6640625" customWidth="1"/>
    <col min="4" max="4" width="16" customWidth="1"/>
    <col min="5" max="5" width="15.88671875" customWidth="1"/>
    <col min="6" max="6" width="16.44140625" customWidth="1"/>
    <col min="7" max="7" width="13.6640625" customWidth="1"/>
    <col min="8" max="8" width="16.21875" customWidth="1"/>
    <col min="9" max="9" width="15.109375" customWidth="1"/>
    <col min="10" max="10" width="14.5546875" customWidth="1"/>
    <col min="11" max="11" width="15.6640625" customWidth="1"/>
    <col min="12" max="12" width="15" customWidth="1"/>
    <col min="13" max="13" width="14.6640625" customWidth="1"/>
    <col min="14" max="15" width="13.88671875" bestFit="1" customWidth="1"/>
    <col min="16" max="16" width="35.77734375" customWidth="1"/>
  </cols>
  <sheetData>
    <row r="1" spans="1:16" ht="27">
      <c r="A1" s="537"/>
      <c r="B1" s="537"/>
      <c r="C1" s="537"/>
      <c r="D1" s="537"/>
      <c r="E1" s="537"/>
      <c r="F1" s="537"/>
      <c r="G1" s="537"/>
      <c r="H1" s="537"/>
      <c r="I1" s="537"/>
      <c r="J1" s="537"/>
      <c r="K1" s="538"/>
      <c r="L1" s="537"/>
      <c r="M1" s="537"/>
      <c r="N1" s="537"/>
      <c r="O1" s="537"/>
      <c r="P1" s="539"/>
    </row>
    <row r="2" spans="1:16" ht="27">
      <c r="A2" s="540" t="s">
        <v>1104</v>
      </c>
      <c r="B2" s="537"/>
      <c r="C2" s="537"/>
      <c r="D2" s="537"/>
      <c r="E2" s="537"/>
      <c r="F2" s="537"/>
      <c r="G2" s="537"/>
      <c r="H2" s="537"/>
      <c r="I2" s="537"/>
      <c r="J2" s="537"/>
      <c r="K2" s="538"/>
      <c r="L2" s="537"/>
      <c r="M2" s="537"/>
      <c r="N2" s="537"/>
      <c r="O2" s="537"/>
      <c r="P2" s="541" t="s">
        <v>1105</v>
      </c>
    </row>
    <row r="3" spans="1:16" ht="27">
      <c r="A3" s="551" t="s">
        <v>1106</v>
      </c>
      <c r="B3" s="551">
        <v>2010</v>
      </c>
      <c r="C3" s="551">
        <v>2011</v>
      </c>
      <c r="D3" s="551">
        <v>2012</v>
      </c>
      <c r="E3" s="551">
        <v>2013</v>
      </c>
      <c r="F3" s="551">
        <v>2014</v>
      </c>
      <c r="G3" s="551">
        <v>2015</v>
      </c>
      <c r="H3" s="551">
        <v>2016</v>
      </c>
      <c r="I3" s="551">
        <v>2017</v>
      </c>
      <c r="J3" s="551">
        <v>2018</v>
      </c>
      <c r="K3" s="551">
        <v>2019</v>
      </c>
      <c r="L3" s="551">
        <v>2020</v>
      </c>
      <c r="M3" s="551">
        <v>2021</v>
      </c>
      <c r="N3" s="551">
        <v>2022</v>
      </c>
      <c r="O3" s="551">
        <v>2023</v>
      </c>
      <c r="P3" s="552" t="s">
        <v>359</v>
      </c>
    </row>
    <row r="4" spans="1:16" ht="27">
      <c r="A4" s="553" t="s">
        <v>1107</v>
      </c>
      <c r="B4" s="554">
        <v>274.95833333333331</v>
      </c>
      <c r="C4" s="554">
        <v>281.10000000000002</v>
      </c>
      <c r="D4" s="554">
        <v>294.94083333333333</v>
      </c>
      <c r="E4" s="554">
        <v>300.68333333333334</v>
      </c>
      <c r="F4" s="554">
        <v>302.72000000000003</v>
      </c>
      <c r="G4" s="554"/>
      <c r="H4" s="554">
        <v>352.4</v>
      </c>
      <c r="I4" s="554">
        <v>35.75</v>
      </c>
      <c r="J4" s="554">
        <v>35.799999999999997</v>
      </c>
      <c r="K4" s="555">
        <v>36.799999999999997</v>
      </c>
      <c r="L4" s="554">
        <v>37.156666666666666</v>
      </c>
      <c r="M4" s="554">
        <v>36.069166666666668</v>
      </c>
      <c r="N4" s="414">
        <v>37.024999999999999</v>
      </c>
      <c r="O4" s="414">
        <v>36.6</v>
      </c>
      <c r="P4" s="556" t="s">
        <v>1108</v>
      </c>
    </row>
    <row r="5" spans="1:16" ht="27">
      <c r="A5" s="553" t="s">
        <v>1109</v>
      </c>
      <c r="B5" s="557">
        <v>368.48333333333335</v>
      </c>
      <c r="C5" s="557">
        <v>391.2</v>
      </c>
      <c r="D5" s="557">
        <v>380.98416666666662</v>
      </c>
      <c r="E5" s="557">
        <v>399.13333333333338</v>
      </c>
      <c r="F5" s="557">
        <v>401.88</v>
      </c>
      <c r="G5" s="557"/>
      <c r="H5" s="557"/>
      <c r="I5" s="557">
        <v>40.339999999999996</v>
      </c>
      <c r="J5" s="557">
        <v>42.2</v>
      </c>
      <c r="K5" s="558">
        <v>41.2</v>
      </c>
      <c r="L5" s="557">
        <v>42.451666666666661</v>
      </c>
      <c r="M5" s="557">
        <v>42.702499999999993</v>
      </c>
      <c r="N5" s="414">
        <v>39</v>
      </c>
      <c r="O5" s="414">
        <v>39.6</v>
      </c>
      <c r="P5" s="556" t="s">
        <v>1110</v>
      </c>
    </row>
    <row r="6" spans="1:16" ht="27">
      <c r="A6" s="559" t="s">
        <v>1111</v>
      </c>
      <c r="B6" s="560">
        <v>43298</v>
      </c>
      <c r="C6" s="560">
        <v>83102</v>
      </c>
      <c r="D6" s="560">
        <v>-145133.29999999999</v>
      </c>
      <c r="E6" s="560">
        <v>-117839</v>
      </c>
      <c r="F6" s="560">
        <v>-215196</v>
      </c>
      <c r="G6" s="560">
        <v>-180753.2</v>
      </c>
      <c r="H6" s="560">
        <v>-175408.7</v>
      </c>
      <c r="I6" s="560">
        <v>-13319.4</v>
      </c>
      <c r="J6" s="560">
        <v>-25251.5</v>
      </c>
      <c r="K6" s="561">
        <v>-22253.8</v>
      </c>
      <c r="L6" s="560">
        <v>-10842.7</v>
      </c>
      <c r="M6" s="560">
        <v>-21924.2</v>
      </c>
      <c r="N6" s="562">
        <v>-37319.599999999999</v>
      </c>
      <c r="O6" s="562">
        <v>-27600</v>
      </c>
      <c r="P6" s="563" t="s">
        <v>1112</v>
      </c>
    </row>
    <row r="7" spans="1:16" ht="27">
      <c r="A7" s="564" t="s">
        <v>1113</v>
      </c>
      <c r="B7" s="554">
        <v>575246</v>
      </c>
      <c r="C7" s="554">
        <v>778185</v>
      </c>
      <c r="D7" s="554">
        <v>783228.6</v>
      </c>
      <c r="E7" s="554">
        <v>797217.3</v>
      </c>
      <c r="F7" s="554">
        <v>585147.6</v>
      </c>
      <c r="G7" s="554">
        <v>450516.5</v>
      </c>
      <c r="H7" s="554">
        <v>494405.3</v>
      </c>
      <c r="I7" s="554">
        <v>61625.2</v>
      </c>
      <c r="J7" s="554">
        <v>67768.3</v>
      </c>
      <c r="K7" s="555">
        <v>85109.1</v>
      </c>
      <c r="L7" s="554">
        <v>96567.6</v>
      </c>
      <c r="M7" s="554">
        <v>105258.5</v>
      </c>
      <c r="N7" s="565">
        <v>141528.9</v>
      </c>
      <c r="O7" s="565">
        <v>129800</v>
      </c>
      <c r="P7" s="566" t="s">
        <v>1114</v>
      </c>
    </row>
    <row r="8" spans="1:16" ht="27">
      <c r="A8" s="564" t="s">
        <v>290</v>
      </c>
      <c r="B8" s="554">
        <v>-531948</v>
      </c>
      <c r="C8" s="554">
        <v>-695083</v>
      </c>
      <c r="D8" s="554">
        <v>-928361.9</v>
      </c>
      <c r="E8" s="554">
        <v>-915056.3</v>
      </c>
      <c r="F8" s="554">
        <v>-800343.6</v>
      </c>
      <c r="G8" s="554">
        <v>-631269.80000000005</v>
      </c>
      <c r="H8" s="554">
        <v>-669813.9</v>
      </c>
      <c r="I8" s="554">
        <v>-74944.7</v>
      </c>
      <c r="J8" s="554">
        <v>-93019.8</v>
      </c>
      <c r="K8" s="555">
        <v>-107362.9</v>
      </c>
      <c r="L8" s="554">
        <v>-107410.3</v>
      </c>
      <c r="M8" s="554">
        <v>-127182.7</v>
      </c>
      <c r="N8" s="565">
        <v>178848.5</v>
      </c>
      <c r="O8" s="565">
        <v>157400</v>
      </c>
      <c r="P8" s="566" t="s">
        <v>1115</v>
      </c>
    </row>
    <row r="9" spans="1:16" ht="27">
      <c r="A9" s="567" t="s">
        <v>1116</v>
      </c>
      <c r="B9" s="568">
        <v>-164047</v>
      </c>
      <c r="C9" s="568">
        <v>-195275</v>
      </c>
      <c r="D9" s="568">
        <v>-311528</v>
      </c>
      <c r="E9" s="568">
        <v>-303588.09999999998</v>
      </c>
      <c r="F9" s="568">
        <v>-263929.59999999998</v>
      </c>
      <c r="G9" s="568">
        <v>-185861.9</v>
      </c>
      <c r="H9" s="568">
        <v>-159166.70000000001</v>
      </c>
      <c r="I9" s="568">
        <v>-21064.7</v>
      </c>
      <c r="J9" s="568">
        <v>-16793</v>
      </c>
      <c r="K9" s="569">
        <v>-20190.599999999999</v>
      </c>
      <c r="L9" s="568">
        <v>-23497.9</v>
      </c>
      <c r="M9" s="568">
        <v>-22330.1</v>
      </c>
      <c r="N9" s="562">
        <v>27996.9</v>
      </c>
      <c r="O9" s="562">
        <v>22300</v>
      </c>
      <c r="P9" s="563" t="s">
        <v>1117</v>
      </c>
    </row>
    <row r="10" spans="1:16" ht="27">
      <c r="A10" s="553" t="s">
        <v>1118</v>
      </c>
      <c r="B10" s="554">
        <v>-142044</v>
      </c>
      <c r="C10" s="554">
        <f>--152799</f>
        <v>152799</v>
      </c>
      <c r="D10" s="554">
        <v>-255527</v>
      </c>
      <c r="E10" s="554">
        <v>-244454</v>
      </c>
      <c r="F10" s="554">
        <v>-187550.2</v>
      </c>
      <c r="G10" s="554">
        <v>-127758.5</v>
      </c>
      <c r="H10" s="554">
        <v>-118306.6</v>
      </c>
      <c r="I10" s="554">
        <v>-18217.7</v>
      </c>
      <c r="J10" s="554">
        <v>-15443.1</v>
      </c>
      <c r="K10" s="555">
        <v>-16895.7</v>
      </c>
      <c r="L10" s="554">
        <v>-19559.7</v>
      </c>
      <c r="M10" s="554">
        <v>-17065.3</v>
      </c>
      <c r="N10" s="565">
        <v>22179.200000000001</v>
      </c>
      <c r="O10" s="565">
        <v>22800</v>
      </c>
      <c r="P10" s="566" t="s">
        <v>1119</v>
      </c>
    </row>
    <row r="11" spans="1:16" ht="27">
      <c r="A11" s="553" t="s">
        <v>1120</v>
      </c>
      <c r="B11" s="554">
        <v>-22002</v>
      </c>
      <c r="C11" s="554">
        <v>-42476</v>
      </c>
      <c r="D11" s="554">
        <v>-56001</v>
      </c>
      <c r="E11" s="554">
        <v>-59134</v>
      </c>
      <c r="F11" s="554">
        <v>-76379.5</v>
      </c>
      <c r="G11" s="554">
        <v>-58103.3</v>
      </c>
      <c r="H11" s="554">
        <v>-40860.1</v>
      </c>
      <c r="I11" s="554">
        <v>-2847</v>
      </c>
      <c r="J11" s="554">
        <v>-1349.9</v>
      </c>
      <c r="K11" s="555">
        <v>-3294.9</v>
      </c>
      <c r="L11" s="554">
        <v>-3938.2</v>
      </c>
      <c r="M11" s="554">
        <v>-5264.8</v>
      </c>
      <c r="N11" s="565">
        <v>5817.7</v>
      </c>
      <c r="O11" s="414">
        <v>500</v>
      </c>
      <c r="P11" s="566" t="s">
        <v>1121</v>
      </c>
    </row>
    <row r="12" spans="1:16" ht="27">
      <c r="A12" s="553" t="s">
        <v>1122</v>
      </c>
      <c r="B12" s="554">
        <v>0</v>
      </c>
      <c r="C12" s="554">
        <v>0</v>
      </c>
      <c r="D12" s="554">
        <v>0</v>
      </c>
      <c r="E12" s="554">
        <v>0</v>
      </c>
      <c r="F12" s="554">
        <v>-18800.599999999999</v>
      </c>
      <c r="G12" s="554">
        <v>-25507.5</v>
      </c>
      <c r="H12" s="554">
        <v>-33551.300000000003</v>
      </c>
      <c r="I12" s="554">
        <v>-2703.6</v>
      </c>
      <c r="J12" s="554">
        <v>-3077.3</v>
      </c>
      <c r="K12" s="555">
        <v>-3074.3</v>
      </c>
      <c r="L12" s="570">
        <v>-468.8</v>
      </c>
      <c r="M12" s="570">
        <v>-2853.5</v>
      </c>
      <c r="N12" s="565">
        <v>2800.3</v>
      </c>
      <c r="O12" s="565">
        <v>3100</v>
      </c>
      <c r="P12" s="571" t="s">
        <v>1123</v>
      </c>
    </row>
    <row r="13" spans="1:16" ht="27">
      <c r="A13" s="567" t="s">
        <v>432</v>
      </c>
      <c r="B13" s="568">
        <v>34493</v>
      </c>
      <c r="C13" s="568">
        <v>32976</v>
      </c>
      <c r="D13" s="568">
        <v>92915.1</v>
      </c>
      <c r="E13" s="568">
        <v>42218.400000000001</v>
      </c>
      <c r="F13" s="568">
        <v>34378.800000000003</v>
      </c>
      <c r="G13" s="568">
        <v>58034.2</v>
      </c>
      <c r="H13" s="568">
        <v>86625.4</v>
      </c>
      <c r="I13" s="568">
        <v>8966</v>
      </c>
      <c r="J13" s="568">
        <v>7335.6</v>
      </c>
      <c r="K13" s="569">
        <v>12844.45</v>
      </c>
      <c r="L13" s="568">
        <v>12737.7</v>
      </c>
      <c r="M13" s="568">
        <v>15035.1</v>
      </c>
      <c r="N13" s="562">
        <v>12243.3</v>
      </c>
      <c r="O13" s="562">
        <v>11000</v>
      </c>
      <c r="P13" s="563" t="s">
        <v>1124</v>
      </c>
    </row>
    <row r="14" spans="1:16" ht="27">
      <c r="A14" s="553" t="s">
        <v>1125</v>
      </c>
      <c r="B14" s="554">
        <v>15574</v>
      </c>
      <c r="C14" s="554">
        <v>10663</v>
      </c>
      <c r="D14" s="554">
        <v>12624.3</v>
      </c>
      <c r="E14" s="554">
        <v>17116.3</v>
      </c>
      <c r="F14" s="554">
        <v>15068.2</v>
      </c>
      <c r="G14" s="554">
        <v>25240.9</v>
      </c>
      <c r="H14" s="554">
        <v>26460.3</v>
      </c>
      <c r="I14" s="554">
        <v>3346</v>
      </c>
      <c r="J14" s="554">
        <v>3470.4</v>
      </c>
      <c r="K14" s="555">
        <v>4010.21</v>
      </c>
      <c r="L14" s="554">
        <v>5695.1</v>
      </c>
      <c r="M14" s="554">
        <v>5180</v>
      </c>
      <c r="N14" s="565">
        <v>6142.2</v>
      </c>
      <c r="O14" s="565">
        <v>6200</v>
      </c>
      <c r="P14" s="556" t="s">
        <v>1126</v>
      </c>
    </row>
    <row r="15" spans="1:16" ht="27">
      <c r="A15" s="553" t="s">
        <v>1127</v>
      </c>
      <c r="B15" s="554">
        <v>18919</v>
      </c>
      <c r="C15" s="554">
        <v>22313</v>
      </c>
      <c r="D15" s="554">
        <v>80290.7</v>
      </c>
      <c r="E15" s="554">
        <v>25102</v>
      </c>
      <c r="F15" s="554">
        <v>19310.5</v>
      </c>
      <c r="G15" s="554">
        <v>32793.4</v>
      </c>
      <c r="H15" s="554">
        <v>60165.1</v>
      </c>
      <c r="I15" s="554">
        <v>5620</v>
      </c>
      <c r="J15" s="554">
        <v>3865.2</v>
      </c>
      <c r="K15" s="555">
        <v>8834.24</v>
      </c>
      <c r="L15" s="554">
        <v>7042.6</v>
      </c>
      <c r="M15" s="554">
        <v>9855.1</v>
      </c>
      <c r="N15" s="565">
        <v>6101.1</v>
      </c>
      <c r="O15" s="565">
        <v>4800</v>
      </c>
      <c r="P15" s="556" t="s">
        <v>1128</v>
      </c>
    </row>
    <row r="16" spans="1:16" ht="27">
      <c r="A16" s="567" t="s">
        <v>1129</v>
      </c>
      <c r="B16" s="568">
        <v>-86255</v>
      </c>
      <c r="C16" s="568">
        <v>-79197</v>
      </c>
      <c r="D16" s="568">
        <v>-363746.3</v>
      </c>
      <c r="E16" s="568">
        <v>-379208.7</v>
      </c>
      <c r="F16" s="568">
        <v>-444746.8</v>
      </c>
      <c r="G16" s="568">
        <v>-308580.90000000002</v>
      </c>
      <c r="H16" s="568">
        <v>-247950</v>
      </c>
      <c r="I16" s="568">
        <v>-25418.2</v>
      </c>
      <c r="J16" s="568">
        <v>-34708.9</v>
      </c>
      <c r="K16" s="569">
        <v>-29600.1</v>
      </c>
      <c r="L16" s="568">
        <v>-21602.9</v>
      </c>
      <c r="M16" s="568">
        <v>-29219.200000000001</v>
      </c>
      <c r="N16" s="562">
        <v>-53073.2</v>
      </c>
      <c r="O16" s="562">
        <v>39000</v>
      </c>
      <c r="P16" s="563" t="s">
        <v>1130</v>
      </c>
    </row>
    <row r="17" spans="1:16" ht="27">
      <c r="A17" s="572" t="s">
        <v>1131</v>
      </c>
      <c r="B17" s="568">
        <v>0</v>
      </c>
      <c r="C17" s="568">
        <v>0</v>
      </c>
      <c r="D17" s="568">
        <v>11943.9</v>
      </c>
      <c r="E17" s="568">
        <v>1445.6</v>
      </c>
      <c r="F17" s="568">
        <v>4828.6000000000004</v>
      </c>
      <c r="G17" s="568">
        <v>10048.5</v>
      </c>
      <c r="H17" s="568">
        <v>2961.1</v>
      </c>
      <c r="I17" s="568">
        <v>390.6</v>
      </c>
      <c r="J17" s="568">
        <v>692.2</v>
      </c>
      <c r="K17" s="569">
        <v>874.13</v>
      </c>
      <c r="L17" s="568">
        <v>2699.9</v>
      </c>
      <c r="M17" s="568">
        <v>35680.199999999997</v>
      </c>
      <c r="N17" s="562">
        <v>5032.6000000000004</v>
      </c>
      <c r="O17" s="562">
        <v>36100</v>
      </c>
      <c r="P17" s="563" t="s">
        <v>1132</v>
      </c>
    </row>
    <row r="18" spans="1:16" ht="27">
      <c r="A18" s="572" t="s">
        <v>1133</v>
      </c>
      <c r="B18" s="568">
        <v>59062</v>
      </c>
      <c r="C18" s="568">
        <v>163388</v>
      </c>
      <c r="D18" s="568">
        <v>528043.9</v>
      </c>
      <c r="E18" s="568">
        <v>470606.3</v>
      </c>
      <c r="F18" s="568">
        <v>365053.2</v>
      </c>
      <c r="G18" s="568">
        <v>394878.2</v>
      </c>
      <c r="H18" s="568">
        <v>169368.2</v>
      </c>
      <c r="I18" s="568">
        <v>28460.6</v>
      </c>
      <c r="J18" s="568">
        <v>35292.9</v>
      </c>
      <c r="K18" s="569">
        <v>31227.88</v>
      </c>
      <c r="L18" s="568">
        <v>20505.2</v>
      </c>
      <c r="M18" s="568">
        <v>35802.300000000003</v>
      </c>
      <c r="N18" s="562">
        <v>58726.1</v>
      </c>
      <c r="O18" s="562">
        <v>29000</v>
      </c>
      <c r="P18" s="563" t="s">
        <v>1134</v>
      </c>
    </row>
    <row r="19" spans="1:16" ht="27">
      <c r="A19" s="573" t="s">
        <v>1135</v>
      </c>
      <c r="B19" s="554">
        <v>36012</v>
      </c>
      <c r="C19" s="554">
        <v>12702</v>
      </c>
      <c r="D19" s="554">
        <v>410369</v>
      </c>
      <c r="E19" s="554">
        <v>338472.5</v>
      </c>
      <c r="F19" s="554">
        <v>151676.70000000001</v>
      </c>
      <c r="G19" s="554">
        <v>163009.20000000001</v>
      </c>
      <c r="H19" s="554">
        <v>95562.2</v>
      </c>
      <c r="I19" s="554">
        <v>21020.5</v>
      </c>
      <c r="J19" s="554">
        <v>27574.799999999999</v>
      </c>
      <c r="K19" s="555">
        <v>32482</v>
      </c>
      <c r="L19" s="554">
        <v>34605.599999999999</v>
      </c>
      <c r="M19" s="554">
        <v>38354.9</v>
      </c>
      <c r="N19" s="565">
        <v>52073</v>
      </c>
      <c r="O19" s="565">
        <v>31000</v>
      </c>
      <c r="P19" s="556" t="s">
        <v>1136</v>
      </c>
    </row>
    <row r="20" spans="1:16" ht="27">
      <c r="A20" s="574" t="s">
        <v>1137</v>
      </c>
      <c r="B20" s="554">
        <v>57964</v>
      </c>
      <c r="C20" s="554">
        <v>12702</v>
      </c>
      <c r="D20" s="554">
        <v>6680.2</v>
      </c>
      <c r="E20" s="554">
        <v>123255.3</v>
      </c>
      <c r="F20" s="554">
        <v>80103.5</v>
      </c>
      <c r="G20" s="554">
        <v>101224.9</v>
      </c>
      <c r="H20" s="554">
        <v>24811.5</v>
      </c>
      <c r="I20" s="554">
        <v>10601.7</v>
      </c>
      <c r="J20" s="554">
        <v>13127.3</v>
      </c>
      <c r="K20" s="555">
        <v>25414.69</v>
      </c>
      <c r="L20" s="570"/>
      <c r="M20" s="570"/>
      <c r="N20" s="414"/>
      <c r="O20" s="414"/>
      <c r="P20" s="556" t="s">
        <v>1138</v>
      </c>
    </row>
    <row r="21" spans="1:16" ht="27">
      <c r="A21" s="573" t="s">
        <v>1139</v>
      </c>
      <c r="B21" s="554">
        <v>48256</v>
      </c>
      <c r="C21" s="554">
        <v>76275</v>
      </c>
      <c r="D21" s="554">
        <v>150230.20000000001</v>
      </c>
      <c r="E21" s="554">
        <v>64716.6</v>
      </c>
      <c r="F21" s="554">
        <v>36836.400000000001</v>
      </c>
      <c r="G21" s="554">
        <v>130625.3</v>
      </c>
      <c r="H21" s="554">
        <v>50200.9</v>
      </c>
      <c r="I21" s="554">
        <v>957</v>
      </c>
      <c r="J21" s="554">
        <v>720.7</v>
      </c>
      <c r="K21" s="555">
        <v>2518.33</v>
      </c>
      <c r="L21" s="554">
        <v>1285.8</v>
      </c>
      <c r="M21" s="554">
        <v>-5480.1</v>
      </c>
      <c r="N21" s="565">
        <v>10752</v>
      </c>
      <c r="O21" s="565">
        <v>1200</v>
      </c>
      <c r="P21" s="556" t="s">
        <v>1140</v>
      </c>
    </row>
    <row r="22" spans="1:16" ht="27">
      <c r="A22" s="573" t="s">
        <v>1141</v>
      </c>
      <c r="B22" s="554">
        <v>-25209</v>
      </c>
      <c r="C22" s="554">
        <v>74411</v>
      </c>
      <c r="D22" s="554">
        <v>-32555.3</v>
      </c>
      <c r="E22" s="554">
        <v>67417.2</v>
      </c>
      <c r="F22" s="554">
        <v>176540.2</v>
      </c>
      <c r="G22" s="554">
        <v>101243.7</v>
      </c>
      <c r="H22" s="554">
        <v>23605.1</v>
      </c>
      <c r="I22" s="554">
        <v>6483.1</v>
      </c>
      <c r="J22" s="554">
        <v>6997.4</v>
      </c>
      <c r="K22" s="555">
        <v>-2274.3000000000002</v>
      </c>
      <c r="L22" s="554">
        <v>-15386.2</v>
      </c>
      <c r="M22" s="554">
        <v>2927.5</v>
      </c>
      <c r="N22" s="565">
        <v>4098.8999999999996</v>
      </c>
      <c r="O22" s="565">
        <v>3200</v>
      </c>
      <c r="P22" s="575" t="s">
        <v>1142</v>
      </c>
    </row>
    <row r="23" spans="1:16" ht="27">
      <c r="A23" s="567" t="s">
        <v>1143</v>
      </c>
      <c r="B23" s="568">
        <f>B17+B18</f>
        <v>59062</v>
      </c>
      <c r="C23" s="568">
        <f t="shared" ref="C23:H23" si="0">C17+C18</f>
        <v>163388</v>
      </c>
      <c r="D23" s="568">
        <f t="shared" si="0"/>
        <v>539987.80000000005</v>
      </c>
      <c r="E23" s="568">
        <f t="shared" si="0"/>
        <v>472051.89999999997</v>
      </c>
      <c r="F23" s="568">
        <f t="shared" si="0"/>
        <v>369881.8</v>
      </c>
      <c r="G23" s="568">
        <f t="shared" si="0"/>
        <v>404926.7</v>
      </c>
      <c r="H23" s="568">
        <f t="shared" si="0"/>
        <v>172329.30000000002</v>
      </c>
      <c r="I23" s="568">
        <v>28851.200000000001</v>
      </c>
      <c r="J23" s="568">
        <v>35292.9</v>
      </c>
      <c r="K23" s="569">
        <v>32102</v>
      </c>
      <c r="L23" s="568">
        <v>23205.1</v>
      </c>
      <c r="M23" s="568">
        <v>71482.5</v>
      </c>
      <c r="N23" s="562">
        <v>63758.7</v>
      </c>
      <c r="O23" s="562">
        <v>36100</v>
      </c>
      <c r="P23" s="576" t="s">
        <v>1144</v>
      </c>
    </row>
    <row r="24" spans="1:16" ht="27">
      <c r="A24" s="567" t="s">
        <v>1145</v>
      </c>
      <c r="B24" s="568">
        <v>34242</v>
      </c>
      <c r="C24" s="568">
        <v>-13209</v>
      </c>
      <c r="D24" s="568">
        <v>-30397.3</v>
      </c>
      <c r="E24" s="568">
        <v>-88298.8</v>
      </c>
      <c r="F24" s="568">
        <v>-18682</v>
      </c>
      <c r="G24" s="568">
        <v>-44883.6</v>
      </c>
      <c r="H24" s="568">
        <v>47716.2</v>
      </c>
      <c r="I24" s="568">
        <v>-1865.1</v>
      </c>
      <c r="J24" s="568">
        <v>5592.7</v>
      </c>
      <c r="K24" s="569">
        <v>735.08</v>
      </c>
      <c r="L24" s="568">
        <v>3130.4</v>
      </c>
      <c r="M24" s="568">
        <v>4041.5</v>
      </c>
      <c r="N24" s="562">
        <v>2750.6</v>
      </c>
      <c r="O24" s="562">
        <v>10200</v>
      </c>
      <c r="P24" s="576" t="s">
        <v>1146</v>
      </c>
    </row>
    <row r="25" spans="1:16" ht="27">
      <c r="A25" s="567" t="s">
        <v>1147</v>
      </c>
      <c r="B25" s="568">
        <v>7049</v>
      </c>
      <c r="C25" s="568">
        <v>70982</v>
      </c>
      <c r="D25" s="568">
        <v>145844.20000000001</v>
      </c>
      <c r="E25" s="568">
        <v>4544.3</v>
      </c>
      <c r="F25" s="568">
        <v>-93547</v>
      </c>
      <c r="G25" s="568">
        <v>51462.3</v>
      </c>
      <c r="H25" s="568">
        <v>-27904.5</v>
      </c>
      <c r="I25" s="568">
        <v>1567.9</v>
      </c>
      <c r="J25" s="568">
        <v>6868.9</v>
      </c>
      <c r="K25" s="569">
        <v>3236.95</v>
      </c>
      <c r="L25" s="568">
        <v>4732.6000000000004</v>
      </c>
      <c r="M25" s="568">
        <v>46304.7</v>
      </c>
      <c r="N25" s="562">
        <v>13436</v>
      </c>
      <c r="O25" s="562">
        <v>7400</v>
      </c>
      <c r="P25" s="563" t="s">
        <v>1148</v>
      </c>
    </row>
    <row r="26" spans="1:16" ht="27">
      <c r="A26" s="567" t="s">
        <v>459</v>
      </c>
      <c r="B26" s="568">
        <v>-7049</v>
      </c>
      <c r="C26" s="568">
        <v>-70982</v>
      </c>
      <c r="D26" s="568">
        <v>-145844.20000000001</v>
      </c>
      <c r="E26" s="568">
        <v>-4544.3</v>
      </c>
      <c r="F26" s="568">
        <v>93547</v>
      </c>
      <c r="G26" s="568">
        <v>-51462.3</v>
      </c>
      <c r="H26" s="568">
        <v>27904.5</v>
      </c>
      <c r="I26" s="568">
        <v>-1567.9</v>
      </c>
      <c r="J26" s="568">
        <v>-6868.9</v>
      </c>
      <c r="K26" s="569">
        <v>-3236.9</v>
      </c>
      <c r="L26" s="568">
        <v>-4732.6000000000004</v>
      </c>
      <c r="M26" s="568">
        <v>-47874.5</v>
      </c>
      <c r="N26" s="562">
        <v>13436</v>
      </c>
      <c r="O26" s="562">
        <v>7400</v>
      </c>
      <c r="P26" s="563" t="s">
        <v>1149</v>
      </c>
    </row>
    <row r="27" spans="1:16" ht="27">
      <c r="A27" s="567" t="s">
        <v>1150</v>
      </c>
      <c r="B27" s="560">
        <v>-12764</v>
      </c>
      <c r="C27" s="560">
        <v>-75041</v>
      </c>
      <c r="D27" s="560">
        <v>-120556.4</v>
      </c>
      <c r="E27" s="560">
        <v>-7855.5</v>
      </c>
      <c r="F27" s="560">
        <v>89901.5</v>
      </c>
      <c r="G27" s="560">
        <v>-53362.3</v>
      </c>
      <c r="H27" s="560">
        <v>27904.5</v>
      </c>
      <c r="I27" s="560">
        <v>-1759.6</v>
      </c>
      <c r="J27" s="560">
        <v>-7001.4</v>
      </c>
      <c r="K27" s="561">
        <v>-3410</v>
      </c>
      <c r="L27" s="560">
        <v>-8211.6</v>
      </c>
      <c r="M27" s="560">
        <v>-17460.7</v>
      </c>
      <c r="N27" s="562">
        <v>-13436</v>
      </c>
      <c r="O27" s="562">
        <v>7400</v>
      </c>
      <c r="P27" s="563" t="s">
        <v>1151</v>
      </c>
    </row>
    <row r="28" spans="1:16" ht="27">
      <c r="A28" s="553" t="s">
        <v>1152</v>
      </c>
      <c r="B28" s="557">
        <v>-11484</v>
      </c>
      <c r="C28" s="557">
        <v>-54182</v>
      </c>
      <c r="D28" s="557">
        <v>-141704.1</v>
      </c>
      <c r="E28" s="557">
        <v>-8459.9</v>
      </c>
      <c r="F28" s="557">
        <v>93890.7</v>
      </c>
      <c r="G28" s="557">
        <v>-63041</v>
      </c>
      <c r="H28" s="557">
        <v>-7226.3</v>
      </c>
      <c r="I28" s="557">
        <v>-315.8</v>
      </c>
      <c r="J28" s="557">
        <v>-2068.8000000000002</v>
      </c>
      <c r="K28" s="558">
        <v>-7423.2</v>
      </c>
      <c r="L28" s="557">
        <v>-6782.9</v>
      </c>
      <c r="M28" s="557">
        <v>-13863.8</v>
      </c>
      <c r="N28" s="565">
        <v>-7110.7</v>
      </c>
      <c r="O28" s="565">
        <v>5300</v>
      </c>
      <c r="P28" s="556" t="s">
        <v>1153</v>
      </c>
    </row>
    <row r="29" spans="1:16" ht="27">
      <c r="A29" s="553" t="s">
        <v>1154</v>
      </c>
      <c r="B29" s="554">
        <v>-18544</v>
      </c>
      <c r="C29" s="554">
        <v>-63795</v>
      </c>
      <c r="D29" s="554">
        <v>-137013.6</v>
      </c>
      <c r="E29" s="554">
        <v>-10811.3</v>
      </c>
      <c r="F29" s="554">
        <v>98103.4</v>
      </c>
      <c r="G29" s="554">
        <v>-58184.3</v>
      </c>
      <c r="H29" s="554">
        <v>-437</v>
      </c>
      <c r="I29" s="554">
        <v>-929.9</v>
      </c>
      <c r="J29" s="554">
        <v>-2523.6</v>
      </c>
      <c r="K29" s="555">
        <v>-8058.7</v>
      </c>
      <c r="L29" s="554">
        <v>-15154.1</v>
      </c>
      <c r="M29" s="554">
        <v>-20222.3</v>
      </c>
      <c r="N29" s="565">
        <v>6730.1</v>
      </c>
      <c r="O29" s="565">
        <v>5600</v>
      </c>
      <c r="P29" s="556" t="s">
        <v>1155</v>
      </c>
    </row>
    <row r="30" spans="1:16" ht="27">
      <c r="A30" s="553" t="s">
        <v>1156</v>
      </c>
      <c r="B30" s="554">
        <v>7060</v>
      </c>
      <c r="C30" s="554">
        <v>9613</v>
      </c>
      <c r="D30" s="554">
        <v>-4690.5</v>
      </c>
      <c r="E30" s="554">
        <v>2351.4</v>
      </c>
      <c r="F30" s="554">
        <v>-4212.7</v>
      </c>
      <c r="G30" s="554">
        <v>-4856.7</v>
      </c>
      <c r="H30" s="554">
        <v>-6789.3</v>
      </c>
      <c r="I30" s="554">
        <v>614.1</v>
      </c>
      <c r="J30" s="554">
        <v>454.9</v>
      </c>
      <c r="K30" s="555">
        <v>635.5</v>
      </c>
      <c r="L30" s="554">
        <v>8371.1</v>
      </c>
      <c r="M30" s="554">
        <v>6358.5</v>
      </c>
      <c r="N30" s="565">
        <v>-12470</v>
      </c>
      <c r="O30" s="414">
        <v>400</v>
      </c>
      <c r="P30" s="556" t="s">
        <v>1157</v>
      </c>
    </row>
    <row r="31" spans="1:16" ht="27">
      <c r="A31" s="553" t="s">
        <v>1158</v>
      </c>
      <c r="B31" s="554">
        <v>-1075</v>
      </c>
      <c r="C31" s="554">
        <v>-7544</v>
      </c>
      <c r="D31" s="554">
        <v>25272.6</v>
      </c>
      <c r="E31" s="554">
        <v>1781</v>
      </c>
      <c r="F31" s="554">
        <v>-5294</v>
      </c>
      <c r="G31" s="554">
        <v>4708.2</v>
      </c>
      <c r="H31" s="554">
        <v>26586.6</v>
      </c>
      <c r="I31" s="554">
        <v>-650.4</v>
      </c>
      <c r="J31" s="554">
        <v>-1619.2</v>
      </c>
      <c r="K31" s="555">
        <v>910.71</v>
      </c>
      <c r="L31" s="554">
        <v>-1327.2</v>
      </c>
      <c r="M31" s="554">
        <v>-1770.1</v>
      </c>
      <c r="N31" s="565">
        <v>-4946.3</v>
      </c>
      <c r="O31" s="414">
        <v>700</v>
      </c>
      <c r="P31" s="556" t="s">
        <v>1159</v>
      </c>
    </row>
    <row r="32" spans="1:16" ht="27">
      <c r="A32" s="553" t="s">
        <v>1160</v>
      </c>
      <c r="B32" s="554">
        <v>-204</v>
      </c>
      <c r="C32" s="554">
        <v>-13315</v>
      </c>
      <c r="D32" s="554">
        <v>-4124.8999999999996</v>
      </c>
      <c r="E32" s="554">
        <v>-1176.7</v>
      </c>
      <c r="F32" s="554">
        <v>1304.8</v>
      </c>
      <c r="G32" s="554">
        <v>4970.5</v>
      </c>
      <c r="H32" s="554">
        <v>8544.2000000000007</v>
      </c>
      <c r="I32" s="554">
        <v>-793.5</v>
      </c>
      <c r="J32" s="554">
        <v>-3313.4</v>
      </c>
      <c r="K32" s="555">
        <v>3102.41</v>
      </c>
      <c r="L32" s="554">
        <v>-101.4</v>
      </c>
      <c r="M32" s="554">
        <v>-1826.8</v>
      </c>
      <c r="N32" s="565">
        <v>-1379</v>
      </c>
      <c r="O32" s="565">
        <v>1400</v>
      </c>
      <c r="P32" s="556" t="s">
        <v>1161</v>
      </c>
    </row>
    <row r="33" spans="1:16" ht="27">
      <c r="A33" s="567" t="s">
        <v>1162</v>
      </c>
      <c r="B33" s="568">
        <v>5715</v>
      </c>
      <c r="C33" s="568">
        <v>4059</v>
      </c>
      <c r="D33" s="568">
        <v>-25287.8</v>
      </c>
      <c r="E33" s="568">
        <v>3311.2</v>
      </c>
      <c r="F33" s="568">
        <v>3191.6</v>
      </c>
      <c r="G33" s="568">
        <v>1900</v>
      </c>
      <c r="H33" s="577" t="s">
        <v>10</v>
      </c>
      <c r="I33" s="577">
        <v>191.7</v>
      </c>
      <c r="J33" s="577">
        <v>132.5</v>
      </c>
      <c r="K33" s="578">
        <v>173.14</v>
      </c>
      <c r="L33" s="577">
        <v>3479</v>
      </c>
      <c r="M33" s="577">
        <v>-30413.8</v>
      </c>
      <c r="N33" s="577" t="s">
        <v>1166</v>
      </c>
      <c r="O33" s="577" t="s">
        <v>1167</v>
      </c>
      <c r="P33" s="563" t="s">
        <v>1163</v>
      </c>
    </row>
    <row r="34" spans="1:16" ht="27.6" thickBot="1">
      <c r="A34" s="542"/>
      <c r="B34" s="543"/>
      <c r="C34" s="543"/>
      <c r="D34" s="543"/>
      <c r="E34" s="543"/>
      <c r="F34" s="544"/>
      <c r="G34" s="544"/>
      <c r="H34" s="544"/>
      <c r="I34" s="544"/>
      <c r="J34" s="544"/>
      <c r="K34" s="545"/>
      <c r="L34" s="544"/>
      <c r="M34" s="544"/>
      <c r="N34" s="544"/>
      <c r="O34" s="544"/>
      <c r="P34" s="546"/>
    </row>
    <row r="35" spans="1:16" ht="26.4">
      <c r="A35" s="547" t="s">
        <v>1164</v>
      </c>
      <c r="B35" s="548"/>
      <c r="C35" s="548"/>
      <c r="D35" s="548"/>
      <c r="E35" s="548"/>
      <c r="F35" s="548"/>
      <c r="G35" s="548"/>
      <c r="H35" s="548"/>
      <c r="I35" s="548"/>
      <c r="J35" s="548"/>
      <c r="K35" s="549"/>
      <c r="L35" s="548"/>
      <c r="M35" s="548"/>
      <c r="N35" s="548"/>
      <c r="O35" s="548"/>
      <c r="P35" s="550" t="s">
        <v>1165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9"/>
  <sheetViews>
    <sheetView workbookViewId="0">
      <selection activeCell="M4" sqref="M4"/>
    </sheetView>
  </sheetViews>
  <sheetFormatPr baseColWidth="10" defaultColWidth="10.33203125" defaultRowHeight="13.2"/>
  <cols>
    <col min="1" max="3" width="10.33203125" style="585"/>
    <col min="4" max="10" width="11" style="585" customWidth="1"/>
    <col min="11" max="11" width="10.33203125" style="585"/>
    <col min="12" max="12" width="14.88671875" style="585" customWidth="1"/>
    <col min="13" max="16384" width="10.33203125" style="585"/>
  </cols>
  <sheetData>
    <row r="2" spans="1:12" ht="43.2">
      <c r="A2" s="860" t="s">
        <v>1168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</row>
    <row r="3" spans="1:12" ht="15.6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</row>
    <row r="4" spans="1:12" ht="58.8">
      <c r="A4" s="857" t="s">
        <v>893</v>
      </c>
      <c r="B4" s="857"/>
      <c r="C4" s="857"/>
      <c r="D4" s="857"/>
      <c r="E4" s="857"/>
      <c r="F4" s="857"/>
      <c r="G4" s="857"/>
      <c r="H4" s="857"/>
      <c r="I4" s="857"/>
      <c r="J4" s="857"/>
      <c r="K4" s="857"/>
      <c r="L4" s="857"/>
    </row>
    <row r="5" spans="1:12" ht="16.2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</row>
    <row r="6" spans="1:12" ht="16.2">
      <c r="A6" s="587"/>
      <c r="B6" s="587"/>
      <c r="C6" s="587"/>
      <c r="D6" s="587"/>
      <c r="E6" s="587"/>
      <c r="F6" s="587"/>
      <c r="G6" s="587"/>
      <c r="H6" s="587"/>
      <c r="I6" s="587"/>
      <c r="J6" s="587"/>
      <c r="K6" s="587"/>
      <c r="L6" s="587"/>
    </row>
    <row r="7" spans="1:12" ht="30">
      <c r="A7" s="858" t="s">
        <v>1169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</row>
    <row r="8" spans="1:12" ht="16.2">
      <c r="A8" s="587"/>
      <c r="B8" s="587"/>
      <c r="C8" s="587"/>
      <c r="D8" s="587"/>
      <c r="E8" s="587"/>
      <c r="F8" s="587"/>
      <c r="G8" s="587"/>
      <c r="H8" s="587"/>
      <c r="I8" s="587"/>
      <c r="J8" s="587"/>
      <c r="K8" s="587"/>
      <c r="L8" s="587"/>
    </row>
    <row r="9" spans="1:12" ht="45">
      <c r="A9" s="859" t="s">
        <v>894</v>
      </c>
      <c r="B9" s="859"/>
      <c r="C9" s="859"/>
      <c r="D9" s="859"/>
      <c r="E9" s="859"/>
      <c r="F9" s="859"/>
      <c r="G9" s="859"/>
      <c r="H9" s="859"/>
      <c r="I9" s="859"/>
      <c r="J9" s="859"/>
      <c r="K9" s="859"/>
      <c r="L9" s="859"/>
    </row>
  </sheetData>
  <mergeCells count="4">
    <mergeCell ref="A4:L4"/>
    <mergeCell ref="A7:L7"/>
    <mergeCell ref="A9:L9"/>
    <mergeCell ref="A2:L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2:AE49"/>
  <sheetViews>
    <sheetView topLeftCell="J1" zoomScale="68" workbookViewId="0">
      <selection activeCell="AH10" sqref="AH10"/>
    </sheetView>
  </sheetViews>
  <sheetFormatPr baseColWidth="10" defaultRowHeight="14.4"/>
  <cols>
    <col min="1" max="1" width="41.33203125" customWidth="1"/>
    <col min="31" max="31" width="50.109375" customWidth="1"/>
  </cols>
  <sheetData>
    <row r="2" spans="1:31">
      <c r="A2" t="s">
        <v>271</v>
      </c>
    </row>
    <row r="3" spans="1:31">
      <c r="AE3" t="s">
        <v>272</v>
      </c>
    </row>
    <row r="4" spans="1:31" ht="15" thickBot="1"/>
    <row r="5" spans="1:31" ht="30.6" thickBot="1">
      <c r="A5" s="302" t="s">
        <v>273</v>
      </c>
      <c r="B5" s="302">
        <v>1995</v>
      </c>
      <c r="C5" s="302">
        <v>1996</v>
      </c>
      <c r="D5" s="302">
        <v>1997</v>
      </c>
      <c r="E5" s="302">
        <v>1998</v>
      </c>
      <c r="F5" s="302">
        <v>1999</v>
      </c>
      <c r="G5" s="302">
        <v>2000</v>
      </c>
      <c r="H5" s="302">
        <v>2001</v>
      </c>
      <c r="I5" s="302">
        <v>2002</v>
      </c>
      <c r="J5" s="302">
        <v>2003</v>
      </c>
      <c r="K5" s="302">
        <v>2004</v>
      </c>
      <c r="L5" s="302">
        <v>2005</v>
      </c>
      <c r="M5" s="302">
        <v>2006</v>
      </c>
      <c r="N5" s="302">
        <v>2007</v>
      </c>
      <c r="O5" s="302" t="s">
        <v>274</v>
      </c>
      <c r="P5" s="302">
        <v>2009</v>
      </c>
      <c r="Q5" s="302">
        <v>2010</v>
      </c>
      <c r="R5" s="302">
        <v>2011</v>
      </c>
      <c r="S5" s="302">
        <v>2012</v>
      </c>
      <c r="T5" s="302">
        <v>2013</v>
      </c>
      <c r="U5" s="302">
        <v>2014</v>
      </c>
      <c r="V5" s="302">
        <v>2015</v>
      </c>
      <c r="W5" s="302">
        <v>2016</v>
      </c>
      <c r="X5" s="302">
        <v>2017</v>
      </c>
      <c r="Y5" s="302">
        <v>2018</v>
      </c>
      <c r="Z5" s="302">
        <v>2019</v>
      </c>
      <c r="AA5" s="302">
        <v>2020</v>
      </c>
      <c r="AB5" s="302">
        <v>2021</v>
      </c>
      <c r="AC5" s="302">
        <v>2022</v>
      </c>
      <c r="AD5" s="302">
        <v>2023</v>
      </c>
      <c r="AE5" s="302" t="s">
        <v>594</v>
      </c>
    </row>
    <row r="6" spans="1:31" ht="26.4">
      <c r="A6" s="310" t="s">
        <v>275</v>
      </c>
      <c r="B6" s="310">
        <v>21776.767</v>
      </c>
      <c r="C6" s="310">
        <v>25309.900000000005</v>
      </c>
      <c r="D6" s="310">
        <v>26421.26</v>
      </c>
      <c r="E6" s="310">
        <v>29048.04</v>
      </c>
      <c r="F6" s="310">
        <v>34434.409999999996</v>
      </c>
      <c r="G6" s="310">
        <v>35273.880000000005</v>
      </c>
      <c r="H6" s="310">
        <v>35829.649999999994</v>
      </c>
      <c r="I6" s="310">
        <v>41549.39</v>
      </c>
      <c r="J6" s="310">
        <v>44886.7</v>
      </c>
      <c r="K6" s="310">
        <v>59177.64</v>
      </c>
      <c r="L6" s="310">
        <v>74876.639999999999</v>
      </c>
      <c r="M6" s="310">
        <v>97108.669155159994</v>
      </c>
      <c r="N6" s="310">
        <v>106880.63600000001</v>
      </c>
      <c r="O6" s="310">
        <v>115039.99999999999</v>
      </c>
      <c r="P6" s="310">
        <v>106610</v>
      </c>
      <c r="Q6" s="310">
        <v>155594.29999999999</v>
      </c>
      <c r="R6" s="310">
        <v>183696.1</v>
      </c>
      <c r="S6" s="310">
        <v>250500</v>
      </c>
      <c r="T6" s="310">
        <v>253950</v>
      </c>
      <c r="U6" s="310">
        <v>280290</v>
      </c>
      <c r="V6" s="310">
        <v>269600</v>
      </c>
      <c r="W6" s="310"/>
      <c r="X6" s="310">
        <v>318729.95729519823</v>
      </c>
      <c r="Y6" s="310">
        <v>352844.39506499993</v>
      </c>
      <c r="Z6" s="310">
        <v>379294.68516743771</v>
      </c>
      <c r="AA6" s="310">
        <v>336540</v>
      </c>
      <c r="AB6" s="310">
        <v>439900</v>
      </c>
      <c r="AC6" s="310">
        <v>475240</v>
      </c>
      <c r="AD6" s="310">
        <v>518700</v>
      </c>
      <c r="AE6" s="331" t="s">
        <v>409</v>
      </c>
    </row>
    <row r="7" spans="1:31" ht="26.4">
      <c r="A7" s="310" t="s">
        <v>276</v>
      </c>
      <c r="B7" s="310">
        <v>8160</v>
      </c>
      <c r="C7" s="310">
        <v>7375.06</v>
      </c>
      <c r="D7" s="310">
        <v>8147.23</v>
      </c>
      <c r="E7" s="310">
        <v>9340.4399999999987</v>
      </c>
      <c r="F7" s="310">
        <v>10590.989999999998</v>
      </c>
      <c r="G7" s="310">
        <v>11184.039999999999</v>
      </c>
      <c r="H7" s="310">
        <v>11202.4</v>
      </c>
      <c r="I7" s="310">
        <v>12822.56</v>
      </c>
      <c r="J7" s="310">
        <v>12047.86</v>
      </c>
      <c r="K7" s="310">
        <v>16290.210000000001</v>
      </c>
      <c r="L7" s="310">
        <v>26595.859999999997</v>
      </c>
      <c r="M7" s="310">
        <v>26749.568154329998</v>
      </c>
      <c r="N7" s="310">
        <v>32915.889000000003</v>
      </c>
      <c r="O7" s="310">
        <v>34880</v>
      </c>
      <c r="P7" s="310">
        <v>34600</v>
      </c>
      <c r="Q7" s="310">
        <v>43439.5</v>
      </c>
      <c r="R7" s="310">
        <v>54947.4</v>
      </c>
      <c r="S7" s="310">
        <v>80490</v>
      </c>
      <c r="T7" s="310">
        <v>85670</v>
      </c>
      <c r="U7" s="310">
        <v>97940</v>
      </c>
      <c r="V7" s="310">
        <v>95230</v>
      </c>
      <c r="W7" s="310"/>
      <c r="X7" s="310">
        <v>97629.957295198255</v>
      </c>
      <c r="Y7" s="310">
        <v>105474.48364600001</v>
      </c>
      <c r="Z7" s="310">
        <v>118505.3054884232</v>
      </c>
      <c r="AA7" s="310">
        <v>113150</v>
      </c>
      <c r="AB7" s="310">
        <v>137780</v>
      </c>
      <c r="AC7" s="310">
        <v>156910</v>
      </c>
      <c r="AD7" s="310">
        <v>167760</v>
      </c>
      <c r="AE7" s="331" t="s">
        <v>411</v>
      </c>
    </row>
    <row r="8" spans="1:31" ht="26.4">
      <c r="A8" s="310" t="s">
        <v>277</v>
      </c>
      <c r="B8" s="310">
        <v>3870</v>
      </c>
      <c r="C8" s="310">
        <v>3367.6</v>
      </c>
      <c r="D8" s="310">
        <v>3725.11</v>
      </c>
      <c r="E8" s="310">
        <v>4416.8999999999996</v>
      </c>
      <c r="F8" s="310">
        <v>4512.28</v>
      </c>
      <c r="G8" s="310">
        <v>5312.04</v>
      </c>
      <c r="H8" s="310">
        <v>5256.61</v>
      </c>
      <c r="I8" s="310">
        <v>6219.41</v>
      </c>
      <c r="J8" s="310">
        <v>6627.24</v>
      </c>
      <c r="K8" s="310">
        <v>9284.9</v>
      </c>
      <c r="L8" s="310">
        <v>15658.65</v>
      </c>
      <c r="M8" s="310">
        <v>15867.472623325</v>
      </c>
      <c r="N8" s="310">
        <v>17834.531999999999</v>
      </c>
      <c r="O8" s="310">
        <v>19800</v>
      </c>
      <c r="P8" s="310">
        <v>16850</v>
      </c>
      <c r="Q8" s="310">
        <v>21367.5</v>
      </c>
      <c r="R8" s="310">
        <v>27353.1</v>
      </c>
      <c r="S8" s="310">
        <v>41840</v>
      </c>
      <c r="T8" s="310">
        <v>41340</v>
      </c>
      <c r="U8" s="310">
        <v>49100</v>
      </c>
      <c r="V8" s="310">
        <v>49100</v>
      </c>
      <c r="W8" s="310"/>
      <c r="X8" s="310">
        <v>50924.566575444944</v>
      </c>
      <c r="Y8" s="310">
        <v>54474.483646000001</v>
      </c>
      <c r="Z8" s="310">
        <v>52267.075075475557</v>
      </c>
      <c r="AA8" s="310">
        <v>38810</v>
      </c>
      <c r="AB8" s="310">
        <v>48810</v>
      </c>
      <c r="AC8" s="310">
        <v>55040</v>
      </c>
      <c r="AD8" s="310">
        <v>41500</v>
      </c>
      <c r="AE8" s="332" t="s">
        <v>561</v>
      </c>
    </row>
    <row r="9" spans="1:31" ht="26.4">
      <c r="A9" s="310" t="s">
        <v>278</v>
      </c>
      <c r="B9" s="310">
        <v>3910</v>
      </c>
      <c r="C9" s="310">
        <v>3717.18</v>
      </c>
      <c r="D9" s="310">
        <v>4036.95</v>
      </c>
      <c r="E9" s="310">
        <v>4580.66</v>
      </c>
      <c r="F9" s="310">
        <v>5056.93</v>
      </c>
      <c r="G9" s="310">
        <v>5326.95</v>
      </c>
      <c r="H9" s="310">
        <v>5447.07</v>
      </c>
      <c r="I9" s="310">
        <v>6125.36</v>
      </c>
      <c r="J9" s="310">
        <v>4838.6000000000004</v>
      </c>
      <c r="K9" s="310">
        <v>6284.1</v>
      </c>
      <c r="L9" s="310">
        <v>9899.67</v>
      </c>
      <c r="M9" s="310">
        <v>8054.531821005</v>
      </c>
      <c r="N9" s="310">
        <v>12375.327000000001</v>
      </c>
      <c r="O9" s="310">
        <v>11930</v>
      </c>
      <c r="P9" s="310">
        <v>14390</v>
      </c>
      <c r="Q9" s="310">
        <v>18391.8</v>
      </c>
      <c r="R9" s="310">
        <v>19675.400000000001</v>
      </c>
      <c r="S9" s="310">
        <v>30980</v>
      </c>
      <c r="T9" s="310">
        <v>33560</v>
      </c>
      <c r="U9" s="310">
        <v>38830</v>
      </c>
      <c r="V9" s="310">
        <v>38830</v>
      </c>
      <c r="W9" s="310"/>
      <c r="X9" s="310">
        <v>36845.68208466861</v>
      </c>
      <c r="Y9" s="310">
        <v>38000</v>
      </c>
      <c r="Z9" s="310">
        <v>43262.615737002248</v>
      </c>
      <c r="AA9" s="310">
        <v>50240</v>
      </c>
      <c r="AB9" s="310">
        <v>48140</v>
      </c>
      <c r="AC9" s="310">
        <v>56470</v>
      </c>
      <c r="AD9" s="310">
        <v>69900</v>
      </c>
      <c r="AE9" s="332" t="s">
        <v>562</v>
      </c>
    </row>
    <row r="10" spans="1:31" ht="26.4">
      <c r="A10" s="310" t="s">
        <v>279</v>
      </c>
      <c r="B10" s="310">
        <v>230</v>
      </c>
      <c r="C10" s="310">
        <v>169.18</v>
      </c>
      <c r="D10" s="310">
        <v>170.96</v>
      </c>
      <c r="E10" s="310">
        <v>212.24</v>
      </c>
      <c r="F10" s="310">
        <v>203.96</v>
      </c>
      <c r="G10" s="310">
        <v>105.65</v>
      </c>
      <c r="H10" s="310">
        <v>121.49</v>
      </c>
      <c r="I10" s="310">
        <v>313.83</v>
      </c>
      <c r="J10" s="310">
        <v>290.58</v>
      </c>
      <c r="K10" s="310">
        <v>353.79</v>
      </c>
      <c r="L10" s="310">
        <v>396.78</v>
      </c>
      <c r="M10" s="310">
        <v>305.01551699999999</v>
      </c>
      <c r="N10" s="310">
        <v>325.06099999999998</v>
      </c>
      <c r="O10" s="310">
        <v>400</v>
      </c>
      <c r="P10" s="310">
        <v>400</v>
      </c>
      <c r="Q10" s="310">
        <v>503.4</v>
      </c>
      <c r="R10" s="310">
        <v>415.7</v>
      </c>
      <c r="S10" s="310">
        <v>140</v>
      </c>
      <c r="T10" s="310">
        <v>270</v>
      </c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32" t="s">
        <v>563</v>
      </c>
    </row>
    <row r="11" spans="1:31" ht="26.4">
      <c r="A11" s="310" t="s">
        <v>280</v>
      </c>
      <c r="B11" s="310">
        <v>413.61599999999999</v>
      </c>
      <c r="C11" s="310">
        <v>451.27</v>
      </c>
      <c r="D11" s="310">
        <v>449.94000000000005</v>
      </c>
      <c r="E11" s="310">
        <v>513.01</v>
      </c>
      <c r="F11" s="310">
        <v>554.29</v>
      </c>
      <c r="G11" s="310">
        <v>580.04999999999995</v>
      </c>
      <c r="H11" s="310">
        <v>966.09</v>
      </c>
      <c r="I11" s="310">
        <v>745.14</v>
      </c>
      <c r="J11" s="310">
        <v>770.5</v>
      </c>
      <c r="K11" s="310">
        <v>866.81</v>
      </c>
      <c r="L11" s="310">
        <v>1042.3900000000001</v>
      </c>
      <c r="M11" s="310">
        <v>2522.5481930000001</v>
      </c>
      <c r="N11" s="310">
        <v>2380.9690000000001</v>
      </c>
      <c r="O11" s="310">
        <v>2750</v>
      </c>
      <c r="P11" s="310">
        <v>2960</v>
      </c>
      <c r="Q11" s="310">
        <v>3176.9</v>
      </c>
      <c r="R11" s="310">
        <v>7503.2</v>
      </c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32" t="s">
        <v>564</v>
      </c>
    </row>
    <row r="12" spans="1:31" ht="26.4">
      <c r="A12" s="310" t="s">
        <v>281</v>
      </c>
      <c r="B12" s="310">
        <v>7891.5309999999999</v>
      </c>
      <c r="C12" s="310">
        <v>10564.79</v>
      </c>
      <c r="D12" s="310">
        <v>12509.39</v>
      </c>
      <c r="E12" s="310">
        <v>13529.23</v>
      </c>
      <c r="F12" s="310">
        <v>17545.29</v>
      </c>
      <c r="G12" s="310">
        <v>17071.550000000003</v>
      </c>
      <c r="H12" s="310">
        <v>17348.07</v>
      </c>
      <c r="I12" s="310">
        <v>21637.010000000002</v>
      </c>
      <c r="J12" s="310">
        <v>24661.06</v>
      </c>
      <c r="K12" s="310">
        <v>30771.05</v>
      </c>
      <c r="L12" s="310">
        <v>36239.08</v>
      </c>
      <c r="M12" s="310">
        <v>141.16152500000001</v>
      </c>
      <c r="N12" s="310" t="s">
        <v>13</v>
      </c>
      <c r="O12" s="310">
        <v>1420</v>
      </c>
      <c r="P12" s="310" t="s">
        <v>13</v>
      </c>
      <c r="Q12" s="310">
        <v>79258.8</v>
      </c>
      <c r="R12" s="310">
        <v>100489.60000000001</v>
      </c>
      <c r="S12" s="310">
        <v>133530</v>
      </c>
      <c r="T12" s="310">
        <v>128100</v>
      </c>
      <c r="U12" s="310">
        <v>138210</v>
      </c>
      <c r="V12" s="310">
        <v>130850</v>
      </c>
      <c r="W12" s="310"/>
      <c r="X12" s="310">
        <v>157100</v>
      </c>
      <c r="Y12" s="310">
        <v>172939.82683900002</v>
      </c>
      <c r="Z12" s="310">
        <v>181162.32503224764</v>
      </c>
      <c r="AA12" s="310">
        <v>164560</v>
      </c>
      <c r="AB12" s="310">
        <v>225500</v>
      </c>
      <c r="AC12" s="310">
        <v>233280</v>
      </c>
      <c r="AD12" s="310">
        <v>227740</v>
      </c>
      <c r="AE12" s="331" t="s">
        <v>413</v>
      </c>
    </row>
    <row r="13" spans="1:31" ht="26.4">
      <c r="A13" s="310" t="s">
        <v>282</v>
      </c>
      <c r="B13" s="310">
        <v>851.69</v>
      </c>
      <c r="C13" s="310">
        <v>3455.16</v>
      </c>
      <c r="D13" s="310">
        <v>4342.6899999999996</v>
      </c>
      <c r="E13" s="310">
        <v>3126.7</v>
      </c>
      <c r="F13" s="310">
        <v>5248.78</v>
      </c>
      <c r="G13" s="310">
        <v>3965.24</v>
      </c>
      <c r="H13" s="310">
        <v>3491.01</v>
      </c>
      <c r="I13" s="310">
        <v>4280.68</v>
      </c>
      <c r="J13" s="310">
        <v>3297.92</v>
      </c>
      <c r="K13" s="310">
        <v>2683.87</v>
      </c>
      <c r="L13" s="310">
        <v>2824.01</v>
      </c>
      <c r="M13" s="310">
        <v>662.79735300000004</v>
      </c>
      <c r="N13" s="310" t="s">
        <v>13</v>
      </c>
      <c r="O13" s="310" t="s">
        <v>13</v>
      </c>
      <c r="P13" s="310" t="s">
        <v>13</v>
      </c>
      <c r="Q13" s="310">
        <v>21803</v>
      </c>
      <c r="R13" s="310">
        <v>30036.400000000001</v>
      </c>
      <c r="S13" s="310">
        <v>23700</v>
      </c>
      <c r="T13" s="310">
        <v>23240</v>
      </c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32" t="s">
        <v>565</v>
      </c>
    </row>
    <row r="14" spans="1:31" ht="26.4">
      <c r="A14" s="310" t="s">
        <v>283</v>
      </c>
      <c r="B14" s="310">
        <v>1468.538</v>
      </c>
      <c r="C14" s="310">
        <v>1352.85</v>
      </c>
      <c r="D14" s="310">
        <v>1846.94</v>
      </c>
      <c r="E14" s="310">
        <v>2257.3000000000002</v>
      </c>
      <c r="F14" s="310">
        <v>2565.1</v>
      </c>
      <c r="G14" s="310">
        <v>2435.62</v>
      </c>
      <c r="H14" s="310">
        <v>2219.9899999999998</v>
      </c>
      <c r="I14" s="310">
        <v>2682.49</v>
      </c>
      <c r="J14" s="310">
        <v>2441.69</v>
      </c>
      <c r="K14" s="310">
        <v>2791.89</v>
      </c>
      <c r="L14" s="310">
        <v>2528.92</v>
      </c>
      <c r="M14" s="310">
        <v>44956.488143580005</v>
      </c>
      <c r="N14" s="310">
        <v>52721.851000000002</v>
      </c>
      <c r="O14" s="310">
        <v>59760</v>
      </c>
      <c r="P14" s="310">
        <v>53750</v>
      </c>
      <c r="Q14" s="310">
        <v>2151.6999999999998</v>
      </c>
      <c r="R14" s="310">
        <v>2436.4</v>
      </c>
      <c r="S14" s="310">
        <v>2950</v>
      </c>
      <c r="T14" s="310">
        <v>3400</v>
      </c>
      <c r="U14" s="310"/>
      <c r="V14" s="310"/>
      <c r="W14" s="310"/>
      <c r="X14" s="310">
        <v>14650</v>
      </c>
      <c r="Y14" s="310">
        <v>15096.923299</v>
      </c>
      <c r="Z14" s="310">
        <v>16707.304979182882</v>
      </c>
      <c r="AA14" s="310">
        <v>23060</v>
      </c>
      <c r="AB14" s="310">
        <v>17300</v>
      </c>
      <c r="AC14" s="310">
        <v>19850</v>
      </c>
      <c r="AD14" s="310">
        <v>19800</v>
      </c>
      <c r="AE14" s="332" t="s">
        <v>566</v>
      </c>
    </row>
    <row r="15" spans="1:31" ht="26.4">
      <c r="A15" s="310" t="s">
        <v>284</v>
      </c>
      <c r="B15" s="310">
        <v>871.303</v>
      </c>
      <c r="C15" s="310">
        <v>835.39</v>
      </c>
      <c r="D15" s="310">
        <v>1057.6099999999999</v>
      </c>
      <c r="E15" s="310">
        <v>1543.54</v>
      </c>
      <c r="F15" s="310">
        <v>1921.19</v>
      </c>
      <c r="G15" s="310">
        <v>1631.38</v>
      </c>
      <c r="H15" s="310">
        <v>1491.87</v>
      </c>
      <c r="I15" s="310">
        <v>1764.11</v>
      </c>
      <c r="J15" s="310">
        <v>1567.43</v>
      </c>
      <c r="K15" s="310">
        <v>2660.4</v>
      </c>
      <c r="L15" s="310">
        <v>3281.15</v>
      </c>
      <c r="M15" s="310">
        <v>6735.8826109999991</v>
      </c>
      <c r="N15" s="310">
        <v>7290.0439999999999</v>
      </c>
      <c r="O15" s="310">
        <v>13760</v>
      </c>
      <c r="P15" s="310">
        <v>7720</v>
      </c>
      <c r="Q15" s="310">
        <v>3987.4</v>
      </c>
      <c r="R15" s="310">
        <v>1392.9</v>
      </c>
      <c r="S15" s="310">
        <v>4440</v>
      </c>
      <c r="T15" s="310">
        <v>5700</v>
      </c>
      <c r="U15" s="310"/>
      <c r="V15" s="310"/>
      <c r="W15" s="310"/>
      <c r="X15" s="310">
        <v>3000</v>
      </c>
      <c r="Y15" s="310">
        <v>16114.999999999998</v>
      </c>
      <c r="Z15" s="310">
        <v>18192.813753712893</v>
      </c>
      <c r="AA15" s="310"/>
      <c r="AB15" s="310">
        <v>19870</v>
      </c>
      <c r="AC15" s="310">
        <v>17450</v>
      </c>
      <c r="AD15" s="310"/>
      <c r="AE15" s="332" t="s">
        <v>567</v>
      </c>
    </row>
    <row r="16" spans="1:31" ht="26.4">
      <c r="A16" s="310" t="s">
        <v>285</v>
      </c>
      <c r="B16" s="310">
        <v>200</v>
      </c>
      <c r="C16" s="310">
        <v>200.66</v>
      </c>
      <c r="D16" s="310">
        <v>233.19</v>
      </c>
      <c r="E16" s="310">
        <v>269.87</v>
      </c>
      <c r="F16" s="310">
        <v>341.33</v>
      </c>
      <c r="G16" s="310">
        <v>442.04</v>
      </c>
      <c r="H16" s="310">
        <v>494</v>
      </c>
      <c r="I16" s="310">
        <v>592.74</v>
      </c>
      <c r="J16" s="310">
        <v>750.3</v>
      </c>
      <c r="K16" s="310">
        <v>870.54</v>
      </c>
      <c r="L16" s="310">
        <v>895.19</v>
      </c>
      <c r="M16" s="310">
        <v>2176.6592540000001</v>
      </c>
      <c r="N16" s="310">
        <v>2889.7219999999998</v>
      </c>
      <c r="O16" s="310">
        <v>3880</v>
      </c>
      <c r="P16" s="310">
        <v>4510</v>
      </c>
      <c r="Q16" s="310">
        <v>1874.5</v>
      </c>
      <c r="R16" s="310">
        <v>1861.5</v>
      </c>
      <c r="S16" s="310">
        <v>1200</v>
      </c>
      <c r="T16" s="310">
        <v>1790</v>
      </c>
      <c r="U16" s="310">
        <v>4200</v>
      </c>
      <c r="V16" s="310">
        <v>4201</v>
      </c>
      <c r="W16" s="310"/>
      <c r="X16" s="310">
        <v>0</v>
      </c>
      <c r="Y16" s="310">
        <v>3150</v>
      </c>
      <c r="Z16" s="310">
        <v>3507.6920867387475</v>
      </c>
      <c r="AA16" s="310">
        <v>5970</v>
      </c>
      <c r="AB16" s="310">
        <v>3010</v>
      </c>
      <c r="AC16" s="310"/>
      <c r="AD16" s="310"/>
      <c r="AE16" s="332" t="s">
        <v>568</v>
      </c>
    </row>
    <row r="17" spans="1:31" ht="26.4">
      <c r="A17" s="310" t="s">
        <v>286</v>
      </c>
      <c r="B17" s="310">
        <v>4500</v>
      </c>
      <c r="C17" s="310">
        <v>4720.7299999999996</v>
      </c>
      <c r="D17" s="310">
        <v>5028.96</v>
      </c>
      <c r="E17" s="310">
        <v>6331.82</v>
      </c>
      <c r="F17" s="310">
        <v>7468.89</v>
      </c>
      <c r="G17" s="310">
        <v>8597.27</v>
      </c>
      <c r="H17" s="310">
        <v>9651.2000000000007</v>
      </c>
      <c r="I17" s="310">
        <v>12316.99</v>
      </c>
      <c r="J17" s="310">
        <v>16603.72</v>
      </c>
      <c r="K17" s="310">
        <v>21764.35</v>
      </c>
      <c r="L17" s="310">
        <v>26709.81</v>
      </c>
      <c r="M17" s="310">
        <v>1243.1662980000001</v>
      </c>
      <c r="N17" s="310">
        <v>1068.0299999999997</v>
      </c>
      <c r="O17" s="310">
        <v>1300</v>
      </c>
      <c r="P17" s="310">
        <v>1730</v>
      </c>
      <c r="Q17" s="310">
        <v>49442.1</v>
      </c>
      <c r="R17" s="310">
        <v>64762.3</v>
      </c>
      <c r="S17" s="310">
        <v>101250</v>
      </c>
      <c r="T17" s="310">
        <v>102270</v>
      </c>
      <c r="U17" s="310">
        <v>98230</v>
      </c>
      <c r="V17" s="310">
        <v>98230</v>
      </c>
      <c r="W17" s="310"/>
      <c r="X17" s="310">
        <v>107950</v>
      </c>
      <c r="Y17" s="310">
        <v>119677.90354</v>
      </c>
      <c r="Z17" s="310">
        <v>131468.08280594193</v>
      </c>
      <c r="AA17" s="310">
        <v>100740</v>
      </c>
      <c r="AB17" s="310">
        <v>131150</v>
      </c>
      <c r="AC17" s="310"/>
      <c r="AD17" s="310">
        <v>157700</v>
      </c>
      <c r="AE17" s="332" t="s">
        <v>569</v>
      </c>
    </row>
    <row r="18" spans="1:31" ht="26.4">
      <c r="A18" s="310" t="s">
        <v>287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>
        <v>1153.7118309999998</v>
      </c>
      <c r="N18" s="310">
        <v>2207.297</v>
      </c>
      <c r="O18" s="310">
        <v>1330</v>
      </c>
      <c r="P18" s="310">
        <v>1120</v>
      </c>
      <c r="Q18" s="310">
        <v>12885</v>
      </c>
      <c r="R18" s="310">
        <v>17806.400000000001</v>
      </c>
      <c r="S18" s="310">
        <v>44710</v>
      </c>
      <c r="T18" s="310">
        <v>43490</v>
      </c>
      <c r="U18" s="310">
        <v>37080</v>
      </c>
      <c r="V18" s="310">
        <v>37080</v>
      </c>
      <c r="W18" s="310"/>
      <c r="X18" s="310">
        <v>43850</v>
      </c>
      <c r="Y18" s="310">
        <v>45000</v>
      </c>
      <c r="Z18" s="310">
        <v>53186.702574029507</v>
      </c>
      <c r="AA18" s="310">
        <v>33430</v>
      </c>
      <c r="AB18" s="310">
        <v>41270</v>
      </c>
      <c r="AC18" s="310">
        <v>42500</v>
      </c>
      <c r="AD18" s="310"/>
      <c r="AE18" s="332" t="s">
        <v>570</v>
      </c>
    </row>
    <row r="19" spans="1:31" ht="26.4">
      <c r="A19" s="310" t="s">
        <v>288</v>
      </c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>
        <v>33647.068149580002</v>
      </c>
      <c r="N19" s="310">
        <v>39266.758000000002</v>
      </c>
      <c r="O19" s="310">
        <v>39489.999999999993</v>
      </c>
      <c r="P19" s="310">
        <v>38670</v>
      </c>
      <c r="Q19" s="310">
        <v>36557.1</v>
      </c>
      <c r="R19" s="310">
        <v>46955.9</v>
      </c>
      <c r="S19" s="310">
        <v>56540</v>
      </c>
      <c r="T19" s="310">
        <v>58780</v>
      </c>
      <c r="U19" s="310">
        <v>61150</v>
      </c>
      <c r="V19" s="310">
        <v>61150</v>
      </c>
      <c r="W19" s="310"/>
      <c r="X19" s="310">
        <v>64099.999999999993</v>
      </c>
      <c r="Y19" s="310">
        <v>74677.903539999999</v>
      </c>
      <c r="Z19" s="310">
        <v>78281.380231912408</v>
      </c>
      <c r="AA19" s="310">
        <v>67310</v>
      </c>
      <c r="AB19" s="310">
        <v>89880</v>
      </c>
      <c r="AC19" s="310">
        <v>113360</v>
      </c>
      <c r="AD19" s="310"/>
      <c r="AE19" s="332" t="s">
        <v>571</v>
      </c>
    </row>
    <row r="20" spans="1:31" ht="26.4">
      <c r="A20" s="310" t="s">
        <v>289</v>
      </c>
      <c r="B20" s="310">
        <v>5346.4320000000007</v>
      </c>
      <c r="C20" s="310">
        <v>6903.95</v>
      </c>
      <c r="D20" s="310">
        <v>5311</v>
      </c>
      <c r="E20" s="310">
        <v>5640.93</v>
      </c>
      <c r="F20" s="310">
        <v>5725.57</v>
      </c>
      <c r="G20" s="310">
        <v>5944.37</v>
      </c>
      <c r="H20" s="310">
        <v>6019.31</v>
      </c>
      <c r="I20" s="310">
        <v>6270.85</v>
      </c>
      <c r="J20" s="310">
        <v>7342.04</v>
      </c>
      <c r="K20" s="310">
        <v>11069.02</v>
      </c>
      <c r="L20" s="310">
        <v>10786.31</v>
      </c>
      <c r="M20" s="310">
        <v>14798.707629</v>
      </c>
      <c r="N20" s="310">
        <v>19125.973999999998</v>
      </c>
      <c r="O20" s="310">
        <v>17400</v>
      </c>
      <c r="P20" s="310">
        <v>14180</v>
      </c>
      <c r="Q20" s="310">
        <v>17601.900000000001</v>
      </c>
      <c r="R20" s="310">
        <v>22342</v>
      </c>
      <c r="S20" s="310">
        <v>29090</v>
      </c>
      <c r="T20" s="310">
        <v>30180</v>
      </c>
      <c r="U20" s="310">
        <v>32040</v>
      </c>
      <c r="V20" s="310">
        <v>38840</v>
      </c>
      <c r="W20" s="310"/>
      <c r="X20" s="310">
        <v>50000</v>
      </c>
      <c r="Y20" s="310">
        <v>59491.834580000002</v>
      </c>
      <c r="Z20" s="310">
        <v>64113.65599990866</v>
      </c>
      <c r="AA20" s="310">
        <v>50260</v>
      </c>
      <c r="AB20" s="310">
        <v>76890</v>
      </c>
      <c r="AC20" s="310">
        <v>86510</v>
      </c>
      <c r="AD20" s="310">
        <v>88100</v>
      </c>
      <c r="AE20" s="331" t="s">
        <v>415</v>
      </c>
    </row>
    <row r="21" spans="1:31" ht="26.4">
      <c r="A21" s="310" t="s">
        <v>290</v>
      </c>
      <c r="B21" s="310">
        <v>5346.4320000000007</v>
      </c>
      <c r="C21" s="310">
        <v>6903.95</v>
      </c>
      <c r="D21" s="310">
        <v>5311</v>
      </c>
      <c r="E21" s="310">
        <v>5640.93</v>
      </c>
      <c r="F21" s="310">
        <v>5725.57</v>
      </c>
      <c r="G21" s="310">
        <v>5944.37</v>
      </c>
      <c r="H21" s="310">
        <v>6019.31</v>
      </c>
      <c r="I21" s="310">
        <v>6270.85</v>
      </c>
      <c r="J21" s="310">
        <v>7342.04</v>
      </c>
      <c r="K21" s="310">
        <v>11069.02</v>
      </c>
      <c r="L21" s="310">
        <v>10786.31</v>
      </c>
      <c r="M21" s="310">
        <v>10240.506622999997</v>
      </c>
      <c r="N21" s="310">
        <v>16084.835999999999</v>
      </c>
      <c r="O21" s="310">
        <v>14440</v>
      </c>
      <c r="P21" s="310">
        <v>11720</v>
      </c>
      <c r="Q21" s="310">
        <v>14532.1</v>
      </c>
      <c r="R21" s="310">
        <v>18239.900000000001</v>
      </c>
      <c r="S21" s="310">
        <v>23570</v>
      </c>
      <c r="T21" s="310">
        <v>27100</v>
      </c>
      <c r="U21" s="310">
        <v>27940</v>
      </c>
      <c r="V21" s="310">
        <v>27940</v>
      </c>
      <c r="W21" s="310"/>
      <c r="X21" s="310">
        <v>44000</v>
      </c>
      <c r="Y21" s="310">
        <v>51678.17858</v>
      </c>
      <c r="Z21" s="310">
        <v>56300</v>
      </c>
      <c r="AA21" s="310">
        <v>39720</v>
      </c>
      <c r="AB21" s="310">
        <v>67560</v>
      </c>
      <c r="AC21" s="310">
        <v>86510</v>
      </c>
      <c r="AD21" s="310">
        <v>88100</v>
      </c>
      <c r="AE21" s="332" t="s">
        <v>572</v>
      </c>
    </row>
    <row r="22" spans="1:31" ht="26.4">
      <c r="A22" s="310" t="s">
        <v>291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>
        <v>0</v>
      </c>
      <c r="P22" s="310"/>
      <c r="Q22" s="310">
        <v>3069.8</v>
      </c>
      <c r="R22" s="310">
        <v>4102.1000000000004</v>
      </c>
      <c r="S22" s="310">
        <v>5520</v>
      </c>
      <c r="T22" s="310">
        <v>4870</v>
      </c>
      <c r="U22" s="310">
        <v>4100</v>
      </c>
      <c r="V22" s="310">
        <v>4100</v>
      </c>
      <c r="W22" s="310"/>
      <c r="X22" s="310">
        <v>6000</v>
      </c>
      <c r="Y22" s="310">
        <v>7813.6559999999999</v>
      </c>
      <c r="Z22" s="310">
        <v>7813.6559999086594</v>
      </c>
      <c r="AA22" s="310">
        <v>10540</v>
      </c>
      <c r="AB22" s="310">
        <v>9330</v>
      </c>
      <c r="AC22" s="310"/>
      <c r="AD22" s="310"/>
      <c r="AE22" s="333" t="s">
        <v>573</v>
      </c>
    </row>
    <row r="23" spans="1:31" ht="26.4">
      <c r="A23" s="310" t="s">
        <v>292</v>
      </c>
      <c r="B23" s="310">
        <v>115.188</v>
      </c>
      <c r="C23" s="310">
        <v>164.83</v>
      </c>
      <c r="D23" s="310">
        <v>153.69999999999999</v>
      </c>
      <c r="E23" s="310">
        <v>174.43</v>
      </c>
      <c r="F23" s="310">
        <v>168.27</v>
      </c>
      <c r="G23" s="310">
        <v>643.87</v>
      </c>
      <c r="H23" s="310">
        <v>443.78</v>
      </c>
      <c r="I23" s="310">
        <v>223.83</v>
      </c>
      <c r="J23" s="310">
        <v>215.24</v>
      </c>
      <c r="K23" s="310">
        <v>330.55</v>
      </c>
      <c r="L23" s="310">
        <v>363</v>
      </c>
      <c r="M23" s="310">
        <v>9799.9463502500021</v>
      </c>
      <c r="N23" s="310">
        <v>2116.922</v>
      </c>
      <c r="O23" s="310">
        <v>3000</v>
      </c>
      <c r="P23" s="310">
        <v>4070</v>
      </c>
      <c r="Q23" s="310">
        <v>15354.6</v>
      </c>
      <c r="R23" s="310">
        <v>7240.5</v>
      </c>
      <c r="S23" s="310">
        <v>4980</v>
      </c>
      <c r="T23" s="310">
        <v>10000</v>
      </c>
      <c r="U23" s="310">
        <v>12100</v>
      </c>
      <c r="V23" s="310">
        <v>12100</v>
      </c>
      <c r="W23" s="310"/>
      <c r="X23" s="310">
        <v>14000</v>
      </c>
      <c r="Y23" s="310">
        <v>14938.25</v>
      </c>
      <c r="Z23" s="310">
        <v>15513.39864685821</v>
      </c>
      <c r="AA23" s="310">
        <v>8570</v>
      </c>
      <c r="AB23" s="310">
        <v>22530</v>
      </c>
      <c r="AC23" s="310">
        <v>38910</v>
      </c>
      <c r="AD23" s="310"/>
      <c r="AE23" s="331" t="s">
        <v>574</v>
      </c>
    </row>
    <row r="24" spans="1:31" ht="26.4">
      <c r="A24" s="310" t="s">
        <v>293</v>
      </c>
      <c r="B24" s="310">
        <v>4087.5599999999995</v>
      </c>
      <c r="C24" s="310">
        <v>7642.36</v>
      </c>
      <c r="D24" s="310">
        <v>9831.67</v>
      </c>
      <c r="E24" s="310">
        <v>7219.04</v>
      </c>
      <c r="F24" s="310">
        <v>5847.98</v>
      </c>
      <c r="G24" s="310">
        <v>11582.18</v>
      </c>
      <c r="H24" s="310">
        <v>12553.359999999999</v>
      </c>
      <c r="I24" s="310">
        <v>30419.96</v>
      </c>
      <c r="J24" s="310">
        <v>25163.75</v>
      </c>
      <c r="K24" s="310">
        <v>47177.04</v>
      </c>
      <c r="L24" s="310">
        <v>41976.03</v>
      </c>
      <c r="M24" s="310">
        <v>55424.826836010012</v>
      </c>
      <c r="N24" s="310">
        <v>66360.567999999999</v>
      </c>
      <c r="O24" s="310">
        <v>67090</v>
      </c>
      <c r="P24" s="310">
        <v>75780</v>
      </c>
      <c r="Q24" s="310">
        <v>83095.7</v>
      </c>
      <c r="R24" s="310">
        <v>109767.8</v>
      </c>
      <c r="S24" s="310">
        <v>99060</v>
      </c>
      <c r="T24" s="310">
        <v>200970</v>
      </c>
      <c r="U24" s="310">
        <v>116990</v>
      </c>
      <c r="V24" s="310">
        <v>149100</v>
      </c>
      <c r="W24" s="310"/>
      <c r="X24" s="310">
        <v>138946.21800000002</v>
      </c>
      <c r="Y24" s="310">
        <v>145270.99239999999</v>
      </c>
      <c r="Z24" s="310">
        <v>126150.00000000001</v>
      </c>
      <c r="AA24" s="310">
        <v>155580</v>
      </c>
      <c r="AB24" s="310">
        <v>215470</v>
      </c>
      <c r="AC24" s="310">
        <v>312610</v>
      </c>
      <c r="AD24" s="310">
        <v>263910</v>
      </c>
      <c r="AE24" s="331" t="s">
        <v>418</v>
      </c>
    </row>
    <row r="25" spans="1:31" ht="26.4">
      <c r="A25" s="310" t="s">
        <v>294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>
        <v>0</v>
      </c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>
        <v>247060</v>
      </c>
      <c r="AB25" s="310"/>
      <c r="AC25" s="310"/>
      <c r="AD25" s="310"/>
      <c r="AE25" s="333" t="s">
        <v>575</v>
      </c>
    </row>
    <row r="26" spans="1:31" ht="26.4">
      <c r="A26" s="310" t="s">
        <v>295</v>
      </c>
      <c r="B26" s="310">
        <v>1070.1099999999999</v>
      </c>
      <c r="C26" s="310">
        <v>4401.58</v>
      </c>
      <c r="D26" s="310">
        <v>7012.06</v>
      </c>
      <c r="E26" s="310">
        <v>3971.3</v>
      </c>
      <c r="F26" s="310">
        <v>5847.98</v>
      </c>
      <c r="G26" s="310">
        <v>6479.14</v>
      </c>
      <c r="H26" s="310">
        <v>7824.03</v>
      </c>
      <c r="I26" s="310">
        <v>24063</v>
      </c>
      <c r="J26" s="310">
        <v>22573.81</v>
      </c>
      <c r="K26" s="310">
        <v>24931.93</v>
      </c>
      <c r="L26" s="310">
        <v>35348.29</v>
      </c>
      <c r="M26" s="310">
        <v>39407.810664000004</v>
      </c>
      <c r="N26" s="310">
        <v>41444.31900000001</v>
      </c>
      <c r="O26" s="310">
        <v>38700</v>
      </c>
      <c r="P26" s="310">
        <v>41040</v>
      </c>
      <c r="Q26" s="310">
        <v>42276.3</v>
      </c>
      <c r="R26" s="310">
        <v>36938.5</v>
      </c>
      <c r="S26" s="310">
        <v>8710</v>
      </c>
      <c r="T26" s="310">
        <v>60880</v>
      </c>
      <c r="U26" s="310">
        <v>32690</v>
      </c>
      <c r="V26" s="310">
        <v>32690</v>
      </c>
      <c r="W26" s="310"/>
      <c r="X26" s="310">
        <v>62850.000000000007</v>
      </c>
      <c r="Y26" s="310">
        <v>70100</v>
      </c>
      <c r="Z26" s="310">
        <v>89040.000000000015</v>
      </c>
      <c r="AA26" s="310">
        <v>82350</v>
      </c>
      <c r="AB26" s="310">
        <v>57020</v>
      </c>
      <c r="AC26" s="310">
        <v>67040</v>
      </c>
      <c r="AD26" s="310">
        <v>61900</v>
      </c>
      <c r="AE26" s="332" t="s">
        <v>576</v>
      </c>
    </row>
    <row r="27" spans="1:31" ht="26.4">
      <c r="A27" s="310" t="s">
        <v>296</v>
      </c>
      <c r="B27" s="310">
        <v>533.39</v>
      </c>
      <c r="C27" s="310">
        <v>436</v>
      </c>
      <c r="D27" s="310">
        <v>568.70000000000005</v>
      </c>
      <c r="E27" s="310">
        <v>610.35</v>
      </c>
      <c r="F27" s="310">
        <v>0</v>
      </c>
      <c r="G27" s="310">
        <v>3134.28</v>
      </c>
      <c r="H27" s="310">
        <v>2754.28</v>
      </c>
      <c r="I27" s="310">
        <v>4180.38</v>
      </c>
      <c r="J27" s="310">
        <v>2053</v>
      </c>
      <c r="K27" s="310">
        <v>4159.09</v>
      </c>
      <c r="L27" s="310">
        <v>630.52</v>
      </c>
      <c r="M27" s="310">
        <v>8971.8270000000011</v>
      </c>
      <c r="N27" s="310">
        <v>9113.8989999999994</v>
      </c>
      <c r="O27" s="310">
        <v>16180</v>
      </c>
      <c r="P27" s="310">
        <v>18400</v>
      </c>
      <c r="Q27" s="310">
        <v>13292.7</v>
      </c>
      <c r="R27" s="310">
        <v>32734.1</v>
      </c>
      <c r="S27" s="310">
        <v>61970</v>
      </c>
      <c r="T27" s="310">
        <v>49780</v>
      </c>
      <c r="U27" s="310">
        <v>54500</v>
      </c>
      <c r="V27" s="310">
        <v>54500</v>
      </c>
      <c r="W27" s="310"/>
      <c r="X27" s="310">
        <v>11041.218000000001</v>
      </c>
      <c r="Y27" s="310">
        <v>12538.1245</v>
      </c>
      <c r="Z27" s="310">
        <v>13000</v>
      </c>
      <c r="AA27" s="310">
        <v>20000</v>
      </c>
      <c r="AB27" s="310">
        <v>66280</v>
      </c>
      <c r="AC27" s="310">
        <v>139760</v>
      </c>
      <c r="AD27" s="310">
        <v>81100</v>
      </c>
      <c r="AE27" s="332" t="s">
        <v>577</v>
      </c>
    </row>
    <row r="28" spans="1:31" ht="26.4">
      <c r="A28" s="310" t="s">
        <v>297</v>
      </c>
      <c r="B28" s="310">
        <v>1298.32</v>
      </c>
      <c r="C28" s="310">
        <v>1524.87</v>
      </c>
      <c r="D28" s="310">
        <v>1289.02</v>
      </c>
      <c r="E28" s="310">
        <v>1377.94</v>
      </c>
      <c r="F28" s="310">
        <v>0</v>
      </c>
      <c r="G28" s="310">
        <v>1968.76</v>
      </c>
      <c r="H28" s="310">
        <v>1975.05</v>
      </c>
      <c r="I28" s="310">
        <v>2176.58</v>
      </c>
      <c r="J28" s="310">
        <v>536.94000000000005</v>
      </c>
      <c r="K28" s="310">
        <v>2923.52</v>
      </c>
      <c r="L28" s="310">
        <v>1179.67</v>
      </c>
      <c r="M28" s="310">
        <v>1183.5389009999999</v>
      </c>
      <c r="N28" s="310">
        <v>2010.0159999999998</v>
      </c>
      <c r="O28" s="310">
        <v>330</v>
      </c>
      <c r="P28" s="310">
        <v>0</v>
      </c>
      <c r="Q28" s="310">
        <v>2450.3000000000002</v>
      </c>
      <c r="R28" s="310">
        <v>1103.5999999999999</v>
      </c>
      <c r="S28" s="310">
        <v>1210</v>
      </c>
      <c r="T28" s="310" t="s">
        <v>298</v>
      </c>
      <c r="U28" s="310" t="s">
        <v>298</v>
      </c>
      <c r="V28" s="310" t="s">
        <v>298</v>
      </c>
      <c r="W28" s="310"/>
      <c r="X28" s="310"/>
      <c r="Y28" s="310"/>
      <c r="Z28" s="310"/>
      <c r="AA28" s="310"/>
      <c r="AB28" s="310"/>
      <c r="AC28" s="310"/>
      <c r="AD28" s="310">
        <v>1900</v>
      </c>
      <c r="AE28" s="332" t="s">
        <v>578</v>
      </c>
    </row>
    <row r="29" spans="1:31" ht="26.4">
      <c r="A29" s="310" t="s">
        <v>299</v>
      </c>
      <c r="B29" s="310">
        <v>243.6</v>
      </c>
      <c r="C29" s="310">
        <v>406</v>
      </c>
      <c r="D29" s="310">
        <v>0</v>
      </c>
      <c r="E29" s="310">
        <v>0</v>
      </c>
      <c r="F29" s="310">
        <v>0</v>
      </c>
      <c r="G29" s="310">
        <v>0</v>
      </c>
      <c r="H29" s="310">
        <v>0</v>
      </c>
      <c r="I29" s="310">
        <v>0</v>
      </c>
      <c r="J29" s="310">
        <v>0</v>
      </c>
      <c r="K29" s="310">
        <v>0</v>
      </c>
      <c r="L29" s="310">
        <v>0</v>
      </c>
      <c r="M29" s="310">
        <v>0</v>
      </c>
      <c r="N29" s="310">
        <v>0.1</v>
      </c>
      <c r="O29" s="310">
        <v>0</v>
      </c>
      <c r="P29" s="310">
        <v>0</v>
      </c>
      <c r="Q29" s="310" t="s">
        <v>298</v>
      </c>
      <c r="R29" s="310" t="s">
        <v>298</v>
      </c>
      <c r="S29" s="310" t="s">
        <v>298</v>
      </c>
      <c r="T29" s="310" t="s">
        <v>298</v>
      </c>
      <c r="U29" s="310" t="s">
        <v>298</v>
      </c>
      <c r="V29" s="310" t="s">
        <v>298</v>
      </c>
      <c r="W29" s="310"/>
      <c r="X29" s="310"/>
      <c r="Y29" s="310"/>
      <c r="Z29" s="310"/>
      <c r="AA29" s="310"/>
      <c r="AB29" s="310"/>
      <c r="AC29" s="310"/>
      <c r="AD29" s="310"/>
      <c r="AE29" s="332" t="s">
        <v>579</v>
      </c>
    </row>
    <row r="30" spans="1:31" ht="26.4">
      <c r="A30" s="310" t="s">
        <v>280</v>
      </c>
      <c r="B30" s="310">
        <v>942.14</v>
      </c>
      <c r="C30" s="310">
        <v>873.91</v>
      </c>
      <c r="D30" s="310">
        <v>961.89</v>
      </c>
      <c r="E30" s="310">
        <v>1259.45</v>
      </c>
      <c r="F30" s="310">
        <v>0</v>
      </c>
      <c r="G30" s="310">
        <v>0</v>
      </c>
      <c r="H30" s="310">
        <v>0</v>
      </c>
      <c r="I30" s="310">
        <v>0</v>
      </c>
      <c r="J30" s="310">
        <v>0</v>
      </c>
      <c r="K30" s="310">
        <v>0</v>
      </c>
      <c r="L30" s="310">
        <v>0</v>
      </c>
      <c r="M30" s="310">
        <v>3298.6995120100019</v>
      </c>
      <c r="N30" s="310">
        <v>9113.8989999999994</v>
      </c>
      <c r="O30" s="310">
        <v>3750</v>
      </c>
      <c r="P30" s="310">
        <v>4840</v>
      </c>
      <c r="Q30" s="310">
        <v>11927.3</v>
      </c>
      <c r="R30" s="310">
        <v>9718.7000000000007</v>
      </c>
      <c r="S30" s="310">
        <v>8340</v>
      </c>
      <c r="T30" s="310" t="s">
        <v>298</v>
      </c>
      <c r="U30" s="310" t="s">
        <v>298</v>
      </c>
      <c r="V30" s="310" t="s">
        <v>298</v>
      </c>
      <c r="W30" s="310"/>
      <c r="X30" s="310"/>
      <c r="Y30" s="310"/>
      <c r="Z30" s="310"/>
      <c r="AA30" s="310"/>
      <c r="AB30" s="310"/>
      <c r="AC30" s="310">
        <v>26300</v>
      </c>
      <c r="AD30" s="310">
        <v>12400</v>
      </c>
      <c r="AE30" s="332" t="s">
        <v>580</v>
      </c>
    </row>
    <row r="31" spans="1:31" ht="26.4">
      <c r="A31" s="310" t="s">
        <v>300</v>
      </c>
      <c r="B31" s="310">
        <v>951</v>
      </c>
      <c r="C31" s="310" t="s">
        <v>301</v>
      </c>
      <c r="D31" s="310" t="s">
        <v>301</v>
      </c>
      <c r="E31" s="310" t="s">
        <v>301</v>
      </c>
      <c r="F31" s="310"/>
      <c r="G31" s="310"/>
      <c r="H31" s="310"/>
      <c r="I31" s="310"/>
      <c r="J31" s="310"/>
      <c r="K31" s="310">
        <v>25.31</v>
      </c>
      <c r="L31" s="310">
        <v>2442.52</v>
      </c>
      <c r="M31" s="310"/>
      <c r="N31" s="310"/>
      <c r="O31" s="310">
        <v>0</v>
      </c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>
        <v>-208130</v>
      </c>
      <c r="AB31" s="310">
        <v>-45100</v>
      </c>
      <c r="AC31" s="310"/>
      <c r="AD31" s="310"/>
      <c r="AE31" s="333" t="s">
        <v>581</v>
      </c>
    </row>
    <row r="32" spans="1:31" ht="26.4">
      <c r="A32" s="310" t="s">
        <v>302</v>
      </c>
      <c r="B32" s="310">
        <v>62</v>
      </c>
      <c r="C32" s="310" t="s">
        <v>301</v>
      </c>
      <c r="D32" s="310" t="s">
        <v>301</v>
      </c>
      <c r="E32" s="310" t="s">
        <v>301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>
        <v>0</v>
      </c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>
        <v>-160000</v>
      </c>
      <c r="AB32" s="310"/>
      <c r="AC32" s="310"/>
      <c r="AD32" s="310"/>
      <c r="AE32" s="333" t="s">
        <v>582</v>
      </c>
    </row>
    <row r="33" spans="1:31" ht="26.4">
      <c r="A33" s="310" t="s">
        <v>303</v>
      </c>
      <c r="B33" s="310" t="s">
        <v>301</v>
      </c>
      <c r="C33" s="310" t="s">
        <v>301</v>
      </c>
      <c r="D33" s="310">
        <v>2832</v>
      </c>
      <c r="E33" s="310" t="s">
        <v>301</v>
      </c>
      <c r="F33" s="310">
        <v>4181.6900000000005</v>
      </c>
      <c r="G33" s="310">
        <v>3399.0600000000004</v>
      </c>
      <c r="H33" s="310">
        <v>2968.07</v>
      </c>
      <c r="I33" s="310">
        <v>4406.2</v>
      </c>
      <c r="J33" s="310">
        <v>2291.89</v>
      </c>
      <c r="K33" s="310">
        <v>1206.6100000000001</v>
      </c>
      <c r="L33" s="310">
        <v>4154.74</v>
      </c>
      <c r="M33" s="310"/>
      <c r="N33" s="310"/>
      <c r="O33" s="310">
        <v>0</v>
      </c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>
        <v>-129699.99999999999</v>
      </c>
      <c r="AB33" s="310"/>
      <c r="AC33" s="310"/>
      <c r="AD33" s="310"/>
      <c r="AE33" s="333" t="s">
        <v>583</v>
      </c>
    </row>
    <row r="34" spans="1:31" ht="26.4">
      <c r="A34" s="310" t="s">
        <v>304</v>
      </c>
      <c r="B34" s="310">
        <v>1200.45</v>
      </c>
      <c r="C34" s="310">
        <v>844.62</v>
      </c>
      <c r="D34" s="310">
        <v>845.31000000000006</v>
      </c>
      <c r="E34" s="310">
        <v>1068.96</v>
      </c>
      <c r="F34" s="310">
        <v>336</v>
      </c>
      <c r="G34" s="310">
        <v>588.86</v>
      </c>
      <c r="H34" s="310">
        <v>7329.64</v>
      </c>
      <c r="I34" s="310">
        <v>3645.0899999999997</v>
      </c>
      <c r="J34" s="310">
        <v>16094.300000000001</v>
      </c>
      <c r="K34" s="310">
        <v>11344.5</v>
      </c>
      <c r="L34" s="310">
        <v>2402.5500000000002</v>
      </c>
      <c r="M34" s="310">
        <v>243.11556399999998</v>
      </c>
      <c r="N34" s="310">
        <v>2187.2739999999999</v>
      </c>
      <c r="O34" s="310">
        <v>1540</v>
      </c>
      <c r="P34" s="310">
        <v>730</v>
      </c>
      <c r="Q34" s="310">
        <v>736.7</v>
      </c>
      <c r="R34" s="310">
        <v>6027.2</v>
      </c>
      <c r="S34" s="310">
        <v>4780</v>
      </c>
      <c r="T34" s="310">
        <v>2100</v>
      </c>
      <c r="U34" s="310">
        <v>2500</v>
      </c>
      <c r="V34" s="310">
        <v>2500</v>
      </c>
      <c r="W34" s="310"/>
      <c r="X34" s="310">
        <v>6000</v>
      </c>
      <c r="Y34" s="310">
        <v>6550</v>
      </c>
      <c r="Z34" s="310">
        <v>3000</v>
      </c>
      <c r="AA34" s="310">
        <v>3000</v>
      </c>
      <c r="AB34" s="310">
        <v>1170</v>
      </c>
      <c r="AC34" s="310">
        <v>530</v>
      </c>
      <c r="AD34" s="310">
        <v>12500</v>
      </c>
      <c r="AE34" s="334" t="s">
        <v>584</v>
      </c>
    </row>
    <row r="35" spans="1:31" ht="26.4">
      <c r="A35" s="310" t="s">
        <v>305</v>
      </c>
      <c r="B35" s="310">
        <v>370.74</v>
      </c>
      <c r="C35" s="310">
        <v>603.62</v>
      </c>
      <c r="D35" s="310">
        <v>657.6</v>
      </c>
      <c r="E35" s="310">
        <v>766.25</v>
      </c>
      <c r="F35" s="310">
        <v>336</v>
      </c>
      <c r="G35" s="310">
        <v>588.86</v>
      </c>
      <c r="H35" s="310">
        <v>1299.08</v>
      </c>
      <c r="I35" s="310">
        <v>1256.8499999999999</v>
      </c>
      <c r="J35" s="310">
        <v>791.1</v>
      </c>
      <c r="K35" s="310">
        <v>873.69</v>
      </c>
      <c r="L35" s="310">
        <v>235.3</v>
      </c>
      <c r="M35" s="310">
        <v>103.21647099999998</v>
      </c>
      <c r="N35" s="310">
        <v>1862.7769999999998</v>
      </c>
      <c r="O35" s="310">
        <v>1280</v>
      </c>
      <c r="P35" s="310">
        <v>410</v>
      </c>
      <c r="Q35" s="310">
        <v>350.5</v>
      </c>
      <c r="R35" s="310">
        <v>5657</v>
      </c>
      <c r="S35" s="310">
        <v>4300</v>
      </c>
      <c r="T35" s="310" t="s">
        <v>298</v>
      </c>
      <c r="U35" s="310">
        <v>2000</v>
      </c>
      <c r="V35" s="310">
        <v>2000</v>
      </c>
      <c r="W35" s="310"/>
      <c r="X35" s="310">
        <v>5500</v>
      </c>
      <c r="Y35" s="310">
        <v>6000</v>
      </c>
      <c r="Z35" s="310">
        <v>2000</v>
      </c>
      <c r="AA35" s="310">
        <v>1000</v>
      </c>
      <c r="AB35" s="310">
        <v>410</v>
      </c>
      <c r="AC35" s="310"/>
      <c r="AD35" s="310"/>
      <c r="AE35" s="335" t="s">
        <v>585</v>
      </c>
    </row>
    <row r="36" spans="1:31" ht="26.4">
      <c r="A36" s="310" t="s">
        <v>306</v>
      </c>
      <c r="B36" s="310">
        <v>829.71</v>
      </c>
      <c r="C36" s="310">
        <v>241</v>
      </c>
      <c r="D36" s="310">
        <v>187.71</v>
      </c>
      <c r="E36" s="310">
        <v>302.70999999999998</v>
      </c>
      <c r="F36" s="310">
        <v>0</v>
      </c>
      <c r="G36" s="310">
        <v>0</v>
      </c>
      <c r="H36" s="310">
        <v>6030.56</v>
      </c>
      <c r="I36" s="310">
        <v>2388.2399999999998</v>
      </c>
      <c r="J36" s="310">
        <v>15303.2</v>
      </c>
      <c r="K36" s="310">
        <v>2415</v>
      </c>
      <c r="L36" s="310">
        <v>2167.25</v>
      </c>
      <c r="M36" s="310">
        <v>139.89909299999999</v>
      </c>
      <c r="N36" s="310">
        <v>324.49700000000001</v>
      </c>
      <c r="O36" s="310">
        <v>260</v>
      </c>
      <c r="P36" s="310">
        <v>330</v>
      </c>
      <c r="Q36" s="310">
        <v>386.2</v>
      </c>
      <c r="R36" s="310">
        <v>370.2</v>
      </c>
      <c r="S36" s="310">
        <v>490</v>
      </c>
      <c r="T36" s="310" t="s">
        <v>298</v>
      </c>
      <c r="U36" s="310" t="s">
        <v>298</v>
      </c>
      <c r="V36" s="310" t="s">
        <v>298</v>
      </c>
      <c r="W36" s="310"/>
      <c r="X36" s="310"/>
      <c r="Y36" s="310"/>
      <c r="Z36" s="310"/>
      <c r="AA36" s="310"/>
      <c r="AB36" s="310">
        <v>760</v>
      </c>
      <c r="AC36" s="310"/>
      <c r="AD36" s="310"/>
      <c r="AE36" s="335" t="s">
        <v>586</v>
      </c>
    </row>
    <row r="37" spans="1:31" ht="26.4">
      <c r="A37" s="310" t="s">
        <v>307</v>
      </c>
      <c r="B37" s="310">
        <v>1430</v>
      </c>
      <c r="C37" s="310">
        <v>1127</v>
      </c>
      <c r="D37" s="310">
        <v>793</v>
      </c>
      <c r="E37" s="310">
        <v>851</v>
      </c>
      <c r="F37" s="310">
        <v>1801</v>
      </c>
      <c r="G37" s="310">
        <v>847</v>
      </c>
      <c r="H37" s="310">
        <v>1112</v>
      </c>
      <c r="I37" s="310">
        <v>681</v>
      </c>
      <c r="J37" s="310">
        <v>7221</v>
      </c>
      <c r="K37" s="310">
        <v>3818</v>
      </c>
      <c r="L37" s="310">
        <v>2415</v>
      </c>
      <c r="M37" s="310">
        <v>2319.8351950000001</v>
      </c>
      <c r="N37" s="310">
        <v>2491.0610000000001</v>
      </c>
      <c r="O37" s="310">
        <v>6590</v>
      </c>
      <c r="P37" s="310">
        <v>9000</v>
      </c>
      <c r="Q37" s="310">
        <v>9992.4</v>
      </c>
      <c r="R37" s="310">
        <v>16801.5</v>
      </c>
      <c r="S37" s="310">
        <v>3970</v>
      </c>
      <c r="T37" s="310">
        <v>65300</v>
      </c>
      <c r="U37" s="310">
        <v>9100</v>
      </c>
      <c r="V37" s="310">
        <v>9101</v>
      </c>
      <c r="W37" s="310"/>
      <c r="X37" s="310">
        <v>29546</v>
      </c>
      <c r="Y37" s="310">
        <v>10900.000000000002</v>
      </c>
      <c r="Z37" s="310">
        <v>7000</v>
      </c>
      <c r="AA37" s="310">
        <v>32200.000000000004</v>
      </c>
      <c r="AB37" s="310">
        <v>39440</v>
      </c>
      <c r="AC37" s="310"/>
      <c r="AD37" s="310"/>
      <c r="AE37" s="334" t="s">
        <v>587</v>
      </c>
    </row>
    <row r="38" spans="1:31" ht="26.4">
      <c r="A38" s="310" t="s">
        <v>308</v>
      </c>
      <c r="B38" s="310">
        <v>2642.2</v>
      </c>
      <c r="C38" s="310">
        <v>2200.1</v>
      </c>
      <c r="D38" s="310">
        <v>952.7</v>
      </c>
      <c r="E38" s="310">
        <v>-438</v>
      </c>
      <c r="F38" s="310">
        <v>805.6</v>
      </c>
      <c r="G38" s="310">
        <v>2694.1</v>
      </c>
      <c r="H38" s="310">
        <v>2430.3000000000002</v>
      </c>
      <c r="I38" s="310">
        <v>1299.5999999999999</v>
      </c>
      <c r="J38" s="310">
        <v>511.3</v>
      </c>
      <c r="K38" s="310">
        <v>-129.6</v>
      </c>
      <c r="L38" s="310">
        <v>3406</v>
      </c>
      <c r="M38" s="310">
        <v>2099.7006240000001</v>
      </c>
      <c r="N38" s="310">
        <v>0</v>
      </c>
      <c r="O38" s="310">
        <v>600</v>
      </c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  <c r="AA38" s="310"/>
      <c r="AB38" s="310"/>
      <c r="AC38" s="310"/>
      <c r="AD38" s="310"/>
      <c r="AE38" s="336" t="s">
        <v>588</v>
      </c>
    </row>
    <row r="39" spans="1:31" ht="26.4">
      <c r="A39" s="310" t="s">
        <v>309</v>
      </c>
      <c r="B39" s="310">
        <v>9.9999999983992893E-3</v>
      </c>
      <c r="C39" s="310">
        <v>7210</v>
      </c>
      <c r="D39" s="310">
        <v>4590</v>
      </c>
      <c r="E39" s="310">
        <v>6620</v>
      </c>
      <c r="F39" s="310">
        <v>5520</v>
      </c>
      <c r="G39" s="310">
        <v>5306</v>
      </c>
      <c r="H39" s="310">
        <v>0</v>
      </c>
      <c r="I39" s="310">
        <v>17440</v>
      </c>
      <c r="J39" s="310">
        <v>10050</v>
      </c>
      <c r="K39" s="310">
        <v>11700</v>
      </c>
      <c r="L39" s="310">
        <v>741</v>
      </c>
      <c r="M39" s="310">
        <v>0</v>
      </c>
      <c r="N39" s="310">
        <v>0</v>
      </c>
      <c r="O39" s="310">
        <v>0</v>
      </c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31" t="s">
        <v>589</v>
      </c>
    </row>
    <row r="40" spans="1:31" ht="26.4">
      <c r="A40" s="310" t="s">
        <v>310</v>
      </c>
      <c r="B40" s="310"/>
      <c r="C40" s="310"/>
      <c r="D40" s="310"/>
      <c r="E40" s="310"/>
      <c r="F40" s="310"/>
      <c r="G40" s="310"/>
      <c r="H40" s="310"/>
      <c r="I40" s="310"/>
      <c r="J40" s="310"/>
      <c r="K40" s="310">
        <v>0</v>
      </c>
      <c r="L40" s="310">
        <v>0</v>
      </c>
      <c r="M40" s="310">
        <v>60500</v>
      </c>
      <c r="N40" s="310">
        <v>19887.566861173334</v>
      </c>
      <c r="O40" s="310">
        <v>17430</v>
      </c>
      <c r="P40" s="310">
        <v>13700</v>
      </c>
      <c r="Q40" s="310">
        <v>13452</v>
      </c>
      <c r="R40" s="310">
        <v>22895.200000000001</v>
      </c>
      <c r="S40" s="310">
        <v>21480</v>
      </c>
      <c r="T40" s="310">
        <v>20000</v>
      </c>
      <c r="U40" s="310">
        <v>25000</v>
      </c>
      <c r="V40" s="310">
        <v>25001</v>
      </c>
      <c r="W40" s="310"/>
      <c r="X40" s="310">
        <v>20000</v>
      </c>
      <c r="Y40" s="310">
        <v>31200</v>
      </c>
      <c r="Z40" s="310">
        <v>30000</v>
      </c>
      <c r="AA40" s="310">
        <v>10000</v>
      </c>
      <c r="AB40" s="310">
        <v>13670</v>
      </c>
      <c r="AC40" s="310">
        <v>22440</v>
      </c>
      <c r="AD40" s="310">
        <v>23600</v>
      </c>
      <c r="AE40" s="331" t="s">
        <v>454</v>
      </c>
    </row>
    <row r="41" spans="1:31" ht="26.4">
      <c r="A41" s="310" t="s">
        <v>311</v>
      </c>
      <c r="B41" s="310"/>
      <c r="C41" s="310"/>
      <c r="D41" s="310"/>
      <c r="E41" s="310"/>
      <c r="F41" s="310"/>
      <c r="G41" s="310"/>
      <c r="H41" s="310"/>
      <c r="I41" s="310"/>
      <c r="J41" s="310"/>
      <c r="K41" s="310">
        <v>0</v>
      </c>
      <c r="L41" s="310">
        <v>0</v>
      </c>
      <c r="M41" s="310">
        <v>7400</v>
      </c>
      <c r="N41" s="310" t="s">
        <v>13</v>
      </c>
      <c r="O41" s="310">
        <v>9370</v>
      </c>
      <c r="P41" s="310">
        <v>3440</v>
      </c>
      <c r="Q41" s="310">
        <v>2417.8000000000002</v>
      </c>
      <c r="R41" s="310">
        <v>3368.5</v>
      </c>
      <c r="S41" s="310">
        <v>1170</v>
      </c>
      <c r="T41" s="310">
        <v>7830</v>
      </c>
      <c r="U41" s="310" t="s">
        <v>298</v>
      </c>
      <c r="V41" s="310" t="s">
        <v>298</v>
      </c>
      <c r="W41" s="310"/>
      <c r="X41" s="310"/>
      <c r="Y41" s="310"/>
      <c r="Z41" s="310"/>
      <c r="AA41" s="310"/>
      <c r="AB41" s="310"/>
      <c r="AC41" s="310">
        <v>1960</v>
      </c>
      <c r="AD41" s="310">
        <v>1500</v>
      </c>
      <c r="AE41" s="335" t="s">
        <v>590</v>
      </c>
    </row>
    <row r="42" spans="1:31" ht="26.4">
      <c r="A42" s="310" t="s">
        <v>312</v>
      </c>
      <c r="B42" s="310"/>
      <c r="C42" s="310"/>
      <c r="D42" s="310"/>
      <c r="E42" s="310"/>
      <c r="F42" s="310"/>
      <c r="G42" s="310"/>
      <c r="H42" s="310"/>
      <c r="I42" s="310"/>
      <c r="J42" s="310"/>
      <c r="K42" s="310">
        <v>0</v>
      </c>
      <c r="L42" s="310">
        <v>0</v>
      </c>
      <c r="M42" s="310">
        <v>53100</v>
      </c>
      <c r="N42" s="310">
        <v>19887.566861173334</v>
      </c>
      <c r="O42" s="310">
        <v>8050.0000000000009</v>
      </c>
      <c r="P42" s="310">
        <v>10260</v>
      </c>
      <c r="Q42" s="310">
        <v>11034.2</v>
      </c>
      <c r="R42" s="310">
        <v>19526.8</v>
      </c>
      <c r="S42" s="310">
        <v>20310</v>
      </c>
      <c r="T42" s="310">
        <v>12170</v>
      </c>
      <c r="U42" s="310" t="s">
        <v>298</v>
      </c>
      <c r="V42" s="310" t="s">
        <v>298</v>
      </c>
      <c r="W42" s="310"/>
      <c r="X42" s="310"/>
      <c r="Y42" s="310"/>
      <c r="Z42" s="310"/>
      <c r="AA42" s="310"/>
      <c r="AB42" s="310"/>
      <c r="AC42" s="310">
        <v>20480</v>
      </c>
      <c r="AD42" s="310">
        <v>22100</v>
      </c>
      <c r="AE42" s="335" t="s">
        <v>591</v>
      </c>
    </row>
    <row r="43" spans="1:31" ht="26.4">
      <c r="A43" s="310" t="s">
        <v>313</v>
      </c>
      <c r="B43" s="310">
        <v>29706.986999999997</v>
      </c>
      <c r="C43" s="310">
        <v>43206.98000000001</v>
      </c>
      <c r="D43" s="310">
        <v>42640.94</v>
      </c>
      <c r="E43" s="310">
        <v>43518.04</v>
      </c>
      <c r="F43" s="310">
        <v>46943.99</v>
      </c>
      <c r="G43" s="310">
        <v>55445.020000000004</v>
      </c>
      <c r="H43" s="310">
        <v>58142.95</v>
      </c>
      <c r="I43" s="310">
        <v>94354.04</v>
      </c>
      <c r="J43" s="310">
        <v>96706.049999999988</v>
      </c>
      <c r="K43" s="310">
        <v>117925.08</v>
      </c>
      <c r="L43" s="310">
        <v>120999.67</v>
      </c>
      <c r="M43" s="310">
        <v>215133.19661516999</v>
      </c>
      <c r="N43" s="310">
        <v>193128.77086117337</v>
      </c>
      <c r="O43" s="310">
        <v>200160</v>
      </c>
      <c r="P43" s="310">
        <v>196080</v>
      </c>
      <c r="Q43" s="310">
        <v>238690.1</v>
      </c>
      <c r="R43" s="310">
        <v>293463.8</v>
      </c>
      <c r="S43" s="310">
        <v>349560</v>
      </c>
      <c r="T43" s="310">
        <v>454920</v>
      </c>
      <c r="U43" s="310">
        <v>410280</v>
      </c>
      <c r="V43" s="310">
        <v>418700</v>
      </c>
      <c r="W43" s="310"/>
      <c r="X43" s="310">
        <v>469336.17529519828</v>
      </c>
      <c r="Y43" s="310">
        <v>512115.38746499992</v>
      </c>
      <c r="Z43" s="310">
        <v>534171.18107534933</v>
      </c>
      <c r="AA43" s="310">
        <v>10000</v>
      </c>
      <c r="AB43" s="310">
        <v>679810</v>
      </c>
      <c r="AC43" s="310">
        <v>787280</v>
      </c>
      <c r="AD43" s="310">
        <v>781100</v>
      </c>
      <c r="AE43" s="331" t="s">
        <v>592</v>
      </c>
    </row>
    <row r="44" spans="1:31" ht="26.4">
      <c r="A44" s="310" t="s">
        <v>314</v>
      </c>
      <c r="B44" s="310">
        <v>4156</v>
      </c>
      <c r="C44" s="310">
        <v>3381</v>
      </c>
      <c r="D44" s="310">
        <v>1126</v>
      </c>
      <c r="E44" s="310">
        <v>3040</v>
      </c>
      <c r="F44" s="310">
        <v>5834</v>
      </c>
      <c r="G44" s="310">
        <v>7511.8510000000006</v>
      </c>
      <c r="H44" s="310">
        <v>11484.116</v>
      </c>
      <c r="I44" s="310">
        <v>13536.445</v>
      </c>
      <c r="J44" s="310">
        <v>15747.955</v>
      </c>
      <c r="K44" s="310">
        <v>12488.933000000001</v>
      </c>
      <c r="L44" s="310">
        <v>10300</v>
      </c>
      <c r="M44" s="310">
        <v>252521</v>
      </c>
      <c r="N44" s="310">
        <v>16291.157591858098</v>
      </c>
      <c r="O44" s="310">
        <v>3200</v>
      </c>
      <c r="P44" s="310">
        <v>2350</v>
      </c>
      <c r="Q44" s="310">
        <v>9861.2000000000007</v>
      </c>
      <c r="R44" s="310">
        <v>7705.1</v>
      </c>
      <c r="S44" s="310">
        <v>7370</v>
      </c>
      <c r="T44" s="310">
        <v>23800</v>
      </c>
      <c r="U44" s="310">
        <v>13000</v>
      </c>
      <c r="V44" s="310">
        <v>28300</v>
      </c>
      <c r="W44" s="310"/>
      <c r="X44" s="310">
        <v>11660</v>
      </c>
      <c r="Y44" s="310">
        <v>14000</v>
      </c>
      <c r="Z44" s="310">
        <v>28726.49590791154</v>
      </c>
      <c r="AA44" s="310">
        <v>48130</v>
      </c>
      <c r="AB44" s="310">
        <v>75700</v>
      </c>
      <c r="AC44" s="310">
        <v>63520</v>
      </c>
      <c r="AD44" s="310">
        <v>54730</v>
      </c>
      <c r="AE44" s="333" t="s">
        <v>593</v>
      </c>
    </row>
    <row r="45" spans="1:31" ht="26.4">
      <c r="A45" s="310" t="s">
        <v>315</v>
      </c>
      <c r="B45" s="310">
        <v>35292.986999999994</v>
      </c>
      <c r="C45" s="310">
        <v>47714.98000000001</v>
      </c>
      <c r="D45" s="310">
        <v>44559.94</v>
      </c>
      <c r="E45" s="310">
        <v>47409.04</v>
      </c>
      <c r="F45" s="310">
        <v>54578.99</v>
      </c>
      <c r="G45" s="310">
        <v>63803.871000000006</v>
      </c>
      <c r="H45" s="310">
        <v>70739.065999999992</v>
      </c>
      <c r="I45" s="310">
        <v>108571.48499999999</v>
      </c>
      <c r="J45" s="310">
        <v>119675.00499999999</v>
      </c>
      <c r="K45" s="310">
        <v>130414.01300000001</v>
      </c>
      <c r="L45" s="310">
        <v>131299.66999999998</v>
      </c>
      <c r="M45" s="310">
        <v>467654.19661516999</v>
      </c>
      <c r="N45" s="310">
        <v>209419.92845303146</v>
      </c>
      <c r="O45" s="310">
        <v>203359.99999999997</v>
      </c>
      <c r="P45" s="310">
        <v>198430</v>
      </c>
      <c r="Q45" s="310">
        <v>262003.3</v>
      </c>
      <c r="R45" s="310">
        <v>324064.09999999998</v>
      </c>
      <c r="S45" s="310">
        <v>378400</v>
      </c>
      <c r="T45" s="310">
        <v>498720</v>
      </c>
      <c r="U45" s="310">
        <v>435280</v>
      </c>
      <c r="V45" s="310">
        <v>460210</v>
      </c>
      <c r="W45" s="310"/>
      <c r="X45" s="310">
        <v>489336.17529519828</v>
      </c>
      <c r="Y45" s="310">
        <v>543315.38746499992</v>
      </c>
      <c r="Z45" s="310">
        <v>564171.18107534933</v>
      </c>
      <c r="AA45" s="310">
        <v>550250</v>
      </c>
      <c r="AB45" s="310">
        <v>769170</v>
      </c>
      <c r="AC45" s="310"/>
      <c r="AD45" s="310"/>
      <c r="AE45" s="331" t="s">
        <v>360</v>
      </c>
    </row>
    <row r="46" spans="1:31" ht="16.2">
      <c r="AE46" s="16"/>
    </row>
    <row r="47" spans="1:31">
      <c r="A47" t="s">
        <v>316</v>
      </c>
      <c r="AE47" t="s">
        <v>317</v>
      </c>
    </row>
    <row r="48" spans="1:31">
      <c r="A48" t="s">
        <v>318</v>
      </c>
    </row>
    <row r="49" spans="31:31">
      <c r="AE49" t="s">
        <v>319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2:AE23"/>
  <sheetViews>
    <sheetView topLeftCell="N1" zoomScale="80" workbookViewId="0">
      <selection activeCell="AC19" sqref="AC19"/>
    </sheetView>
  </sheetViews>
  <sheetFormatPr baseColWidth="10" defaultRowHeight="14.4"/>
  <cols>
    <col min="1" max="1" width="37" customWidth="1"/>
    <col min="31" max="31" width="29.33203125" customWidth="1"/>
  </cols>
  <sheetData>
    <row r="2" spans="1:31" ht="27">
      <c r="A2" s="2" t="s">
        <v>363</v>
      </c>
    </row>
    <row r="3" spans="1:31" ht="27">
      <c r="AE3" s="2" t="s">
        <v>364</v>
      </c>
    </row>
    <row r="4" spans="1:31" ht="15" thickBot="1"/>
    <row r="5" spans="1:31" ht="27.6" thickBot="1">
      <c r="A5" s="3" t="s">
        <v>365</v>
      </c>
      <c r="B5" s="3">
        <v>1995</v>
      </c>
      <c r="C5" s="3">
        <v>1996</v>
      </c>
      <c r="D5" s="3">
        <v>1997</v>
      </c>
      <c r="E5" s="3">
        <v>1998</v>
      </c>
      <c r="F5" s="3">
        <v>1999</v>
      </c>
      <c r="G5" s="3">
        <v>2000</v>
      </c>
      <c r="H5" s="3">
        <v>2001</v>
      </c>
      <c r="I5" s="3">
        <v>2002</v>
      </c>
      <c r="J5" s="3">
        <v>2003</v>
      </c>
      <c r="K5" s="3">
        <v>2004</v>
      </c>
      <c r="L5" s="3">
        <v>2005</v>
      </c>
      <c r="M5" s="3">
        <v>2006</v>
      </c>
      <c r="N5" s="3">
        <v>2007</v>
      </c>
      <c r="O5" s="3" t="s">
        <v>274</v>
      </c>
      <c r="P5" s="3">
        <v>2009</v>
      </c>
      <c r="Q5" s="3">
        <v>2010</v>
      </c>
      <c r="R5" s="3">
        <v>2011</v>
      </c>
      <c r="S5" s="3">
        <v>2012</v>
      </c>
      <c r="T5" s="3">
        <v>2013</v>
      </c>
      <c r="U5" s="3">
        <v>2014</v>
      </c>
      <c r="V5" s="3">
        <v>2015</v>
      </c>
      <c r="W5" s="3">
        <v>2016</v>
      </c>
      <c r="X5" s="4">
        <v>2017</v>
      </c>
      <c r="Y5" s="4">
        <v>2018</v>
      </c>
      <c r="Z5" s="4">
        <v>2019</v>
      </c>
      <c r="AA5" s="4">
        <v>2020</v>
      </c>
      <c r="AB5" s="4">
        <v>2021</v>
      </c>
      <c r="AC5" s="4">
        <v>2022</v>
      </c>
      <c r="AD5" s="4">
        <v>2023</v>
      </c>
      <c r="AE5" s="4" t="s">
        <v>400</v>
      </c>
    </row>
    <row r="6" spans="1:31" ht="27" thickBot="1">
      <c r="A6" s="11" t="s">
        <v>366</v>
      </c>
      <c r="B6" s="5">
        <v>32050.216499999999</v>
      </c>
      <c r="C6" s="5">
        <v>35508.747100000001</v>
      </c>
      <c r="D6" s="5">
        <v>37655.358300000007</v>
      </c>
      <c r="E6" s="5">
        <v>40352.484400000001</v>
      </c>
      <c r="F6" s="5">
        <v>45542.245800000004</v>
      </c>
      <c r="G6" s="5">
        <v>54883.699028399991</v>
      </c>
      <c r="H6" s="5">
        <v>64749.749132000004</v>
      </c>
      <c r="I6" s="5">
        <v>72404.865700000009</v>
      </c>
      <c r="J6" s="5">
        <v>109577.739</v>
      </c>
      <c r="K6" s="5">
        <v>101889.041505</v>
      </c>
      <c r="L6" s="5">
        <v>126600</v>
      </c>
      <c r="M6" s="5">
        <v>157875.79999999999</v>
      </c>
      <c r="N6" s="5">
        <v>158864.69899999999</v>
      </c>
      <c r="O6" s="5">
        <v>191100.00000000003</v>
      </c>
      <c r="P6" s="5">
        <v>170100</v>
      </c>
      <c r="Q6" s="5">
        <v>196750</v>
      </c>
      <c r="R6" s="5">
        <v>323971.92269923544</v>
      </c>
      <c r="S6" s="5">
        <v>429960</v>
      </c>
      <c r="T6" s="5">
        <v>444910</v>
      </c>
      <c r="U6" s="5">
        <v>460020</v>
      </c>
      <c r="V6" s="5">
        <v>513690.00000000006</v>
      </c>
      <c r="W6" s="5">
        <v>494400</v>
      </c>
      <c r="X6" s="5">
        <v>491864.5</v>
      </c>
      <c r="Y6" s="5">
        <v>547586.6</v>
      </c>
      <c r="Z6" s="5">
        <v>565134.9</v>
      </c>
      <c r="AA6" s="5">
        <v>700260</v>
      </c>
      <c r="AB6" s="5">
        <v>691130</v>
      </c>
      <c r="AC6" s="5">
        <v>1007940</v>
      </c>
      <c r="AD6" s="5">
        <v>954080</v>
      </c>
      <c r="AE6" s="5" t="s">
        <v>367</v>
      </c>
    </row>
    <row r="7" spans="1:31" ht="27" thickBot="1">
      <c r="A7" s="12" t="s">
        <v>368</v>
      </c>
      <c r="B7" s="5">
        <v>28173.216500000002</v>
      </c>
      <c r="C7" s="5">
        <v>31172.747100000001</v>
      </c>
      <c r="D7" s="5">
        <v>33139.358300000007</v>
      </c>
      <c r="E7" s="5">
        <v>34597.484400000001</v>
      </c>
      <c r="F7" s="5">
        <v>39152.245800000004</v>
      </c>
      <c r="G7" s="5">
        <v>47107.723199999993</v>
      </c>
      <c r="H7" s="5">
        <v>57088.743700000006</v>
      </c>
      <c r="I7" s="5">
        <v>64729.898100000006</v>
      </c>
      <c r="J7" s="5">
        <v>100306.72200000001</v>
      </c>
      <c r="K7" s="5">
        <v>89961.397500000006</v>
      </c>
      <c r="L7" s="5">
        <v>110500</v>
      </c>
      <c r="M7" s="5">
        <v>144337.69999999998</v>
      </c>
      <c r="N7" s="5">
        <v>145384.304</v>
      </c>
      <c r="O7" s="5">
        <v>174640.00000000003</v>
      </c>
      <c r="P7" s="5">
        <v>153900</v>
      </c>
      <c r="Q7" s="5">
        <v>181190</v>
      </c>
      <c r="R7" s="5">
        <v>238940.54802810913</v>
      </c>
      <c r="S7" s="5">
        <v>293006.85096612503</v>
      </c>
      <c r="T7" s="5">
        <v>272710</v>
      </c>
      <c r="U7" s="5">
        <v>284820</v>
      </c>
      <c r="V7" s="5">
        <v>290880</v>
      </c>
      <c r="W7" s="5">
        <v>278320</v>
      </c>
      <c r="X7" s="5">
        <v>290604.5</v>
      </c>
      <c r="Y7" s="5">
        <v>312815.59999999998</v>
      </c>
      <c r="Z7" s="5">
        <v>330514.8</v>
      </c>
      <c r="AA7" s="5">
        <v>453200</v>
      </c>
      <c r="AB7" s="5">
        <v>433060</v>
      </c>
      <c r="AC7" s="5">
        <v>602490</v>
      </c>
      <c r="AD7" s="5">
        <v>695650</v>
      </c>
      <c r="AE7" s="5" t="s">
        <v>369</v>
      </c>
    </row>
    <row r="8" spans="1:31" ht="27" thickBot="1">
      <c r="A8" s="13" t="s">
        <v>370</v>
      </c>
      <c r="B8" s="5">
        <v>8408.9439999999995</v>
      </c>
      <c r="C8" s="5">
        <v>8772.1649999999991</v>
      </c>
      <c r="D8" s="5">
        <v>10357.36</v>
      </c>
      <c r="E8" s="5">
        <v>10036.56</v>
      </c>
      <c r="F8" s="5">
        <v>10442.662</v>
      </c>
      <c r="G8" s="5">
        <v>11812.448</v>
      </c>
      <c r="H8" s="5">
        <v>12810.361000000001</v>
      </c>
      <c r="I8" s="5">
        <v>16069.534</v>
      </c>
      <c r="J8" s="5">
        <v>16041.957</v>
      </c>
      <c r="K8" s="5">
        <v>17150.489000000001</v>
      </c>
      <c r="L8" s="5">
        <v>22400</v>
      </c>
      <c r="M8" s="5">
        <v>52842.400000000001</v>
      </c>
      <c r="N8" s="5">
        <v>64581.784999999996</v>
      </c>
      <c r="O8" s="5">
        <v>71110</v>
      </c>
      <c r="P8" s="5">
        <v>76970</v>
      </c>
      <c r="Q8" s="5">
        <v>83680</v>
      </c>
      <c r="R8" s="5">
        <v>89142.829999999987</v>
      </c>
      <c r="S8" s="5">
        <v>94670.943999999989</v>
      </c>
      <c r="T8" s="5">
        <v>103820</v>
      </c>
      <c r="U8" s="5">
        <v>106850</v>
      </c>
      <c r="V8" s="5">
        <v>119350</v>
      </c>
      <c r="W8" s="5">
        <v>123100</v>
      </c>
      <c r="X8" s="5">
        <v>131000</v>
      </c>
      <c r="Y8" s="5">
        <v>145100</v>
      </c>
      <c r="Z8" s="5">
        <v>156000</v>
      </c>
      <c r="AA8" s="5">
        <v>167400</v>
      </c>
      <c r="AB8" s="5">
        <v>189190</v>
      </c>
      <c r="AC8" s="5">
        <v>210730</v>
      </c>
      <c r="AD8" s="5">
        <v>249410</v>
      </c>
      <c r="AE8" s="5" t="s">
        <v>371</v>
      </c>
    </row>
    <row r="9" spans="1:31" ht="27" thickBot="1">
      <c r="A9" s="13" t="s">
        <v>372</v>
      </c>
      <c r="B9" s="5">
        <v>9632.1389999999992</v>
      </c>
      <c r="C9" s="5">
        <v>10812.446400000001</v>
      </c>
      <c r="D9" s="5">
        <v>11285.6042</v>
      </c>
      <c r="E9" s="5">
        <v>13768.872600000001</v>
      </c>
      <c r="F9" s="5">
        <v>15103.992200000001</v>
      </c>
      <c r="G9" s="5">
        <v>18731.996799999997</v>
      </c>
      <c r="H9" s="5">
        <v>22257.907200000001</v>
      </c>
      <c r="I9" s="5">
        <v>28920.026600000005</v>
      </c>
      <c r="J9" s="5">
        <v>37249.565000000002</v>
      </c>
      <c r="K9" s="5">
        <v>39148.233999999997</v>
      </c>
      <c r="L9" s="5">
        <v>60600</v>
      </c>
      <c r="M9" s="5">
        <v>71565.5</v>
      </c>
      <c r="N9" s="5">
        <v>63814.806999999993</v>
      </c>
      <c r="O9" s="5">
        <v>53940</v>
      </c>
      <c r="P9" s="5">
        <v>51660</v>
      </c>
      <c r="Q9" s="5">
        <v>59830</v>
      </c>
      <c r="R9" s="5">
        <v>51277.253000000004</v>
      </c>
      <c r="S9" s="5">
        <v>54573.153000000006</v>
      </c>
      <c r="T9" s="5">
        <v>61500</v>
      </c>
      <c r="U9" s="5">
        <v>65209.999999999993</v>
      </c>
      <c r="V9" s="5">
        <v>62350</v>
      </c>
      <c r="W9" s="5">
        <v>61930</v>
      </c>
      <c r="X9" s="5">
        <v>66263.7</v>
      </c>
      <c r="Y9" s="5">
        <v>67439.8</v>
      </c>
      <c r="Z9" s="5">
        <v>69207.7</v>
      </c>
      <c r="AA9" s="5">
        <v>88900</v>
      </c>
      <c r="AB9" s="5">
        <v>92720</v>
      </c>
      <c r="AC9" s="5">
        <v>121520</v>
      </c>
      <c r="AD9" s="5">
        <v>130360</v>
      </c>
      <c r="AE9" s="6" t="s">
        <v>373</v>
      </c>
    </row>
    <row r="10" spans="1:31" ht="27" thickBot="1">
      <c r="A10" s="13" t="s">
        <v>374</v>
      </c>
      <c r="B10" s="5">
        <v>4151.4740000000002</v>
      </c>
      <c r="C10" s="5">
        <v>5198.7880000000005</v>
      </c>
      <c r="D10" s="5">
        <v>6317.0240000000003</v>
      </c>
      <c r="E10" s="5">
        <v>4826.875</v>
      </c>
      <c r="F10" s="5">
        <v>6696.348</v>
      </c>
      <c r="G10" s="5">
        <v>9049.6389999999992</v>
      </c>
      <c r="H10" s="5">
        <v>13255.257000000001</v>
      </c>
      <c r="I10" s="5">
        <v>9859.2983999999997</v>
      </c>
      <c r="J10" s="5">
        <v>16425.591</v>
      </c>
      <c r="K10" s="5">
        <v>18648.3145</v>
      </c>
      <c r="L10" s="5">
        <v>17700</v>
      </c>
      <c r="M10" s="5" t="s">
        <v>13</v>
      </c>
      <c r="N10" s="5" t="s">
        <v>13</v>
      </c>
      <c r="O10" s="5" t="s">
        <v>13</v>
      </c>
      <c r="P10" s="5" t="s">
        <v>13</v>
      </c>
      <c r="Q10" s="5" t="s">
        <v>13</v>
      </c>
      <c r="R10" s="5" t="s">
        <v>13</v>
      </c>
      <c r="S10" s="5" t="s">
        <v>13</v>
      </c>
      <c r="T10" s="5" t="s">
        <v>13</v>
      </c>
      <c r="U10" s="5" t="s">
        <v>13</v>
      </c>
      <c r="V10" s="5" t="s">
        <v>13</v>
      </c>
      <c r="W10" s="5"/>
      <c r="X10" s="7"/>
      <c r="Y10" s="7"/>
      <c r="Z10" s="7"/>
      <c r="AA10" s="8"/>
      <c r="AB10" s="8"/>
      <c r="AC10" s="5"/>
      <c r="AD10" s="5"/>
      <c r="AE10" s="5" t="s">
        <v>375</v>
      </c>
    </row>
    <row r="11" spans="1:31" ht="27" thickBot="1">
      <c r="A11" s="13" t="s">
        <v>376</v>
      </c>
      <c r="B11" s="5">
        <v>4270.6594999999998</v>
      </c>
      <c r="C11" s="5">
        <v>5057.3477000000003</v>
      </c>
      <c r="D11" s="5">
        <v>4329.3701000000001</v>
      </c>
      <c r="E11" s="5">
        <v>5225.1767999999993</v>
      </c>
      <c r="F11" s="5">
        <v>6339.2435999999998</v>
      </c>
      <c r="G11" s="5">
        <v>7075.6393999999991</v>
      </c>
      <c r="H11" s="5">
        <v>8633.2185000000009</v>
      </c>
      <c r="I11" s="5">
        <v>9285.0391</v>
      </c>
      <c r="J11" s="5">
        <v>28927.609000000004</v>
      </c>
      <c r="K11" s="5">
        <v>12566.36</v>
      </c>
      <c r="L11" s="5">
        <v>8700</v>
      </c>
      <c r="M11" s="5">
        <v>15112.4</v>
      </c>
      <c r="N11" s="5">
        <v>15224.034</v>
      </c>
      <c r="O11" s="5">
        <v>42760</v>
      </c>
      <c r="P11" s="5">
        <v>20320</v>
      </c>
      <c r="Q11" s="5">
        <v>27940</v>
      </c>
      <c r="R11" s="5">
        <v>60200.757000000005</v>
      </c>
      <c r="S11" s="5">
        <v>105699.12699999999</v>
      </c>
      <c r="T11" s="5">
        <v>70460</v>
      </c>
      <c r="U11" s="5" t="s">
        <v>13</v>
      </c>
      <c r="V11" s="5" t="s">
        <v>13</v>
      </c>
      <c r="W11" s="5"/>
      <c r="X11" s="7"/>
      <c r="Y11" s="7"/>
      <c r="Z11" s="7"/>
      <c r="AA11" s="8"/>
      <c r="AB11" s="8"/>
      <c r="AC11" s="5"/>
      <c r="AD11" s="5"/>
      <c r="AE11" s="5" t="s">
        <v>377</v>
      </c>
    </row>
    <row r="12" spans="1:31" ht="27" thickBot="1">
      <c r="A12" s="13" t="s">
        <v>307</v>
      </c>
      <c r="B12" s="5">
        <v>1710</v>
      </c>
      <c r="C12" s="5">
        <v>1332</v>
      </c>
      <c r="D12" s="5">
        <v>850</v>
      </c>
      <c r="E12" s="5">
        <v>740</v>
      </c>
      <c r="F12" s="5">
        <v>570</v>
      </c>
      <c r="G12" s="5">
        <v>438</v>
      </c>
      <c r="H12" s="5">
        <v>132</v>
      </c>
      <c r="I12" s="5">
        <v>596</v>
      </c>
      <c r="J12" s="5">
        <v>1662</v>
      </c>
      <c r="K12" s="5">
        <v>2448</v>
      </c>
      <c r="L12" s="5">
        <v>1100</v>
      </c>
      <c r="M12" s="5">
        <v>4817.3999999999996</v>
      </c>
      <c r="N12" s="5">
        <v>1763.6780000000001</v>
      </c>
      <c r="O12" s="5">
        <v>6830</v>
      </c>
      <c r="P12" s="5">
        <v>4950</v>
      </c>
      <c r="Q12" s="5">
        <v>9740</v>
      </c>
      <c r="R12" s="5">
        <v>10958.248</v>
      </c>
      <c r="S12" s="5">
        <v>9977.0820000000003</v>
      </c>
      <c r="T12" s="5">
        <v>8000</v>
      </c>
      <c r="U12" s="5">
        <v>12000</v>
      </c>
      <c r="V12" s="5">
        <v>3190</v>
      </c>
      <c r="W12" s="5">
        <v>2000</v>
      </c>
      <c r="X12" s="9">
        <v>7000</v>
      </c>
      <c r="Y12" s="7">
        <v>100</v>
      </c>
      <c r="Z12" s="9">
        <v>2000</v>
      </c>
      <c r="AA12" s="9">
        <v>32290</v>
      </c>
      <c r="AB12" s="9">
        <v>13860</v>
      </c>
      <c r="AC12" s="5">
        <v>19310</v>
      </c>
      <c r="AD12" s="5">
        <v>61380</v>
      </c>
      <c r="AE12" s="5" t="s">
        <v>378</v>
      </c>
    </row>
    <row r="13" spans="1:31" ht="27" thickBot="1">
      <c r="A13" s="12" t="s">
        <v>379</v>
      </c>
      <c r="B13" s="5">
        <v>3877</v>
      </c>
      <c r="C13" s="5">
        <v>4336</v>
      </c>
      <c r="D13" s="5">
        <v>4516</v>
      </c>
      <c r="E13" s="5">
        <v>5755</v>
      </c>
      <c r="F13" s="5">
        <v>6390</v>
      </c>
      <c r="G13" s="5">
        <v>7775.9758284</v>
      </c>
      <c r="H13" s="5">
        <v>7661.005431999999</v>
      </c>
      <c r="I13" s="5">
        <v>7674.9675999999981</v>
      </c>
      <c r="J13" s="5">
        <v>9271.0169999999998</v>
      </c>
      <c r="K13" s="5">
        <v>11927.644005</v>
      </c>
      <c r="L13" s="5">
        <v>16100</v>
      </c>
      <c r="M13" s="5">
        <v>13538.1</v>
      </c>
      <c r="N13" s="5">
        <v>13480.395</v>
      </c>
      <c r="O13" s="5">
        <v>16460</v>
      </c>
      <c r="P13" s="5">
        <v>16200</v>
      </c>
      <c r="Q13" s="5">
        <v>15040</v>
      </c>
      <c r="R13" s="5">
        <v>15041</v>
      </c>
      <c r="S13" s="5">
        <v>12615.665966125005</v>
      </c>
      <c r="T13" s="5">
        <v>17130</v>
      </c>
      <c r="U13" s="5">
        <v>15750</v>
      </c>
      <c r="V13" s="5">
        <v>17800</v>
      </c>
      <c r="W13" s="5">
        <v>17200</v>
      </c>
      <c r="X13" s="9">
        <v>18000</v>
      </c>
      <c r="Y13" s="9">
        <v>26521.4</v>
      </c>
      <c r="Z13" s="9">
        <v>30763</v>
      </c>
      <c r="AA13" s="9">
        <v>23000</v>
      </c>
      <c r="AB13" s="9">
        <v>27990</v>
      </c>
      <c r="AC13" s="5">
        <v>29800</v>
      </c>
      <c r="AD13" s="5">
        <v>37040</v>
      </c>
      <c r="AE13" s="6" t="s">
        <v>380</v>
      </c>
    </row>
    <row r="14" spans="1:31" ht="27" thickBot="1">
      <c r="A14" s="13" t="s">
        <v>381</v>
      </c>
      <c r="B14" s="5">
        <v>3190</v>
      </c>
      <c r="C14" s="5">
        <v>3640</v>
      </c>
      <c r="D14" s="5">
        <v>3840</v>
      </c>
      <c r="E14" s="5">
        <v>4390</v>
      </c>
      <c r="F14" s="5">
        <v>4780</v>
      </c>
      <c r="G14" s="5">
        <v>5669.9758284</v>
      </c>
      <c r="H14" s="5">
        <v>5460.005431999999</v>
      </c>
      <c r="I14" s="5">
        <v>5949.9675999999981</v>
      </c>
      <c r="J14" s="5">
        <v>6630.0170000000007</v>
      </c>
      <c r="K14" s="5">
        <v>7269.6440050000001</v>
      </c>
      <c r="L14" s="5">
        <v>8300</v>
      </c>
      <c r="M14" s="5">
        <v>5048.1000000000004</v>
      </c>
      <c r="N14" s="5">
        <v>4354.5</v>
      </c>
      <c r="O14" s="5">
        <v>5780</v>
      </c>
      <c r="P14" s="5">
        <v>5100</v>
      </c>
      <c r="Q14" s="5">
        <v>7540</v>
      </c>
      <c r="R14" s="5">
        <v>8366.4540281091358</v>
      </c>
      <c r="S14" s="5">
        <v>9885.585966125007</v>
      </c>
      <c r="T14" s="5">
        <v>10630</v>
      </c>
      <c r="U14" s="5">
        <v>10950</v>
      </c>
      <c r="V14" s="5">
        <v>12660</v>
      </c>
      <c r="W14" s="5">
        <v>13200</v>
      </c>
      <c r="X14" s="9">
        <v>14000</v>
      </c>
      <c r="Y14" s="9">
        <v>20000</v>
      </c>
      <c r="Z14" s="9">
        <v>20463</v>
      </c>
      <c r="AA14" s="9">
        <v>13000</v>
      </c>
      <c r="AB14" s="9">
        <v>20600</v>
      </c>
      <c r="AC14" s="5">
        <v>22910</v>
      </c>
      <c r="AD14" s="5">
        <v>28440</v>
      </c>
      <c r="AE14" s="5" t="s">
        <v>382</v>
      </c>
    </row>
    <row r="15" spans="1:31" ht="27" thickBot="1">
      <c r="A15" s="13" t="s">
        <v>383</v>
      </c>
      <c r="B15" s="5">
        <v>687</v>
      </c>
      <c r="C15" s="5">
        <v>696</v>
      </c>
      <c r="D15" s="5">
        <v>676</v>
      </c>
      <c r="E15" s="5">
        <v>1365</v>
      </c>
      <c r="F15" s="5">
        <v>1610</v>
      </c>
      <c r="G15" s="5">
        <v>2106</v>
      </c>
      <c r="H15" s="5">
        <v>2201</v>
      </c>
      <c r="I15" s="5">
        <v>1725</v>
      </c>
      <c r="J15" s="5">
        <v>2641</v>
      </c>
      <c r="K15" s="5">
        <v>4658</v>
      </c>
      <c r="L15" s="5">
        <v>7800</v>
      </c>
      <c r="M15" s="5">
        <v>8490</v>
      </c>
      <c r="N15" s="5">
        <v>9125.8950000000004</v>
      </c>
      <c r="O15" s="5">
        <v>10680</v>
      </c>
      <c r="P15" s="5">
        <v>11100</v>
      </c>
      <c r="Q15" s="5">
        <v>7500</v>
      </c>
      <c r="R15" s="5">
        <v>6406.302999999999</v>
      </c>
      <c r="S15" s="5">
        <v>2730.08</v>
      </c>
      <c r="T15" s="5">
        <v>6500</v>
      </c>
      <c r="U15" s="5">
        <v>4800</v>
      </c>
      <c r="V15" s="5">
        <v>5130</v>
      </c>
      <c r="W15" s="5">
        <v>4000</v>
      </c>
      <c r="X15" s="9">
        <v>4000</v>
      </c>
      <c r="Y15" s="9">
        <v>6521.4</v>
      </c>
      <c r="Z15" s="9">
        <v>10300</v>
      </c>
      <c r="AA15" s="9">
        <v>10000</v>
      </c>
      <c r="AB15" s="9">
        <v>7400</v>
      </c>
      <c r="AC15" s="5">
        <v>6890</v>
      </c>
      <c r="AD15" s="5">
        <v>8600</v>
      </c>
      <c r="AE15" s="5" t="s">
        <v>384</v>
      </c>
    </row>
    <row r="16" spans="1:31" ht="27" thickBot="1">
      <c r="A16" s="14" t="s">
        <v>385</v>
      </c>
      <c r="B16" s="5">
        <v>227</v>
      </c>
      <c r="C16" s="5">
        <v>1750</v>
      </c>
      <c r="D16" s="5">
        <v>380</v>
      </c>
      <c r="E16" s="5">
        <v>270</v>
      </c>
      <c r="F16" s="5">
        <v>506</v>
      </c>
      <c r="G16" s="5">
        <v>1140</v>
      </c>
      <c r="H16" s="5">
        <v>1479</v>
      </c>
      <c r="I16" s="5">
        <v>1547</v>
      </c>
      <c r="J16" s="5">
        <v>980</v>
      </c>
      <c r="K16" s="5">
        <v>402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520</v>
      </c>
      <c r="R16" s="5">
        <v>0</v>
      </c>
      <c r="S16" s="5" t="s">
        <v>13</v>
      </c>
      <c r="T16" s="5" t="s">
        <v>13</v>
      </c>
      <c r="U16" s="5" t="s">
        <v>13</v>
      </c>
      <c r="V16" s="5" t="s">
        <v>13</v>
      </c>
      <c r="W16" s="5"/>
      <c r="X16" s="7"/>
      <c r="Y16" s="7"/>
      <c r="Z16" s="7"/>
      <c r="AA16" s="8"/>
      <c r="AB16" s="8"/>
      <c r="AC16" s="5"/>
      <c r="AD16" s="5"/>
      <c r="AE16" s="5" t="s">
        <v>386</v>
      </c>
    </row>
    <row r="17" spans="1:31" ht="27" thickBot="1">
      <c r="A17" s="12" t="s">
        <v>387</v>
      </c>
      <c r="B17" s="5">
        <v>12232.094499999999</v>
      </c>
      <c r="C17" s="5">
        <v>11394.4509</v>
      </c>
      <c r="D17" s="5">
        <v>10836.539700000001</v>
      </c>
      <c r="E17" s="5">
        <v>14472.1296</v>
      </c>
      <c r="F17" s="5">
        <v>16859.868200000001</v>
      </c>
      <c r="G17" s="5">
        <v>23313.199799999999</v>
      </c>
      <c r="H17" s="5">
        <v>34114.144099999998</v>
      </c>
      <c r="I17" s="5">
        <v>43628.726499999997</v>
      </c>
      <c r="J17" s="5">
        <v>48922.792000000009</v>
      </c>
      <c r="K17" s="5">
        <v>47278.387999999999</v>
      </c>
      <c r="L17" s="5">
        <v>39500</v>
      </c>
      <c r="M17" s="5">
        <v>48448</v>
      </c>
      <c r="N17" s="5">
        <v>58455.750370705864</v>
      </c>
      <c r="O17" s="5">
        <v>70670</v>
      </c>
      <c r="P17" s="5">
        <v>57880</v>
      </c>
      <c r="Q17" s="5">
        <v>72980</v>
      </c>
      <c r="R17" s="5">
        <v>85031.374671126308</v>
      </c>
      <c r="S17" s="5">
        <v>136949.51154994345</v>
      </c>
      <c r="T17" s="5">
        <v>172100</v>
      </c>
      <c r="U17" s="5">
        <v>175100</v>
      </c>
      <c r="V17" s="5">
        <v>219880</v>
      </c>
      <c r="W17" s="5">
        <v>210250</v>
      </c>
      <c r="X17" s="5">
        <v>198260</v>
      </c>
      <c r="Y17" s="5">
        <v>227771</v>
      </c>
      <c r="Z17" s="5">
        <v>226920.1</v>
      </c>
      <c r="AA17" s="5">
        <v>247060</v>
      </c>
      <c r="AB17" s="5">
        <v>260020</v>
      </c>
      <c r="AC17" s="5">
        <v>407360</v>
      </c>
      <c r="AD17" s="5">
        <v>260220</v>
      </c>
      <c r="AE17" s="6" t="s">
        <v>388</v>
      </c>
    </row>
    <row r="18" spans="1:31" ht="27" thickBot="1">
      <c r="A18" s="13" t="s">
        <v>398</v>
      </c>
      <c r="B18" s="5">
        <v>12232.094499999999</v>
      </c>
      <c r="C18" s="5">
        <v>11394.4509</v>
      </c>
      <c r="D18" s="5">
        <v>10836.539700000001</v>
      </c>
      <c r="E18" s="5">
        <v>14472.1296</v>
      </c>
      <c r="F18" s="5">
        <v>16459.868200000001</v>
      </c>
      <c r="G18" s="5">
        <v>21983.199799999999</v>
      </c>
      <c r="H18" s="5">
        <v>33580.944100000001</v>
      </c>
      <c r="I18" s="5">
        <v>43231.751499999998</v>
      </c>
      <c r="J18" s="5">
        <v>47572.081000000006</v>
      </c>
      <c r="K18" s="5">
        <v>47096.561999999998</v>
      </c>
      <c r="L18" s="5">
        <v>36600</v>
      </c>
      <c r="M18" s="5">
        <v>44648</v>
      </c>
      <c r="N18" s="5">
        <v>58455.750370705864</v>
      </c>
      <c r="O18" s="5">
        <v>55600</v>
      </c>
      <c r="P18" s="5">
        <v>36900</v>
      </c>
      <c r="Q18" s="5">
        <v>56420</v>
      </c>
      <c r="R18" s="5">
        <v>30405.585671126304</v>
      </c>
      <c r="S18" s="5">
        <v>50828.22954994344</v>
      </c>
      <c r="T18" s="5">
        <v>62100</v>
      </c>
      <c r="U18" s="5">
        <v>55100</v>
      </c>
      <c r="V18" s="5">
        <v>78170</v>
      </c>
      <c r="W18" s="5">
        <v>68000</v>
      </c>
      <c r="X18" s="9">
        <v>51560</v>
      </c>
      <c r="Y18" s="9">
        <v>74100</v>
      </c>
      <c r="Z18" s="9">
        <v>75225.899999999994</v>
      </c>
      <c r="AA18" s="9">
        <v>65430</v>
      </c>
      <c r="AB18" s="9">
        <v>51610</v>
      </c>
      <c r="AC18" s="5">
        <v>99490</v>
      </c>
      <c r="AD18" s="5">
        <v>68140</v>
      </c>
      <c r="AE18" s="5" t="s">
        <v>389</v>
      </c>
    </row>
    <row r="19" spans="1:31" ht="27" thickBot="1">
      <c r="A19" s="13" t="s">
        <v>399</v>
      </c>
      <c r="B19" s="5">
        <v>3952.7945</v>
      </c>
      <c r="C19" s="5">
        <v>5279.3509000000004</v>
      </c>
      <c r="D19" s="5">
        <v>5177.7397000000001</v>
      </c>
      <c r="E19" s="5">
        <v>6437.6795999999995</v>
      </c>
      <c r="F19" s="5">
        <v>6558.5482000000002</v>
      </c>
      <c r="G19" s="5">
        <v>10963.149799999999</v>
      </c>
      <c r="H19" s="5">
        <v>22036.624100000001</v>
      </c>
      <c r="I19" s="5">
        <v>26410.8115</v>
      </c>
      <c r="J19" s="5">
        <v>28950.041000000001</v>
      </c>
      <c r="K19" s="5">
        <v>28620.721999999998</v>
      </c>
      <c r="L19" s="5">
        <v>21400</v>
      </c>
      <c r="M19" s="5">
        <v>23910.7</v>
      </c>
      <c r="N19" s="5">
        <v>29862.727999999999</v>
      </c>
      <c r="O19" s="5">
        <v>43600</v>
      </c>
      <c r="P19" s="5" t="s">
        <v>13</v>
      </c>
      <c r="Q19" s="5" t="s">
        <v>13</v>
      </c>
      <c r="R19" s="5">
        <v>54625.788999999997</v>
      </c>
      <c r="S19" s="5">
        <v>86121.282000000007</v>
      </c>
      <c r="T19" s="5">
        <v>110000</v>
      </c>
      <c r="U19" s="5">
        <v>120000</v>
      </c>
      <c r="V19" s="5">
        <v>141700</v>
      </c>
      <c r="W19" s="5">
        <v>142250</v>
      </c>
      <c r="X19" s="9">
        <v>146700</v>
      </c>
      <c r="Y19" s="9">
        <v>153671</v>
      </c>
      <c r="Z19" s="9">
        <v>151694.20000000001</v>
      </c>
      <c r="AA19" s="9">
        <v>181630</v>
      </c>
      <c r="AB19" s="9">
        <v>208420</v>
      </c>
      <c r="AC19" s="5">
        <v>307870</v>
      </c>
      <c r="AD19" s="5">
        <v>192080</v>
      </c>
      <c r="AE19" s="5" t="s">
        <v>390</v>
      </c>
    </row>
    <row r="20" spans="1:31" ht="27" thickBot="1">
      <c r="A20" s="12" t="s">
        <v>391</v>
      </c>
      <c r="B20" s="5">
        <v>0</v>
      </c>
      <c r="C20" s="5">
        <v>0</v>
      </c>
      <c r="D20" s="5">
        <v>0</v>
      </c>
      <c r="E20" s="5">
        <v>0</v>
      </c>
      <c r="F20" s="5">
        <v>400</v>
      </c>
      <c r="G20" s="5">
        <v>1330</v>
      </c>
      <c r="H20" s="5">
        <v>533.20000000000005</v>
      </c>
      <c r="I20" s="5">
        <v>396.97500000000002</v>
      </c>
      <c r="J20" s="5">
        <v>1350.711</v>
      </c>
      <c r="K20" s="5">
        <v>181.82599999999999</v>
      </c>
      <c r="L20" s="5">
        <v>2900</v>
      </c>
      <c r="M20" s="5">
        <v>20737.3</v>
      </c>
      <c r="N20" s="5">
        <v>28593.022370705861</v>
      </c>
      <c r="O20" s="5">
        <v>12000</v>
      </c>
      <c r="P20" s="5" t="s">
        <v>13</v>
      </c>
      <c r="Q20" s="5" t="s">
        <v>13</v>
      </c>
      <c r="R20" s="5">
        <v>0</v>
      </c>
      <c r="S20" s="5">
        <v>0</v>
      </c>
      <c r="T20" s="5">
        <v>100</v>
      </c>
      <c r="U20" s="5">
        <v>100</v>
      </c>
      <c r="V20" s="5">
        <v>2930</v>
      </c>
      <c r="W20" s="5">
        <v>5750</v>
      </c>
      <c r="X20" s="5">
        <v>24000</v>
      </c>
      <c r="Y20" s="5">
        <v>7000</v>
      </c>
      <c r="Z20" s="5">
        <v>7700</v>
      </c>
      <c r="AA20" s="8">
        <v>0</v>
      </c>
      <c r="AB20" s="5">
        <v>1950</v>
      </c>
      <c r="AC20" s="5">
        <v>-1910</v>
      </c>
      <c r="AD20" s="5">
        <v>-1790</v>
      </c>
      <c r="AE20" s="5" t="s">
        <v>392</v>
      </c>
    </row>
    <row r="21" spans="1:31" ht="27" thickBot="1">
      <c r="A21" s="13" t="s">
        <v>393</v>
      </c>
      <c r="B21" s="5" t="s">
        <v>10</v>
      </c>
      <c r="C21" s="5" t="s">
        <v>10</v>
      </c>
      <c r="D21" s="5" t="s">
        <v>10</v>
      </c>
      <c r="E21" s="5" t="s">
        <v>10</v>
      </c>
      <c r="F21" s="5">
        <v>400</v>
      </c>
      <c r="G21" s="5">
        <v>1330</v>
      </c>
      <c r="H21" s="5">
        <v>434</v>
      </c>
      <c r="I21" s="5">
        <v>235</v>
      </c>
      <c r="J21" s="5">
        <v>0</v>
      </c>
      <c r="K21" s="5">
        <v>0</v>
      </c>
      <c r="L21" s="5">
        <v>0</v>
      </c>
      <c r="M21" s="5">
        <v>3800</v>
      </c>
      <c r="N21" s="5">
        <v>0</v>
      </c>
      <c r="O21" s="5">
        <v>15070</v>
      </c>
      <c r="P21" s="5">
        <v>4430</v>
      </c>
      <c r="Q21" s="5">
        <v>3350</v>
      </c>
      <c r="R21" s="5" t="s">
        <v>13</v>
      </c>
      <c r="S21" s="5" t="s">
        <v>13</v>
      </c>
      <c r="T21" s="5" t="s">
        <v>13</v>
      </c>
      <c r="U21" s="5" t="s">
        <v>13</v>
      </c>
      <c r="V21" s="5" t="s">
        <v>13</v>
      </c>
      <c r="W21" s="5"/>
      <c r="X21" s="10"/>
      <c r="Y21" s="10"/>
      <c r="Z21" s="10"/>
      <c r="AA21" s="6"/>
      <c r="AB21" s="6"/>
      <c r="AC21" s="5"/>
      <c r="AD21" s="5"/>
      <c r="AE21" s="6" t="s">
        <v>394</v>
      </c>
    </row>
    <row r="22" spans="1:31" ht="27" thickBot="1">
      <c r="A22" s="13" t="s">
        <v>396</v>
      </c>
      <c r="B22" s="5">
        <v>8279.2999999999993</v>
      </c>
      <c r="C22" s="5">
        <v>6115.1</v>
      </c>
      <c r="D22" s="5">
        <v>5658.8</v>
      </c>
      <c r="E22" s="5">
        <v>8034.45</v>
      </c>
      <c r="F22" s="5">
        <v>9901.32</v>
      </c>
      <c r="G22" s="5">
        <v>11020.05</v>
      </c>
      <c r="H22" s="5">
        <v>11544.32</v>
      </c>
      <c r="I22" s="5">
        <v>16820.939999999999</v>
      </c>
      <c r="J22" s="5">
        <v>18622.04</v>
      </c>
      <c r="K22" s="5">
        <v>18475.84</v>
      </c>
      <c r="L22" s="5">
        <v>15200</v>
      </c>
      <c r="M22" s="5">
        <v>0</v>
      </c>
      <c r="N22" s="5">
        <v>0</v>
      </c>
      <c r="O22" s="5">
        <v>0</v>
      </c>
      <c r="P22" s="5">
        <v>0</v>
      </c>
      <c r="Q22" s="5" t="s">
        <v>13</v>
      </c>
      <c r="R22" s="5">
        <v>9860.5059999999994</v>
      </c>
      <c r="S22" s="5">
        <v>10788.140000000001</v>
      </c>
      <c r="T22" s="5" t="s">
        <v>13</v>
      </c>
      <c r="U22" s="5" t="s">
        <v>13</v>
      </c>
      <c r="V22" s="5" t="s">
        <v>13</v>
      </c>
      <c r="W22" s="5"/>
      <c r="X22" s="10"/>
      <c r="Y22" s="10"/>
      <c r="Z22" s="10"/>
      <c r="AA22" s="6"/>
      <c r="AB22" s="6"/>
      <c r="AC22" s="5"/>
      <c r="AD22" s="5"/>
      <c r="AE22" s="5" t="s">
        <v>395</v>
      </c>
    </row>
    <row r="23" spans="1:31" ht="27" thickBot="1">
      <c r="A23" s="13" t="s">
        <v>397</v>
      </c>
      <c r="B23" s="5">
        <v>44509.311000000002</v>
      </c>
      <c r="C23" s="5">
        <v>48653.198000000004</v>
      </c>
      <c r="D23" s="5">
        <v>48871.898000000008</v>
      </c>
      <c r="E23" s="5">
        <v>55094.614000000001</v>
      </c>
      <c r="F23" s="5">
        <v>62908.114000000001</v>
      </c>
      <c r="G23" s="5">
        <v>79336.898828399993</v>
      </c>
      <c r="H23" s="5">
        <v>100342.893232</v>
      </c>
      <c r="I23" s="5">
        <v>117580.59220000001</v>
      </c>
      <c r="J23" s="5">
        <v>159480.53100000002</v>
      </c>
      <c r="K23" s="5">
        <v>149569.42950500001</v>
      </c>
      <c r="L23" s="5">
        <v>166100</v>
      </c>
      <c r="M23" s="5">
        <v>206323.8</v>
      </c>
      <c r="N23" s="5">
        <v>217320.44937070587</v>
      </c>
      <c r="O23" s="5">
        <v>261770.00000000003</v>
      </c>
      <c r="P23" s="5">
        <v>227980</v>
      </c>
      <c r="Q23" s="5">
        <v>269730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J59"/>
  <sheetViews>
    <sheetView topLeftCell="S47" zoomScale="79" zoomScaleNormal="100" workbookViewId="0">
      <selection activeCell="AI57" sqref="AI57"/>
    </sheetView>
  </sheetViews>
  <sheetFormatPr baseColWidth="10" defaultRowHeight="14.4"/>
  <cols>
    <col min="1" max="1" width="53.33203125" customWidth="1"/>
    <col min="2" max="2" width="12.6640625" customWidth="1"/>
    <col min="3" max="3" width="21.109375" customWidth="1"/>
    <col min="4" max="12" width="12.6640625" customWidth="1"/>
    <col min="13" max="13" width="29.33203125" customWidth="1"/>
    <col min="14" max="16" width="12.6640625" customWidth="1"/>
    <col min="17" max="17" width="45.6640625" customWidth="1"/>
    <col min="18" max="21" width="13.5546875" customWidth="1"/>
    <col min="36" max="36" width="38.88671875" customWidth="1"/>
  </cols>
  <sheetData>
    <row r="1" spans="1:36">
      <c r="A1" s="862" t="s">
        <v>402</v>
      </c>
      <c r="B1" s="862"/>
      <c r="C1" s="862"/>
      <c r="AJ1" t="s">
        <v>401</v>
      </c>
    </row>
    <row r="2" spans="1:36">
      <c r="A2" s="862"/>
      <c r="B2" s="862"/>
      <c r="C2" s="862"/>
    </row>
    <row r="3" spans="1:36" ht="15" thickBot="1"/>
    <row r="4" spans="1:36">
      <c r="A4" s="232" t="s">
        <v>933</v>
      </c>
      <c r="B4" s="233">
        <v>1995</v>
      </c>
      <c r="C4" s="233">
        <v>1996</v>
      </c>
      <c r="D4" s="233">
        <v>1997</v>
      </c>
      <c r="E4" s="233">
        <v>1998</v>
      </c>
      <c r="F4" s="233">
        <v>1999</v>
      </c>
      <c r="G4" s="233">
        <v>2000</v>
      </c>
      <c r="H4" s="233">
        <v>2001</v>
      </c>
      <c r="I4" s="233">
        <v>2002</v>
      </c>
      <c r="J4" s="233">
        <v>2003</v>
      </c>
      <c r="K4" s="233">
        <v>2004</v>
      </c>
      <c r="L4" s="233">
        <v>2005</v>
      </c>
      <c r="M4" s="234" t="s">
        <v>934</v>
      </c>
      <c r="Q4" s="204" t="s">
        <v>499</v>
      </c>
      <c r="R4" s="212">
        <v>2006</v>
      </c>
      <c r="S4" s="212">
        <v>2007</v>
      </c>
      <c r="T4" s="212">
        <v>2008</v>
      </c>
      <c r="U4" s="212">
        <v>2009</v>
      </c>
      <c r="V4" s="205">
        <v>2010</v>
      </c>
      <c r="W4" s="205">
        <v>2011</v>
      </c>
      <c r="X4" s="205">
        <v>2012</v>
      </c>
      <c r="Y4" s="205">
        <v>2013</v>
      </c>
      <c r="Z4" s="205">
        <v>2014</v>
      </c>
      <c r="AA4" s="205">
        <v>2015</v>
      </c>
      <c r="AB4" s="205">
        <v>2016</v>
      </c>
      <c r="AC4" s="205">
        <v>2017</v>
      </c>
      <c r="AD4" s="205">
        <v>2018</v>
      </c>
      <c r="AE4" s="205">
        <v>2019</v>
      </c>
      <c r="AF4" s="205">
        <v>2020</v>
      </c>
      <c r="AG4" s="205">
        <v>2021</v>
      </c>
      <c r="AH4" s="215">
        <v>2022</v>
      </c>
      <c r="AI4" s="215">
        <v>2023</v>
      </c>
      <c r="AJ4" s="206" t="s">
        <v>500</v>
      </c>
    </row>
    <row r="5" spans="1:36">
      <c r="A5" s="235" t="s">
        <v>525</v>
      </c>
      <c r="B5" s="223">
        <f t="shared" ref="B5:L5" si="0">B6+B13</f>
        <v>35292.987000000001</v>
      </c>
      <c r="C5" s="223">
        <f t="shared" si="0"/>
        <v>47714.98</v>
      </c>
      <c r="D5" s="223">
        <f t="shared" si="0"/>
        <v>44559.939999999995</v>
      </c>
      <c r="E5" s="223">
        <f t="shared" si="0"/>
        <v>47409.04</v>
      </c>
      <c r="F5" s="223">
        <f t="shared" si="0"/>
        <v>54578.99</v>
      </c>
      <c r="G5" s="223">
        <f t="shared" si="0"/>
        <v>63803.870999999999</v>
      </c>
      <c r="H5" s="223">
        <f t="shared" si="0"/>
        <v>70739.066000000006</v>
      </c>
      <c r="I5" s="223">
        <f t="shared" si="0"/>
        <v>108571.48500000002</v>
      </c>
      <c r="J5" s="223">
        <f t="shared" si="0"/>
        <v>119675.005</v>
      </c>
      <c r="K5" s="223">
        <f t="shared" si="0"/>
        <v>130414.113</v>
      </c>
      <c r="L5" s="223">
        <f t="shared" si="0"/>
        <v>131299.66999999998</v>
      </c>
      <c r="M5" s="236" t="s">
        <v>903</v>
      </c>
      <c r="Q5" s="207" t="s">
        <v>403</v>
      </c>
      <c r="R5" s="213">
        <v>406.3</v>
      </c>
      <c r="S5" s="213">
        <v>184.4</v>
      </c>
      <c r="T5" s="213">
        <v>202.7</v>
      </c>
      <c r="U5" s="213">
        <v>198.43</v>
      </c>
      <c r="V5" s="203">
        <v>262</v>
      </c>
      <c r="W5" s="203">
        <v>324.06414811217712</v>
      </c>
      <c r="X5" s="203">
        <v>378.4</v>
      </c>
      <c r="Y5" s="203">
        <v>498.72</v>
      </c>
      <c r="Z5" s="203">
        <v>435.28</v>
      </c>
      <c r="AA5" s="203">
        <v>460.21</v>
      </c>
      <c r="AB5" s="203">
        <v>495.14</v>
      </c>
      <c r="AC5" s="203">
        <v>489.3361752951983</v>
      </c>
      <c r="AD5" s="203">
        <v>543.31538746499996</v>
      </c>
      <c r="AE5" s="203">
        <v>564.1711810753493</v>
      </c>
      <c r="AF5" s="203">
        <v>550.25</v>
      </c>
      <c r="AG5" s="203">
        <v>769.17</v>
      </c>
      <c r="AH5" s="216">
        <v>873.25</v>
      </c>
      <c r="AI5" s="775">
        <v>859.49</v>
      </c>
      <c r="AJ5" s="208" t="s">
        <v>404</v>
      </c>
    </row>
    <row r="6" spans="1:36">
      <c r="A6" s="237" t="s">
        <v>526</v>
      </c>
      <c r="B6" s="224">
        <f>SUM(B7:B12)</f>
        <v>31136.987000000001</v>
      </c>
      <c r="C6" s="224">
        <f t="shared" ref="C6:L6" si="1">SUM(C7:C12)</f>
        <v>44333.98</v>
      </c>
      <c r="D6" s="224">
        <f t="shared" si="1"/>
        <v>43433.939999999995</v>
      </c>
      <c r="E6" s="224">
        <f t="shared" si="1"/>
        <v>44369.04</v>
      </c>
      <c r="F6" s="224">
        <f t="shared" si="1"/>
        <v>48744.99</v>
      </c>
      <c r="G6" s="224">
        <f t="shared" si="1"/>
        <v>56292.02</v>
      </c>
      <c r="H6" s="224">
        <f t="shared" si="1"/>
        <v>59254.950000000004</v>
      </c>
      <c r="I6" s="224">
        <f t="shared" si="1"/>
        <v>95035.040000000008</v>
      </c>
      <c r="J6" s="224">
        <f t="shared" si="1"/>
        <v>103927.05</v>
      </c>
      <c r="K6" s="224">
        <f t="shared" si="1"/>
        <v>117925.18</v>
      </c>
      <c r="L6" s="224">
        <f t="shared" si="1"/>
        <v>120999.67</v>
      </c>
      <c r="M6" s="238" t="s">
        <v>406</v>
      </c>
      <c r="Q6" s="207" t="s">
        <v>405</v>
      </c>
      <c r="R6" s="213">
        <v>153.5</v>
      </c>
      <c r="S6" s="213">
        <v>168.1</v>
      </c>
      <c r="T6" s="213">
        <v>182</v>
      </c>
      <c r="U6" s="213">
        <v>182.39</v>
      </c>
      <c r="V6" s="203">
        <v>238.69005100000004</v>
      </c>
      <c r="W6" s="203">
        <v>293.46382386400001</v>
      </c>
      <c r="X6" s="203">
        <v>349.56</v>
      </c>
      <c r="Y6" s="203">
        <v>454.92</v>
      </c>
      <c r="Z6" s="203">
        <v>410.28</v>
      </c>
      <c r="AA6" s="203">
        <v>418.7</v>
      </c>
      <c r="AB6" s="203">
        <v>483.14</v>
      </c>
      <c r="AC6" s="203">
        <v>469.3361752951983</v>
      </c>
      <c r="AD6" s="203">
        <v>512.11538746499991</v>
      </c>
      <c r="AE6" s="203">
        <v>534.1711810753493</v>
      </c>
      <c r="AF6" s="203">
        <v>492.12</v>
      </c>
      <c r="AG6" s="203"/>
      <c r="AH6" s="216">
        <v>850.8</v>
      </c>
      <c r="AI6" s="775" t="s">
        <v>1596</v>
      </c>
      <c r="AJ6" s="208" t="s">
        <v>406</v>
      </c>
    </row>
    <row r="7" spans="1:36">
      <c r="A7" s="239" t="s">
        <v>527</v>
      </c>
      <c r="B7" s="225">
        <v>21776.767</v>
      </c>
      <c r="C7" s="225">
        <v>25309.9</v>
      </c>
      <c r="D7" s="225">
        <v>26421.26</v>
      </c>
      <c r="E7" s="225">
        <v>29048.04</v>
      </c>
      <c r="F7" s="225">
        <v>34434.410000000003</v>
      </c>
      <c r="G7" s="225">
        <v>35273.879999999997</v>
      </c>
      <c r="H7" s="225">
        <v>35829.65</v>
      </c>
      <c r="I7" s="225">
        <v>41549.39</v>
      </c>
      <c r="J7" s="225">
        <v>44886.7</v>
      </c>
      <c r="K7" s="225">
        <v>59177.64</v>
      </c>
      <c r="L7" s="225">
        <v>74876.639999999999</v>
      </c>
      <c r="M7" s="240" t="s">
        <v>904</v>
      </c>
      <c r="Q7" s="207" t="s">
        <v>407</v>
      </c>
      <c r="R7" s="213">
        <v>97.1</v>
      </c>
      <c r="S7" s="213">
        <v>106.9</v>
      </c>
      <c r="T7" s="213">
        <v>114.9</v>
      </c>
      <c r="U7" s="213">
        <v>106.61</v>
      </c>
      <c r="V7" s="203">
        <v>155.59433100000001</v>
      </c>
      <c r="W7" s="203">
        <v>183.69605386399999</v>
      </c>
      <c r="X7" s="203">
        <v>250.5</v>
      </c>
      <c r="Y7" s="203">
        <v>253.95</v>
      </c>
      <c r="Z7" s="203">
        <v>280.29000000000002</v>
      </c>
      <c r="AA7" s="203">
        <v>269.60000000000002</v>
      </c>
      <c r="AB7" s="203">
        <v>312.29000000000002</v>
      </c>
      <c r="AC7" s="203">
        <v>318.72995729519823</v>
      </c>
      <c r="AD7" s="203">
        <v>352.84439506499996</v>
      </c>
      <c r="AE7" s="203">
        <v>379.29468516743771</v>
      </c>
      <c r="AF7" s="203">
        <v>336.54</v>
      </c>
      <c r="AG7" s="203" t="s">
        <v>408</v>
      </c>
      <c r="AH7" s="216">
        <v>473.86</v>
      </c>
      <c r="AI7" s="775">
        <v>518.70000000000005</v>
      </c>
      <c r="AJ7" s="208" t="s">
        <v>409</v>
      </c>
    </row>
    <row r="8" spans="1:36">
      <c r="A8" s="239" t="s">
        <v>528</v>
      </c>
      <c r="B8" s="225">
        <v>4087.56</v>
      </c>
      <c r="C8" s="225">
        <v>7642.36</v>
      </c>
      <c r="D8" s="225">
        <v>9831.67</v>
      </c>
      <c r="E8" s="225">
        <v>7219.04</v>
      </c>
      <c r="F8" s="225">
        <v>5847.98</v>
      </c>
      <c r="G8" s="225">
        <v>11582.18</v>
      </c>
      <c r="H8" s="225">
        <v>12553.36</v>
      </c>
      <c r="I8" s="225">
        <v>30419.96</v>
      </c>
      <c r="J8" s="225">
        <v>25163.75</v>
      </c>
      <c r="K8" s="225">
        <v>32014.54</v>
      </c>
      <c r="L8" s="225">
        <v>37158.480000000003</v>
      </c>
      <c r="M8" s="240" t="s">
        <v>905</v>
      </c>
      <c r="Q8" s="207" t="s">
        <v>410</v>
      </c>
      <c r="R8" s="213">
        <v>26.7</v>
      </c>
      <c r="S8" s="213">
        <v>32.9</v>
      </c>
      <c r="T8" s="213">
        <v>34.9</v>
      </c>
      <c r="U8" s="213">
        <v>34.6</v>
      </c>
      <c r="V8" s="203">
        <v>43.439495000000001</v>
      </c>
      <c r="W8" s="203">
        <v>54.947401999999997</v>
      </c>
      <c r="X8" s="203">
        <v>80.489999999999995</v>
      </c>
      <c r="Y8" s="203">
        <v>85.67</v>
      </c>
      <c r="Z8" s="203">
        <v>97.94</v>
      </c>
      <c r="AA8" s="203">
        <v>95.23</v>
      </c>
      <c r="AB8" s="203">
        <v>97.78</v>
      </c>
      <c r="AC8" s="203">
        <v>97.629957295198253</v>
      </c>
      <c r="AD8" s="203">
        <v>105.47448364600001</v>
      </c>
      <c r="AE8" s="203">
        <v>118.5053054884232</v>
      </c>
      <c r="AF8" s="203">
        <v>113.15</v>
      </c>
      <c r="AG8" s="203">
        <v>137.78</v>
      </c>
      <c r="AH8" s="216">
        <v>156.72</v>
      </c>
      <c r="AI8" s="775">
        <v>167.76</v>
      </c>
      <c r="AJ8" s="208" t="s">
        <v>411</v>
      </c>
    </row>
    <row r="9" spans="1:36">
      <c r="A9" s="239" t="s">
        <v>529</v>
      </c>
      <c r="B9" s="225">
        <v>1200.45</v>
      </c>
      <c r="C9" s="225">
        <v>844.62</v>
      </c>
      <c r="D9" s="225">
        <v>845.31</v>
      </c>
      <c r="E9" s="225">
        <v>1068.96</v>
      </c>
      <c r="F9" s="225">
        <v>336</v>
      </c>
      <c r="G9" s="225">
        <v>588.86</v>
      </c>
      <c r="H9" s="225">
        <v>7329.64</v>
      </c>
      <c r="I9" s="225">
        <v>3645.09</v>
      </c>
      <c r="J9" s="225">
        <v>16094.3</v>
      </c>
      <c r="K9" s="225">
        <v>11215</v>
      </c>
      <c r="L9" s="225">
        <v>2402.5500000000002</v>
      </c>
      <c r="M9" s="240" t="s">
        <v>584</v>
      </c>
      <c r="Q9" s="207" t="s">
        <v>412</v>
      </c>
      <c r="R9" s="213">
        <v>45</v>
      </c>
      <c r="S9" s="213">
        <v>52.7</v>
      </c>
      <c r="T9" s="213">
        <v>59.8</v>
      </c>
      <c r="U9" s="213">
        <v>53.75</v>
      </c>
      <c r="V9" s="203">
        <v>79.258752000000015</v>
      </c>
      <c r="W9" s="203">
        <v>100.489571</v>
      </c>
      <c r="X9" s="203">
        <v>133.53</v>
      </c>
      <c r="Y9" s="203">
        <v>128.1</v>
      </c>
      <c r="Z9" s="203">
        <v>138.21</v>
      </c>
      <c r="AA9" s="203">
        <v>130.85</v>
      </c>
      <c r="AB9" s="203">
        <v>145.51</v>
      </c>
      <c r="AC9" s="203">
        <v>157.1</v>
      </c>
      <c r="AD9" s="203">
        <v>172.93982683900001</v>
      </c>
      <c r="AE9" s="203">
        <v>181.16232503224765</v>
      </c>
      <c r="AF9" s="203">
        <v>164.56</v>
      </c>
      <c r="AG9" s="203">
        <v>225.5</v>
      </c>
      <c r="AH9" s="216">
        <v>233.28</v>
      </c>
      <c r="AI9" s="775">
        <v>227.74</v>
      </c>
      <c r="AJ9" s="208" t="s">
        <v>413</v>
      </c>
    </row>
    <row r="10" spans="1:36">
      <c r="A10" s="239" t="s">
        <v>530</v>
      </c>
      <c r="B10" s="225">
        <v>2642.2</v>
      </c>
      <c r="C10" s="225">
        <v>2200.1</v>
      </c>
      <c r="D10" s="225">
        <v>952.7</v>
      </c>
      <c r="E10" s="225">
        <v>-438</v>
      </c>
      <c r="F10" s="225">
        <v>805.6</v>
      </c>
      <c r="G10" s="225">
        <v>2694.1</v>
      </c>
      <c r="H10" s="225">
        <v>2430.3000000000002</v>
      </c>
      <c r="I10" s="225">
        <v>1299.5999999999999</v>
      </c>
      <c r="J10" s="225">
        <v>511.3</v>
      </c>
      <c r="K10" s="225">
        <v>0</v>
      </c>
      <c r="L10" s="225">
        <v>3406</v>
      </c>
      <c r="M10" s="240" t="s">
        <v>906</v>
      </c>
      <c r="Q10" s="207" t="s">
        <v>414</v>
      </c>
      <c r="R10" s="213">
        <v>14.8</v>
      </c>
      <c r="S10" s="213">
        <v>19.100000000000001</v>
      </c>
      <c r="T10" s="213">
        <v>17.399999999999999</v>
      </c>
      <c r="U10" s="213">
        <v>14.18</v>
      </c>
      <c r="V10" s="203">
        <v>17.601922999999999</v>
      </c>
      <c r="W10" s="203">
        <v>22.342016000000001</v>
      </c>
      <c r="X10" s="203">
        <v>29.09</v>
      </c>
      <c r="Y10" s="203">
        <v>30.18</v>
      </c>
      <c r="Z10" s="203">
        <v>32.04</v>
      </c>
      <c r="AA10" s="203">
        <v>38.840000000000003</v>
      </c>
      <c r="AB10" s="203">
        <v>46.93</v>
      </c>
      <c r="AC10" s="203">
        <v>50</v>
      </c>
      <c r="AD10" s="203">
        <v>59.491834580000003</v>
      </c>
      <c r="AE10" s="203">
        <v>64.113655999908659</v>
      </c>
      <c r="AF10" s="203">
        <v>50.26</v>
      </c>
      <c r="AG10" s="203">
        <v>76.89</v>
      </c>
      <c r="AH10" s="216">
        <v>86.51</v>
      </c>
      <c r="AI10" s="775">
        <v>88.1</v>
      </c>
      <c r="AJ10" s="208" t="s">
        <v>415</v>
      </c>
    </row>
    <row r="11" spans="1:36">
      <c r="A11" s="239" t="s">
        <v>531</v>
      </c>
      <c r="B11" s="225">
        <v>9.9999999983992893E-3</v>
      </c>
      <c r="C11" s="225">
        <v>7210</v>
      </c>
      <c r="D11" s="225">
        <v>4590</v>
      </c>
      <c r="E11" s="225">
        <v>6620</v>
      </c>
      <c r="F11" s="225">
        <v>5520</v>
      </c>
      <c r="G11" s="225">
        <v>5306</v>
      </c>
      <c r="H11" s="225">
        <v>0</v>
      </c>
      <c r="I11" s="225">
        <v>17440</v>
      </c>
      <c r="J11" s="225">
        <v>10050</v>
      </c>
      <c r="K11" s="225">
        <v>11700</v>
      </c>
      <c r="L11" s="225">
        <v>741</v>
      </c>
      <c r="M11" s="240" t="s">
        <v>907</v>
      </c>
      <c r="Q11" s="207" t="s">
        <v>416</v>
      </c>
      <c r="R11" s="213">
        <v>10.6</v>
      </c>
      <c r="S11" s="213">
        <v>2.1</v>
      </c>
      <c r="T11" s="213">
        <v>2.8</v>
      </c>
      <c r="U11" s="213">
        <v>4.07</v>
      </c>
      <c r="V11" s="203">
        <v>15.354647999999999</v>
      </c>
      <c r="W11" s="203">
        <v>7.2405368640000001</v>
      </c>
      <c r="X11" s="203">
        <v>4.9800000000000004</v>
      </c>
      <c r="Y11" s="203">
        <v>10</v>
      </c>
      <c r="Z11" s="203">
        <v>12.1</v>
      </c>
      <c r="AA11" s="203">
        <v>9.26</v>
      </c>
      <c r="AB11" s="203">
        <v>22.07</v>
      </c>
      <c r="AC11" s="203">
        <v>14</v>
      </c>
      <c r="AD11" s="203">
        <v>14.93825</v>
      </c>
      <c r="AE11" s="203">
        <v>15.51339864685821</v>
      </c>
      <c r="AF11" s="203">
        <v>8.57</v>
      </c>
      <c r="AG11" s="203">
        <v>22.53</v>
      </c>
      <c r="AH11" s="216">
        <v>38.909999999999997</v>
      </c>
      <c r="AI11" s="775">
        <v>35.15</v>
      </c>
      <c r="AJ11" s="208" t="s">
        <v>409</v>
      </c>
    </row>
    <row r="12" spans="1:36">
      <c r="A12" s="239" t="s">
        <v>307</v>
      </c>
      <c r="B12" s="225">
        <v>1430</v>
      </c>
      <c r="C12" s="225">
        <v>1127</v>
      </c>
      <c r="D12" s="225">
        <v>793</v>
      </c>
      <c r="E12" s="225">
        <v>851</v>
      </c>
      <c r="F12" s="225">
        <v>1801</v>
      </c>
      <c r="G12" s="225">
        <v>847</v>
      </c>
      <c r="H12" s="225">
        <v>1112</v>
      </c>
      <c r="I12" s="225">
        <v>681</v>
      </c>
      <c r="J12" s="225">
        <v>7221</v>
      </c>
      <c r="K12" s="225">
        <v>3818</v>
      </c>
      <c r="L12" s="225">
        <v>2415</v>
      </c>
      <c r="M12" s="240" t="s">
        <v>587</v>
      </c>
      <c r="Q12" s="207" t="s">
        <v>417</v>
      </c>
      <c r="R12" s="213">
        <v>56.4</v>
      </c>
      <c r="S12" s="213">
        <v>61.3</v>
      </c>
      <c r="T12" s="213">
        <v>67.099999999999994</v>
      </c>
      <c r="U12" s="213">
        <v>75.78</v>
      </c>
      <c r="V12" s="203">
        <v>83.095720000000028</v>
      </c>
      <c r="W12" s="203">
        <v>109.76777000000001</v>
      </c>
      <c r="X12" s="203">
        <v>99.06</v>
      </c>
      <c r="Y12" s="203">
        <v>200.97</v>
      </c>
      <c r="Z12" s="203">
        <v>116.99</v>
      </c>
      <c r="AA12" s="203">
        <v>149.1</v>
      </c>
      <c r="AB12" s="203">
        <v>110.67</v>
      </c>
      <c r="AC12" s="203">
        <v>138.94621800000002</v>
      </c>
      <c r="AD12" s="203">
        <v>145.27099239999998</v>
      </c>
      <c r="AE12" s="203">
        <v>126.15000000000002</v>
      </c>
      <c r="AF12" s="203">
        <v>155.58000000000001</v>
      </c>
      <c r="AG12" s="203">
        <v>215.47</v>
      </c>
      <c r="AH12" s="216">
        <v>312.61</v>
      </c>
      <c r="AI12" s="775">
        <v>263.91000000000003</v>
      </c>
      <c r="AJ12" s="208" t="s">
        <v>418</v>
      </c>
    </row>
    <row r="13" spans="1:36">
      <c r="A13" s="239" t="s">
        <v>314</v>
      </c>
      <c r="B13" s="225">
        <f>B14+B16</f>
        <v>4156</v>
      </c>
      <c r="C13" s="225">
        <f t="shared" ref="C13:L13" si="2">C14+C16</f>
        <v>3381</v>
      </c>
      <c r="D13" s="225">
        <f t="shared" si="2"/>
        <v>1126</v>
      </c>
      <c r="E13" s="225">
        <f t="shared" si="2"/>
        <v>3040</v>
      </c>
      <c r="F13" s="225">
        <f t="shared" si="2"/>
        <v>5834</v>
      </c>
      <c r="G13" s="225">
        <f t="shared" si="2"/>
        <v>7511.8510000000006</v>
      </c>
      <c r="H13" s="225">
        <f t="shared" si="2"/>
        <v>11484.116</v>
      </c>
      <c r="I13" s="225">
        <f t="shared" si="2"/>
        <v>13536.445</v>
      </c>
      <c r="J13" s="225">
        <f t="shared" si="2"/>
        <v>15747.955</v>
      </c>
      <c r="K13" s="225">
        <f t="shared" si="2"/>
        <v>12488.933000000001</v>
      </c>
      <c r="L13" s="225">
        <f t="shared" si="2"/>
        <v>10300</v>
      </c>
      <c r="M13" s="240" t="s">
        <v>423</v>
      </c>
      <c r="Q13" s="207" t="s">
        <v>419</v>
      </c>
      <c r="R13" s="213">
        <v>39.4</v>
      </c>
      <c r="S13" s="213">
        <v>41.4</v>
      </c>
      <c r="T13" s="213">
        <v>38.700000000000003</v>
      </c>
      <c r="U13" s="213">
        <v>41.04</v>
      </c>
      <c r="V13" s="203">
        <v>42.276275000000005</v>
      </c>
      <c r="W13" s="203">
        <v>36.938535999999999</v>
      </c>
      <c r="X13" s="203">
        <v>8.7100000000000009</v>
      </c>
      <c r="Y13" s="203">
        <v>60.88</v>
      </c>
      <c r="Z13" s="203">
        <v>32.69</v>
      </c>
      <c r="AA13" s="203">
        <v>44.11</v>
      </c>
      <c r="AB13" s="203">
        <v>55.9</v>
      </c>
      <c r="AC13" s="203">
        <v>62.850000000000009</v>
      </c>
      <c r="AD13" s="203">
        <v>70.099999999999994</v>
      </c>
      <c r="AE13" s="203">
        <v>89.04000000000002</v>
      </c>
      <c r="AF13" s="203">
        <v>82.35</v>
      </c>
      <c r="AG13" s="203"/>
      <c r="AH13" s="216">
        <v>67.040000000000006</v>
      </c>
      <c r="AI13" s="775">
        <v>61.85</v>
      </c>
      <c r="AJ13" s="208" t="s">
        <v>420</v>
      </c>
    </row>
    <row r="14" spans="1:36">
      <c r="A14" s="241" t="s">
        <v>532</v>
      </c>
      <c r="B14" s="225">
        <v>0</v>
      </c>
      <c r="C14" s="225">
        <v>0</v>
      </c>
      <c r="D14" s="225">
        <v>0</v>
      </c>
      <c r="E14" s="225">
        <v>0</v>
      </c>
      <c r="F14" s="225">
        <v>0</v>
      </c>
      <c r="G14" s="225">
        <v>3832.8510000000001</v>
      </c>
      <c r="H14" s="225">
        <v>6630.116</v>
      </c>
      <c r="I14" s="225">
        <v>8339.4449999999997</v>
      </c>
      <c r="J14" s="225">
        <v>9263.9549999999999</v>
      </c>
      <c r="K14" s="225">
        <v>8200.9330000000009</v>
      </c>
      <c r="L14" s="225">
        <v>7600</v>
      </c>
      <c r="M14" s="240" t="s">
        <v>908</v>
      </c>
      <c r="Q14" s="207" t="s">
        <v>421</v>
      </c>
      <c r="R14" s="213">
        <v>8.3000000000000007</v>
      </c>
      <c r="S14" s="213">
        <v>9.1</v>
      </c>
      <c r="T14" s="213">
        <v>16.2</v>
      </c>
      <c r="U14" s="213">
        <v>18.399999999999999</v>
      </c>
      <c r="V14" s="203">
        <v>13.29</v>
      </c>
      <c r="W14" s="203">
        <v>32.734124999999999</v>
      </c>
      <c r="X14" s="203">
        <v>61.97</v>
      </c>
      <c r="Y14" s="203">
        <v>49.78</v>
      </c>
      <c r="Z14" s="203">
        <v>54.5</v>
      </c>
      <c r="AA14" s="203">
        <v>14.21</v>
      </c>
      <c r="AB14" s="203">
        <v>9.81</v>
      </c>
      <c r="AC14" s="203">
        <v>11.041218000000001</v>
      </c>
      <c r="AD14" s="203">
        <v>12.5381245</v>
      </c>
      <c r="AE14" s="203">
        <v>13</v>
      </c>
      <c r="AF14" s="203">
        <v>20</v>
      </c>
      <c r="AG14" s="203"/>
      <c r="AH14" s="216">
        <v>139.76</v>
      </c>
      <c r="AI14" s="775">
        <v>81.099999999999994</v>
      </c>
      <c r="AJ14" s="208" t="s">
        <v>422</v>
      </c>
    </row>
    <row r="15" spans="1:36">
      <c r="A15" s="242" t="s">
        <v>533</v>
      </c>
      <c r="B15" s="225">
        <v>0</v>
      </c>
      <c r="C15" s="225">
        <v>0</v>
      </c>
      <c r="D15" s="225">
        <v>0</v>
      </c>
      <c r="E15" s="225">
        <v>0</v>
      </c>
      <c r="F15" s="225">
        <v>0</v>
      </c>
      <c r="G15" s="225">
        <v>1682.8510000000001</v>
      </c>
      <c r="H15" s="225">
        <v>2170.116</v>
      </c>
      <c r="I15" s="225">
        <v>3319.4450000000002</v>
      </c>
      <c r="J15" s="225">
        <v>2813.9549999999999</v>
      </c>
      <c r="K15" s="225">
        <v>2980.933</v>
      </c>
      <c r="L15" s="225"/>
      <c r="M15" s="243" t="s">
        <v>909</v>
      </c>
      <c r="Q15" s="207" t="s">
        <v>314</v>
      </c>
      <c r="R15" s="213">
        <v>252.5</v>
      </c>
      <c r="S15" s="213">
        <v>16.3</v>
      </c>
      <c r="T15" s="213">
        <v>3.2</v>
      </c>
      <c r="U15" s="213">
        <v>2.35</v>
      </c>
      <c r="V15" s="203">
        <v>9.8612183313595008</v>
      </c>
      <c r="W15" s="203">
        <v>7.7050880002770983</v>
      </c>
      <c r="X15" s="203">
        <v>7.37</v>
      </c>
      <c r="Y15" s="203">
        <v>23.8</v>
      </c>
      <c r="Z15" s="203">
        <v>13</v>
      </c>
      <c r="AA15" s="203">
        <v>28.3</v>
      </c>
      <c r="AB15" s="203">
        <v>40.18</v>
      </c>
      <c r="AC15" s="203">
        <v>11.66</v>
      </c>
      <c r="AD15" s="203">
        <v>14</v>
      </c>
      <c r="AE15" s="203">
        <v>28.726495907911541</v>
      </c>
      <c r="AF15" s="203">
        <v>48.13</v>
      </c>
      <c r="AG15" s="203">
        <v>75.7</v>
      </c>
      <c r="AH15" s="216">
        <v>63.52</v>
      </c>
      <c r="AI15" s="775">
        <v>54.73</v>
      </c>
      <c r="AJ15" s="208" t="s">
        <v>423</v>
      </c>
    </row>
    <row r="16" spans="1:36">
      <c r="A16" s="244" t="s">
        <v>534</v>
      </c>
      <c r="B16" s="225">
        <v>4156</v>
      </c>
      <c r="C16" s="225">
        <v>3381</v>
      </c>
      <c r="D16" s="225">
        <v>1126</v>
      </c>
      <c r="E16" s="225">
        <v>3040</v>
      </c>
      <c r="F16" s="225">
        <v>5834</v>
      </c>
      <c r="G16" s="225">
        <v>3679</v>
      </c>
      <c r="H16" s="225">
        <v>4854</v>
      </c>
      <c r="I16" s="225">
        <v>5197</v>
      </c>
      <c r="J16" s="225">
        <v>6484</v>
      </c>
      <c r="K16" s="225">
        <v>4288</v>
      </c>
      <c r="L16" s="225">
        <v>2700</v>
      </c>
      <c r="M16" s="245" t="s">
        <v>910</v>
      </c>
      <c r="Q16" s="207" t="s">
        <v>424</v>
      </c>
      <c r="R16" s="213">
        <v>2.1</v>
      </c>
      <c r="S16" s="213">
        <v>10</v>
      </c>
      <c r="T16" s="213"/>
      <c r="U16" s="213"/>
      <c r="V16" s="203">
        <v>0.52</v>
      </c>
      <c r="W16" s="203">
        <v>6.7007260002770987</v>
      </c>
      <c r="X16" s="203">
        <v>2.94</v>
      </c>
      <c r="Y16" s="203">
        <v>8</v>
      </c>
      <c r="Z16" s="203">
        <v>5</v>
      </c>
      <c r="AA16" s="203">
        <v>7.79</v>
      </c>
      <c r="AB16" s="203">
        <v>13.8</v>
      </c>
      <c r="AC16" s="203"/>
      <c r="AD16" s="203"/>
      <c r="AE16" s="203"/>
      <c r="AF16" s="203">
        <v>4.13</v>
      </c>
      <c r="AG16" s="203">
        <v>25.86</v>
      </c>
      <c r="AH16" s="216"/>
      <c r="AI16" s="775">
        <v>40.409999999999997</v>
      </c>
      <c r="AJ16" s="208" t="s">
        <v>425</v>
      </c>
    </row>
    <row r="17" spans="1:36">
      <c r="A17" s="235" t="s">
        <v>535</v>
      </c>
      <c r="B17" s="223">
        <f>B18+SUM(B28:B29)</f>
        <v>44509.311000000002</v>
      </c>
      <c r="C17" s="223">
        <f t="shared" ref="C17:L17" si="3">C18+SUM(C28:C29)</f>
        <v>48653.198000000004</v>
      </c>
      <c r="D17" s="223">
        <f t="shared" si="3"/>
        <v>48871.898000000008</v>
      </c>
      <c r="E17" s="223">
        <f t="shared" si="3"/>
        <v>55094.614000000001</v>
      </c>
      <c r="F17" s="223">
        <f t="shared" si="3"/>
        <v>62908.114000000001</v>
      </c>
      <c r="G17" s="223">
        <f t="shared" si="3"/>
        <v>79336.898828399993</v>
      </c>
      <c r="H17" s="223">
        <f t="shared" si="3"/>
        <v>100342.893232</v>
      </c>
      <c r="I17" s="223">
        <f t="shared" si="3"/>
        <v>117580.59220000001</v>
      </c>
      <c r="J17" s="223">
        <f t="shared" si="3"/>
        <v>159480.53100000002</v>
      </c>
      <c r="K17" s="223">
        <f t="shared" si="3"/>
        <v>149569.42950500001</v>
      </c>
      <c r="L17" s="223">
        <f t="shared" si="3"/>
        <v>166100</v>
      </c>
      <c r="M17" s="246" t="s">
        <v>427</v>
      </c>
      <c r="Q17" s="207" t="s">
        <v>426</v>
      </c>
      <c r="R17" s="213">
        <v>206.4</v>
      </c>
      <c r="S17" s="213">
        <v>217.9</v>
      </c>
      <c r="T17" s="213">
        <v>261.8</v>
      </c>
      <c r="U17" s="213">
        <v>227.98</v>
      </c>
      <c r="V17" s="203">
        <v>269.00477161213922</v>
      </c>
      <c r="W17" s="203">
        <v>323.97192269923545</v>
      </c>
      <c r="X17" s="203">
        <v>429.96</v>
      </c>
      <c r="Y17" s="203">
        <v>444.91</v>
      </c>
      <c r="Z17" s="203">
        <v>460.02</v>
      </c>
      <c r="AA17" s="203">
        <v>513.69000000000005</v>
      </c>
      <c r="AB17" s="203">
        <v>494.4</v>
      </c>
      <c r="AC17" s="203">
        <v>491.86451599999998</v>
      </c>
      <c r="AD17" s="203">
        <v>547.58657378000009</v>
      </c>
      <c r="AE17" s="203">
        <v>565.13489178372652</v>
      </c>
      <c r="AF17" s="203">
        <v>700.26</v>
      </c>
      <c r="AG17" s="203">
        <v>691.13</v>
      </c>
      <c r="AH17" s="216">
        <v>1007.94</v>
      </c>
      <c r="AI17" s="775">
        <v>954.08</v>
      </c>
      <c r="AJ17" s="208" t="s">
        <v>427</v>
      </c>
    </row>
    <row r="18" spans="1:36">
      <c r="A18" s="247" t="s">
        <v>536</v>
      </c>
      <c r="B18" s="224">
        <f t="shared" ref="B18:L18" si="4">B19+B25</f>
        <v>32050.216500000002</v>
      </c>
      <c r="C18" s="224">
        <f t="shared" si="4"/>
        <v>35508.747100000001</v>
      </c>
      <c r="D18" s="224">
        <f t="shared" si="4"/>
        <v>37655.358300000007</v>
      </c>
      <c r="E18" s="224">
        <f t="shared" si="4"/>
        <v>40352.484400000001</v>
      </c>
      <c r="F18" s="224">
        <f t="shared" si="4"/>
        <v>45542.245800000004</v>
      </c>
      <c r="G18" s="224">
        <f t="shared" si="4"/>
        <v>54883.699028399991</v>
      </c>
      <c r="H18" s="224">
        <f t="shared" si="4"/>
        <v>64749.749132000004</v>
      </c>
      <c r="I18" s="224">
        <f t="shared" si="4"/>
        <v>72404.865700000009</v>
      </c>
      <c r="J18" s="224">
        <f t="shared" si="4"/>
        <v>109577.739</v>
      </c>
      <c r="K18" s="224">
        <f t="shared" si="4"/>
        <v>101889.041505</v>
      </c>
      <c r="L18" s="224">
        <f t="shared" si="4"/>
        <v>126600</v>
      </c>
      <c r="M18" s="248" t="s">
        <v>911</v>
      </c>
      <c r="Q18" s="207" t="s">
        <v>368</v>
      </c>
      <c r="R18" s="213">
        <v>157.9</v>
      </c>
      <c r="S18" s="213">
        <v>159.4</v>
      </c>
      <c r="T18" s="213">
        <v>191.1</v>
      </c>
      <c r="U18" s="213">
        <v>186.65</v>
      </c>
      <c r="V18" s="203">
        <v>200.91119322335632</v>
      </c>
      <c r="W18" s="203">
        <v>238.94054802810913</v>
      </c>
      <c r="X18" s="203">
        <v>293.01</v>
      </c>
      <c r="Y18" s="203">
        <v>272.70999999999998</v>
      </c>
      <c r="Z18" s="203">
        <v>284.82</v>
      </c>
      <c r="AA18" s="203">
        <v>290.88</v>
      </c>
      <c r="AB18" s="203">
        <v>278.32</v>
      </c>
      <c r="AC18" s="203">
        <v>290.60451599999999</v>
      </c>
      <c r="AD18" s="203">
        <v>312.81559239000006</v>
      </c>
      <c r="AE18" s="203">
        <v>330.51481950599998</v>
      </c>
      <c r="AF18" s="203">
        <v>453.2</v>
      </c>
      <c r="AG18" s="203">
        <v>433.06</v>
      </c>
      <c r="AH18" s="216">
        <v>602.49</v>
      </c>
      <c r="AI18" s="775">
        <v>695.65</v>
      </c>
      <c r="AJ18" s="208" t="s">
        <v>369</v>
      </c>
    </row>
    <row r="19" spans="1:36">
      <c r="A19" s="249" t="s">
        <v>537</v>
      </c>
      <c r="B19" s="226">
        <f t="shared" ref="B19:L19" si="5">SUM(B20:B24)</f>
        <v>28173.216500000002</v>
      </c>
      <c r="C19" s="226">
        <f t="shared" si="5"/>
        <v>31172.747100000001</v>
      </c>
      <c r="D19" s="226">
        <f t="shared" si="5"/>
        <v>33139.358300000007</v>
      </c>
      <c r="E19" s="226">
        <f t="shared" si="5"/>
        <v>34597.484400000001</v>
      </c>
      <c r="F19" s="226">
        <f t="shared" si="5"/>
        <v>39152.245800000004</v>
      </c>
      <c r="G19" s="226">
        <f t="shared" si="5"/>
        <v>47107.723199999993</v>
      </c>
      <c r="H19" s="226">
        <f t="shared" si="5"/>
        <v>57088.743700000006</v>
      </c>
      <c r="I19" s="226">
        <f t="shared" si="5"/>
        <v>64729.898100000006</v>
      </c>
      <c r="J19" s="226">
        <f t="shared" si="5"/>
        <v>100306.72200000001</v>
      </c>
      <c r="K19" s="226">
        <f t="shared" si="5"/>
        <v>89961.397500000006</v>
      </c>
      <c r="L19" s="226">
        <f t="shared" si="5"/>
        <v>110500</v>
      </c>
      <c r="M19" s="250" t="s">
        <v>912</v>
      </c>
      <c r="Q19" s="207" t="s">
        <v>428</v>
      </c>
      <c r="R19" s="213">
        <v>52.8</v>
      </c>
      <c r="S19" s="213">
        <v>64.599999999999994</v>
      </c>
      <c r="T19" s="213">
        <v>71.099999999999994</v>
      </c>
      <c r="U19" s="213">
        <v>76.97</v>
      </c>
      <c r="V19" s="203">
        <v>83.683019000000002</v>
      </c>
      <c r="W19" s="203">
        <v>89.142829999999989</v>
      </c>
      <c r="X19" s="203">
        <v>94.67</v>
      </c>
      <c r="Y19" s="203" t="s">
        <v>429</v>
      </c>
      <c r="Z19" s="203">
        <v>106.85</v>
      </c>
      <c r="AA19" s="203">
        <v>119.35</v>
      </c>
      <c r="AB19" s="203">
        <v>123.1</v>
      </c>
      <c r="AC19" s="203">
        <v>131</v>
      </c>
      <c r="AD19" s="203">
        <v>145.1</v>
      </c>
      <c r="AE19" s="203">
        <v>156</v>
      </c>
      <c r="AF19" s="203">
        <v>167.4</v>
      </c>
      <c r="AG19" s="203">
        <v>189.19</v>
      </c>
      <c r="AH19" s="216">
        <v>210.73</v>
      </c>
      <c r="AI19" s="775">
        <v>249.41</v>
      </c>
      <c r="AJ19" s="208" t="s">
        <v>430</v>
      </c>
    </row>
    <row r="20" spans="1:36">
      <c r="A20" s="242" t="s">
        <v>370</v>
      </c>
      <c r="B20" s="225">
        <v>8408.9439999999995</v>
      </c>
      <c r="C20" s="225">
        <v>8772.1649999999991</v>
      </c>
      <c r="D20" s="225">
        <v>10357.36</v>
      </c>
      <c r="E20" s="225">
        <v>10036.56</v>
      </c>
      <c r="F20" s="225">
        <v>10442.662</v>
      </c>
      <c r="G20" s="225">
        <v>11812.448</v>
      </c>
      <c r="H20" s="225">
        <v>12810.361000000001</v>
      </c>
      <c r="I20" s="225">
        <v>16069.534</v>
      </c>
      <c r="J20" s="225">
        <v>16041.957</v>
      </c>
      <c r="K20" s="225">
        <v>17150.489000000001</v>
      </c>
      <c r="L20" s="225">
        <v>22400</v>
      </c>
      <c r="M20" s="243" t="s">
        <v>430</v>
      </c>
      <c r="Q20" s="207" t="s">
        <v>372</v>
      </c>
      <c r="R20" s="213">
        <v>71.599999999999994</v>
      </c>
      <c r="S20" s="213">
        <v>63.8</v>
      </c>
      <c r="T20" s="213">
        <v>54</v>
      </c>
      <c r="U20" s="213">
        <v>51.66</v>
      </c>
      <c r="V20" s="203">
        <v>47.146772999999996</v>
      </c>
      <c r="W20" s="203">
        <v>51.277253000000002</v>
      </c>
      <c r="X20" s="203">
        <v>54.57</v>
      </c>
      <c r="Y20" s="203">
        <v>61.5</v>
      </c>
      <c r="Z20" s="203">
        <v>65.209999999999994</v>
      </c>
      <c r="AA20" s="203">
        <v>62.35</v>
      </c>
      <c r="AB20" s="203">
        <v>61.93</v>
      </c>
      <c r="AC20" s="203">
        <v>66.263670000000005</v>
      </c>
      <c r="AD20" s="203">
        <v>67.43976948000001</v>
      </c>
      <c r="AE20" s="203">
        <v>69.207696506000005</v>
      </c>
      <c r="AF20" s="203">
        <v>88.9</v>
      </c>
      <c r="AG20" s="203">
        <v>92.72</v>
      </c>
      <c r="AH20" s="216">
        <v>121.52</v>
      </c>
      <c r="AI20" s="775">
        <v>130.36000000000001</v>
      </c>
      <c r="AJ20" s="208" t="s">
        <v>431</v>
      </c>
    </row>
    <row r="21" spans="1:36">
      <c r="A21" s="242" t="s">
        <v>538</v>
      </c>
      <c r="B21" s="225">
        <v>9632.1389999999992</v>
      </c>
      <c r="C21" s="225">
        <v>10812.446400000001</v>
      </c>
      <c r="D21" s="225">
        <v>11285.6042</v>
      </c>
      <c r="E21" s="225">
        <v>13768.872600000001</v>
      </c>
      <c r="F21" s="225">
        <v>15103.992200000001</v>
      </c>
      <c r="G21" s="225">
        <v>18731.996799999997</v>
      </c>
      <c r="H21" s="225">
        <v>22257.907200000001</v>
      </c>
      <c r="I21" s="225">
        <v>28920.026600000005</v>
      </c>
      <c r="J21" s="225">
        <v>37249.565000000002</v>
      </c>
      <c r="K21" s="225">
        <v>39148.233999999997</v>
      </c>
      <c r="L21" s="225">
        <v>60600</v>
      </c>
      <c r="M21" s="243" t="s">
        <v>913</v>
      </c>
      <c r="Q21" s="207" t="s">
        <v>432</v>
      </c>
      <c r="R21" s="213">
        <v>15.1</v>
      </c>
      <c r="S21" s="213">
        <v>15.2</v>
      </c>
      <c r="T21" s="213">
        <v>42.8</v>
      </c>
      <c r="U21" s="213">
        <v>20.32</v>
      </c>
      <c r="V21" s="203">
        <v>17.938157</v>
      </c>
      <c r="W21" s="203">
        <v>60.200757000000003</v>
      </c>
      <c r="X21" s="203">
        <v>105.7</v>
      </c>
      <c r="Y21" s="203">
        <v>70.459999999999994</v>
      </c>
      <c r="Z21" s="203">
        <v>72.58</v>
      </c>
      <c r="AA21" s="203">
        <v>67.790000000000006</v>
      </c>
      <c r="AB21" s="203">
        <v>61.73</v>
      </c>
      <c r="AC21" s="203">
        <v>56.114452</v>
      </c>
      <c r="AD21" s="203">
        <v>61.428000000000004</v>
      </c>
      <c r="AE21" s="203">
        <v>59.677129000000001</v>
      </c>
      <c r="AF21" s="203">
        <v>101.6</v>
      </c>
      <c r="AG21" s="203">
        <v>90.12</v>
      </c>
      <c r="AH21" s="216">
        <v>205.66</v>
      </c>
      <c r="AI21" s="775">
        <v>200.24</v>
      </c>
      <c r="AJ21" s="208" t="s">
        <v>433</v>
      </c>
    </row>
    <row r="22" spans="1:36">
      <c r="A22" s="242" t="s">
        <v>374</v>
      </c>
      <c r="B22" s="225">
        <v>4151.4740000000002</v>
      </c>
      <c r="C22" s="225">
        <v>5198.7880000000005</v>
      </c>
      <c r="D22" s="225">
        <v>6317.0240000000003</v>
      </c>
      <c r="E22" s="225">
        <v>4826.875</v>
      </c>
      <c r="F22" s="225">
        <v>6696.348</v>
      </c>
      <c r="G22" s="225">
        <v>9049.6389999999992</v>
      </c>
      <c r="H22" s="225">
        <v>13255.257000000001</v>
      </c>
      <c r="I22" s="225">
        <v>9859.2983999999997</v>
      </c>
      <c r="J22" s="225">
        <v>16425.591</v>
      </c>
      <c r="K22" s="225">
        <v>18648.3145</v>
      </c>
      <c r="L22" s="225">
        <v>17700</v>
      </c>
      <c r="M22" s="243" t="s">
        <v>375</v>
      </c>
      <c r="Q22" s="207" t="s">
        <v>434</v>
      </c>
      <c r="R22" s="213">
        <v>13.5</v>
      </c>
      <c r="S22" s="213">
        <v>13.5</v>
      </c>
      <c r="T22" s="213">
        <v>16.5</v>
      </c>
      <c r="U22" s="213">
        <v>16.2</v>
      </c>
      <c r="V22" s="203">
        <v>15.039949223356306</v>
      </c>
      <c r="W22" s="203">
        <v>14.772757028109135</v>
      </c>
      <c r="X22" s="203">
        <v>12.62</v>
      </c>
      <c r="Y22" s="203">
        <v>17.13</v>
      </c>
      <c r="Z22" s="203">
        <v>15.75</v>
      </c>
      <c r="AA22" s="203">
        <v>17.8</v>
      </c>
      <c r="AB22" s="203">
        <v>17.2</v>
      </c>
      <c r="AC22" s="203">
        <v>18</v>
      </c>
      <c r="AD22" s="203">
        <v>26.521428910000001</v>
      </c>
      <c r="AE22" s="203">
        <v>30.763000000000002</v>
      </c>
      <c r="AF22" s="203">
        <v>23</v>
      </c>
      <c r="AG22" s="203">
        <v>27.99</v>
      </c>
      <c r="AH22" s="216">
        <v>29.8</v>
      </c>
      <c r="AI22" s="775">
        <v>37.04</v>
      </c>
      <c r="AJ22" s="208" t="s">
        <v>435</v>
      </c>
    </row>
    <row r="23" spans="1:36">
      <c r="A23" s="242" t="s">
        <v>376</v>
      </c>
      <c r="B23" s="225">
        <v>4270.6594999999998</v>
      </c>
      <c r="C23" s="225">
        <v>5057.3477000000003</v>
      </c>
      <c r="D23" s="225">
        <v>4329.3701000000001</v>
      </c>
      <c r="E23" s="225">
        <v>5225.1767999999993</v>
      </c>
      <c r="F23" s="225">
        <v>6339.2435999999998</v>
      </c>
      <c r="G23" s="225">
        <v>7075.6393999999991</v>
      </c>
      <c r="H23" s="225">
        <v>8633.2185000000009</v>
      </c>
      <c r="I23" s="225">
        <v>9285.0391</v>
      </c>
      <c r="J23" s="225">
        <v>28927.609000000004</v>
      </c>
      <c r="K23" s="225">
        <v>12566.36</v>
      </c>
      <c r="L23" s="225">
        <v>8700</v>
      </c>
      <c r="M23" s="243" t="s">
        <v>377</v>
      </c>
      <c r="Q23" s="207" t="s">
        <v>381</v>
      </c>
      <c r="R23" s="213">
        <v>5</v>
      </c>
      <c r="S23" s="213">
        <v>4.4000000000000004</v>
      </c>
      <c r="T23" s="213">
        <v>5.8</v>
      </c>
      <c r="U23" s="213">
        <v>5.0999999999999996</v>
      </c>
      <c r="V23" s="203">
        <v>7.5445472717163069</v>
      </c>
      <c r="W23" s="203">
        <v>8.3664540281091355</v>
      </c>
      <c r="X23" s="203">
        <v>9.89</v>
      </c>
      <c r="Y23" s="203">
        <v>10.63</v>
      </c>
      <c r="Z23" s="203">
        <v>10.95</v>
      </c>
      <c r="AA23" s="203">
        <v>12.66</v>
      </c>
      <c r="AB23" s="203">
        <v>13.2</v>
      </c>
      <c r="AC23" s="203">
        <v>14</v>
      </c>
      <c r="AD23" s="203">
        <v>20</v>
      </c>
      <c r="AE23" s="203">
        <v>20.463000000000001</v>
      </c>
      <c r="AF23" s="203">
        <v>13</v>
      </c>
      <c r="AG23" s="203">
        <v>20.6</v>
      </c>
      <c r="AH23" s="216">
        <v>22.91</v>
      </c>
      <c r="AI23" s="775">
        <v>28.44</v>
      </c>
      <c r="AJ23" s="208" t="s">
        <v>436</v>
      </c>
    </row>
    <row r="24" spans="1:36">
      <c r="A24" s="242" t="s">
        <v>307</v>
      </c>
      <c r="B24" s="227">
        <v>1710</v>
      </c>
      <c r="C24" s="227">
        <v>1332</v>
      </c>
      <c r="D24" s="225">
        <v>850</v>
      </c>
      <c r="E24" s="227">
        <v>740</v>
      </c>
      <c r="F24" s="227">
        <v>570</v>
      </c>
      <c r="G24" s="227">
        <v>438</v>
      </c>
      <c r="H24" s="227">
        <v>132</v>
      </c>
      <c r="I24" s="227">
        <v>596</v>
      </c>
      <c r="J24" s="227">
        <v>1662</v>
      </c>
      <c r="K24" s="227">
        <v>2448</v>
      </c>
      <c r="L24" s="227">
        <v>1100</v>
      </c>
      <c r="M24" s="243" t="s">
        <v>914</v>
      </c>
      <c r="Q24" s="207" t="s">
        <v>383</v>
      </c>
      <c r="R24" s="213">
        <v>8.5</v>
      </c>
      <c r="S24" s="213">
        <v>9.1</v>
      </c>
      <c r="T24" s="213">
        <v>10.7</v>
      </c>
      <c r="U24" s="213">
        <v>11.1</v>
      </c>
      <c r="V24" s="203">
        <v>7.4954019516399999</v>
      </c>
      <c r="W24" s="203">
        <v>6.4063029999999994</v>
      </c>
      <c r="X24" s="203">
        <v>2.73</v>
      </c>
      <c r="Y24" s="203">
        <v>6.5</v>
      </c>
      <c r="Z24" s="203">
        <v>4.8</v>
      </c>
      <c r="AA24" s="203">
        <v>5.13</v>
      </c>
      <c r="AB24" s="203">
        <v>4</v>
      </c>
      <c r="AC24" s="203">
        <v>4</v>
      </c>
      <c r="AD24" s="203">
        <v>6.52142891</v>
      </c>
      <c r="AE24" s="203">
        <v>10.3</v>
      </c>
      <c r="AF24" s="203">
        <v>10</v>
      </c>
      <c r="AG24" s="203">
        <v>7.4</v>
      </c>
      <c r="AH24" s="216">
        <v>6.89</v>
      </c>
      <c r="AI24" s="775">
        <v>8.6</v>
      </c>
      <c r="AJ24" s="208" t="s">
        <v>437</v>
      </c>
    </row>
    <row r="25" spans="1:36">
      <c r="A25" s="244" t="s">
        <v>379</v>
      </c>
      <c r="B25" s="225">
        <f>SUM(B26:B27)</f>
        <v>3877</v>
      </c>
      <c r="C25" s="225">
        <f t="shared" ref="C25:L25" si="6">SUM(C26:C27)</f>
        <v>4336</v>
      </c>
      <c r="D25" s="225">
        <f t="shared" si="6"/>
        <v>4516</v>
      </c>
      <c r="E25" s="225">
        <f t="shared" si="6"/>
        <v>5755</v>
      </c>
      <c r="F25" s="225">
        <f t="shared" si="6"/>
        <v>6390</v>
      </c>
      <c r="G25" s="225">
        <f t="shared" si="6"/>
        <v>7775.9758284</v>
      </c>
      <c r="H25" s="225">
        <f t="shared" si="6"/>
        <v>7661.005431999999</v>
      </c>
      <c r="I25" s="225">
        <f t="shared" si="6"/>
        <v>7674.9675999999981</v>
      </c>
      <c r="J25" s="225">
        <f t="shared" si="6"/>
        <v>9271.0169999999998</v>
      </c>
      <c r="K25" s="225">
        <f t="shared" si="6"/>
        <v>11927.644005</v>
      </c>
      <c r="L25" s="225">
        <f t="shared" si="6"/>
        <v>16100</v>
      </c>
      <c r="M25" s="245" t="s">
        <v>435</v>
      </c>
      <c r="Q25" s="207" t="s">
        <v>307</v>
      </c>
      <c r="R25" s="213">
        <v>4.8</v>
      </c>
      <c r="S25" s="213">
        <v>2.2999999999999998</v>
      </c>
      <c r="T25" s="213">
        <v>6.8</v>
      </c>
      <c r="U25" s="213">
        <v>4.95</v>
      </c>
      <c r="V25" s="203">
        <v>22.613278000000001</v>
      </c>
      <c r="W25" s="203">
        <v>10.958247999999999</v>
      </c>
      <c r="X25" s="203">
        <v>9.98</v>
      </c>
      <c r="Y25" s="203">
        <v>8</v>
      </c>
      <c r="Z25" s="203">
        <v>12</v>
      </c>
      <c r="AA25" s="203">
        <v>3.19</v>
      </c>
      <c r="AB25" s="203">
        <v>2</v>
      </c>
      <c r="AC25" s="203">
        <v>7</v>
      </c>
      <c r="AD25" s="203">
        <v>0.10000000000000142</v>
      </c>
      <c r="AE25" s="203">
        <v>2</v>
      </c>
      <c r="AF25" s="203">
        <v>32.29</v>
      </c>
      <c r="AG25" s="203">
        <v>13.86</v>
      </c>
      <c r="AH25" s="216">
        <v>19.309999999999999</v>
      </c>
      <c r="AI25" s="775">
        <v>61.38</v>
      </c>
      <c r="AJ25" s="208" t="s">
        <v>378</v>
      </c>
    </row>
    <row r="26" spans="1:36">
      <c r="A26" s="242" t="s">
        <v>381</v>
      </c>
      <c r="B26" s="225">
        <v>3190</v>
      </c>
      <c r="C26" s="225">
        <v>3640</v>
      </c>
      <c r="D26" s="225">
        <v>3840</v>
      </c>
      <c r="E26" s="225">
        <v>4390</v>
      </c>
      <c r="F26" s="225">
        <v>4780</v>
      </c>
      <c r="G26" s="225">
        <v>5669.9758284</v>
      </c>
      <c r="H26" s="225">
        <v>5460.005431999999</v>
      </c>
      <c r="I26" s="225">
        <v>5949.9675999999981</v>
      </c>
      <c r="J26" s="225">
        <v>6630.0170000000007</v>
      </c>
      <c r="K26" s="225">
        <v>7269.6440050000001</v>
      </c>
      <c r="L26" s="225">
        <v>8300</v>
      </c>
      <c r="M26" s="243" t="s">
        <v>915</v>
      </c>
      <c r="Q26" s="207" t="s">
        <v>387</v>
      </c>
      <c r="R26" s="213">
        <v>44.6</v>
      </c>
      <c r="S26" s="213">
        <v>58.5</v>
      </c>
      <c r="T26" s="213">
        <v>55.6</v>
      </c>
      <c r="U26" s="213">
        <v>36.9</v>
      </c>
      <c r="V26" s="203">
        <v>64.746578388782908</v>
      </c>
      <c r="W26" s="203">
        <v>85.031374671126301</v>
      </c>
      <c r="X26" s="203">
        <v>136.94999999999999</v>
      </c>
      <c r="Y26" s="203">
        <v>172.1</v>
      </c>
      <c r="Z26" s="203">
        <v>175.1</v>
      </c>
      <c r="AA26" s="203">
        <v>219.88</v>
      </c>
      <c r="AB26" s="203">
        <v>210.25</v>
      </c>
      <c r="AC26" s="203">
        <v>198.26</v>
      </c>
      <c r="AD26" s="203">
        <v>227.77098139</v>
      </c>
      <c r="AE26" s="203">
        <v>226.92007227772649</v>
      </c>
      <c r="AF26" s="203">
        <v>247.06</v>
      </c>
      <c r="AG26" s="203">
        <v>260.02</v>
      </c>
      <c r="AH26" s="216">
        <v>407.36</v>
      </c>
      <c r="AI26" s="775">
        <v>260.22000000000003</v>
      </c>
      <c r="AJ26" s="208" t="s">
        <v>388</v>
      </c>
    </row>
    <row r="27" spans="1:36">
      <c r="A27" s="242" t="s">
        <v>383</v>
      </c>
      <c r="B27" s="225">
        <v>687</v>
      </c>
      <c r="C27" s="225">
        <v>696</v>
      </c>
      <c r="D27" s="225">
        <v>676</v>
      </c>
      <c r="E27" s="225">
        <v>1365</v>
      </c>
      <c r="F27" s="225">
        <v>1610</v>
      </c>
      <c r="G27" s="225">
        <v>2106</v>
      </c>
      <c r="H27" s="225">
        <v>2201</v>
      </c>
      <c r="I27" s="225">
        <v>1725</v>
      </c>
      <c r="J27" s="225">
        <v>2641</v>
      </c>
      <c r="K27" s="225">
        <v>4658</v>
      </c>
      <c r="L27" s="225">
        <v>7800</v>
      </c>
      <c r="M27" s="243" t="s">
        <v>437</v>
      </c>
      <c r="Q27" s="207" t="s">
        <v>438</v>
      </c>
      <c r="R27" s="213">
        <v>20.7</v>
      </c>
      <c r="S27" s="213">
        <v>28.6</v>
      </c>
      <c r="T27" s="213">
        <v>12</v>
      </c>
      <c r="U27" s="213">
        <v>0</v>
      </c>
      <c r="V27" s="203">
        <v>13.2797943887829</v>
      </c>
      <c r="W27" s="203">
        <v>30.405585671126303</v>
      </c>
      <c r="X27" s="203">
        <v>50.83</v>
      </c>
      <c r="Y27" s="203">
        <v>62.1</v>
      </c>
      <c r="Z27" s="203">
        <v>55.1</v>
      </c>
      <c r="AA27" s="203">
        <v>78.17</v>
      </c>
      <c r="AB27" s="203">
        <v>68</v>
      </c>
      <c r="AC27" s="203">
        <v>51.559999999999995</v>
      </c>
      <c r="AD27" s="203">
        <v>74.099999999999994</v>
      </c>
      <c r="AE27" s="203">
        <v>75.2258953877365</v>
      </c>
      <c r="AF27" s="203">
        <v>65.430000000000007</v>
      </c>
      <c r="AG27" s="203">
        <v>51.61</v>
      </c>
      <c r="AH27" s="216">
        <v>99.49</v>
      </c>
      <c r="AI27" s="775">
        <v>68.14</v>
      </c>
      <c r="AJ27" s="208" t="s">
        <v>389</v>
      </c>
    </row>
    <row r="28" spans="1:36">
      <c r="A28" s="239" t="s">
        <v>385</v>
      </c>
      <c r="B28" s="227">
        <v>227</v>
      </c>
      <c r="C28" s="227">
        <v>1750</v>
      </c>
      <c r="D28" s="227">
        <v>380</v>
      </c>
      <c r="E28" s="227">
        <v>270</v>
      </c>
      <c r="F28" s="227">
        <v>506</v>
      </c>
      <c r="G28" s="227">
        <v>1140</v>
      </c>
      <c r="H28" s="227">
        <v>1479</v>
      </c>
      <c r="I28" s="227">
        <v>1547</v>
      </c>
      <c r="J28" s="227">
        <v>980</v>
      </c>
      <c r="K28" s="227">
        <v>402</v>
      </c>
      <c r="L28" s="225">
        <v>0</v>
      </c>
      <c r="M28" s="240" t="s">
        <v>916</v>
      </c>
      <c r="Q28" s="207" t="s">
        <v>439</v>
      </c>
      <c r="R28" s="213">
        <v>23.9</v>
      </c>
      <c r="S28" s="213">
        <v>29.9</v>
      </c>
      <c r="T28" s="213">
        <v>43.6</v>
      </c>
      <c r="U28" s="213">
        <v>36.9</v>
      </c>
      <c r="V28" s="203">
        <v>51.466784000000004</v>
      </c>
      <c r="W28" s="203">
        <v>54.625788999999997</v>
      </c>
      <c r="X28" s="203">
        <v>86.12</v>
      </c>
      <c r="Y28" s="203">
        <v>110</v>
      </c>
      <c r="Z28" s="203">
        <v>120</v>
      </c>
      <c r="AA28" s="203">
        <v>141.69999999999999</v>
      </c>
      <c r="AB28" s="203">
        <v>142.25</v>
      </c>
      <c r="AC28" s="203">
        <v>146.69999999999999</v>
      </c>
      <c r="AD28" s="203">
        <v>153.67098139000001</v>
      </c>
      <c r="AE28" s="203">
        <v>151.69417688998999</v>
      </c>
      <c r="AF28" s="203">
        <v>181.63</v>
      </c>
      <c r="AG28" s="203">
        <v>208.42</v>
      </c>
      <c r="AH28" s="216">
        <v>307.87</v>
      </c>
      <c r="AI28" s="775">
        <v>192.08</v>
      </c>
      <c r="AJ28" s="208" t="s">
        <v>440</v>
      </c>
    </row>
    <row r="29" spans="1:36">
      <c r="A29" s="247" t="s">
        <v>539</v>
      </c>
      <c r="B29" s="224">
        <f>B30+B33</f>
        <v>12232.094499999999</v>
      </c>
      <c r="C29" s="224">
        <f t="shared" ref="C29:L29" si="7">C30+C33</f>
        <v>11394.4509</v>
      </c>
      <c r="D29" s="224">
        <f t="shared" si="7"/>
        <v>10836.539700000001</v>
      </c>
      <c r="E29" s="224">
        <f t="shared" si="7"/>
        <v>14472.1296</v>
      </c>
      <c r="F29" s="224">
        <f t="shared" si="7"/>
        <v>16859.868200000001</v>
      </c>
      <c r="G29" s="224">
        <f t="shared" si="7"/>
        <v>23313.199799999999</v>
      </c>
      <c r="H29" s="224">
        <f t="shared" si="7"/>
        <v>34114.144099999998</v>
      </c>
      <c r="I29" s="224">
        <f t="shared" si="7"/>
        <v>43628.726499999997</v>
      </c>
      <c r="J29" s="224">
        <f t="shared" si="7"/>
        <v>48922.792000000009</v>
      </c>
      <c r="K29" s="224">
        <f t="shared" si="7"/>
        <v>47278.387999999999</v>
      </c>
      <c r="L29" s="224">
        <f t="shared" si="7"/>
        <v>39500</v>
      </c>
      <c r="M29" s="248" t="s">
        <v>917</v>
      </c>
      <c r="Q29" s="207" t="s">
        <v>441</v>
      </c>
      <c r="R29" s="213">
        <v>3.8</v>
      </c>
      <c r="S29" s="213">
        <v>0</v>
      </c>
      <c r="T29" s="213">
        <v>0</v>
      </c>
      <c r="U29" s="213">
        <v>4.43</v>
      </c>
      <c r="V29" s="203">
        <v>3.347</v>
      </c>
      <c r="W29" s="203"/>
      <c r="X29" s="203">
        <v>11.82</v>
      </c>
      <c r="Y29" s="203">
        <v>0.1</v>
      </c>
      <c r="Z29" s="203">
        <v>0.1</v>
      </c>
      <c r="AA29" s="203">
        <v>2.93</v>
      </c>
      <c r="AB29" s="203">
        <v>5.75</v>
      </c>
      <c r="AC29" s="203">
        <v>24</v>
      </c>
      <c r="AD29" s="203">
        <v>7</v>
      </c>
      <c r="AE29" s="203">
        <v>7.7</v>
      </c>
      <c r="AF29" s="203">
        <v>0</v>
      </c>
      <c r="AG29" s="203">
        <v>1.95</v>
      </c>
      <c r="AH29" s="216">
        <v>1.91</v>
      </c>
      <c r="AI29" s="775">
        <v>-1.79</v>
      </c>
      <c r="AJ29" s="208" t="s">
        <v>442</v>
      </c>
    </row>
    <row r="30" spans="1:36">
      <c r="A30" s="244" t="s">
        <v>540</v>
      </c>
      <c r="B30" s="225">
        <f>SUM(B31:B32)</f>
        <v>12232.094499999999</v>
      </c>
      <c r="C30" s="225">
        <f t="shared" ref="C30:L30" si="8">SUM(C31:C32)</f>
        <v>11394.4509</v>
      </c>
      <c r="D30" s="225">
        <f t="shared" si="8"/>
        <v>10836.539700000001</v>
      </c>
      <c r="E30" s="225">
        <f t="shared" si="8"/>
        <v>14472.1296</v>
      </c>
      <c r="F30" s="225">
        <f t="shared" si="8"/>
        <v>16459.868200000001</v>
      </c>
      <c r="G30" s="225">
        <f t="shared" si="8"/>
        <v>21983.199799999999</v>
      </c>
      <c r="H30" s="225">
        <f t="shared" si="8"/>
        <v>33580.944100000001</v>
      </c>
      <c r="I30" s="225">
        <f t="shared" si="8"/>
        <v>43231.751499999998</v>
      </c>
      <c r="J30" s="225">
        <f t="shared" si="8"/>
        <v>47572.081000000006</v>
      </c>
      <c r="K30" s="225">
        <f t="shared" si="8"/>
        <v>47096.561999999998</v>
      </c>
      <c r="L30" s="225">
        <f t="shared" si="8"/>
        <v>36600</v>
      </c>
      <c r="M30" s="245" t="s">
        <v>918</v>
      </c>
      <c r="Q30" s="207" t="s">
        <v>443</v>
      </c>
      <c r="R30" s="213">
        <v>0</v>
      </c>
      <c r="S30" s="213">
        <v>0</v>
      </c>
      <c r="T30" s="213">
        <v>15</v>
      </c>
      <c r="U30" s="213">
        <v>16.55</v>
      </c>
      <c r="V30" s="203">
        <v>13.209340000000001</v>
      </c>
      <c r="W30" s="203">
        <v>9.8605059999999991</v>
      </c>
      <c r="X30" s="203">
        <v>10.79</v>
      </c>
      <c r="Y30" s="203">
        <v>11.8</v>
      </c>
      <c r="Z30" s="203">
        <v>12.43</v>
      </c>
      <c r="AA30" s="203">
        <v>11.92</v>
      </c>
      <c r="AB30" s="203">
        <v>12.43</v>
      </c>
      <c r="AC30" s="203">
        <v>3</v>
      </c>
      <c r="AD30" s="203">
        <v>12.226394000000001</v>
      </c>
      <c r="AE30" s="203">
        <v>12.866994</v>
      </c>
      <c r="AF30" s="203">
        <v>40</v>
      </c>
      <c r="AG30" s="203">
        <v>16.23</v>
      </c>
      <c r="AH30" s="216">
        <v>13.02</v>
      </c>
      <c r="AI30" s="775">
        <v>11.75</v>
      </c>
      <c r="AJ30" s="208" t="s">
        <v>444</v>
      </c>
    </row>
    <row r="31" spans="1:36">
      <c r="A31" s="242" t="s">
        <v>541</v>
      </c>
      <c r="B31" s="225">
        <v>3952.7945</v>
      </c>
      <c r="C31" s="225">
        <v>5279.3509000000004</v>
      </c>
      <c r="D31" s="225">
        <v>5177.7397000000001</v>
      </c>
      <c r="E31" s="225">
        <v>6437.6795999999995</v>
      </c>
      <c r="F31" s="225">
        <v>6558.5482000000002</v>
      </c>
      <c r="G31" s="225">
        <v>10963.149799999999</v>
      </c>
      <c r="H31" s="225">
        <v>22036.624100000001</v>
      </c>
      <c r="I31" s="225">
        <v>26410.8115</v>
      </c>
      <c r="J31" s="225">
        <v>28950.041000000001</v>
      </c>
      <c r="K31" s="225">
        <v>28620.721999999998</v>
      </c>
      <c r="L31" s="225">
        <v>21400</v>
      </c>
      <c r="M31" s="243" t="s">
        <v>919</v>
      </c>
      <c r="Q31" s="207" t="s">
        <v>445</v>
      </c>
      <c r="R31" s="213">
        <v>0</v>
      </c>
      <c r="S31" s="213">
        <v>0</v>
      </c>
      <c r="T31" s="213">
        <v>0</v>
      </c>
      <c r="U31" s="213">
        <v>0</v>
      </c>
      <c r="V31" s="203">
        <v>1.2806770000000007</v>
      </c>
      <c r="W31" s="203">
        <v>2.7281970000000038</v>
      </c>
      <c r="X31" s="203">
        <v>4.68</v>
      </c>
      <c r="Y31" s="203">
        <v>0.23</v>
      </c>
      <c r="Z31" s="203">
        <v>2.58</v>
      </c>
      <c r="AA31" s="203">
        <v>8.48</v>
      </c>
      <c r="AB31" s="203"/>
      <c r="AC31" s="203">
        <v>12.226394000000001</v>
      </c>
      <c r="AD31" s="203"/>
      <c r="AE31" s="203"/>
      <c r="AF31" s="203" t="s">
        <v>10</v>
      </c>
      <c r="AG31" s="203">
        <v>2.95</v>
      </c>
      <c r="AH31" s="216">
        <v>2.46</v>
      </c>
      <c r="AI31" s="775"/>
      <c r="AJ31" s="208" t="s">
        <v>446</v>
      </c>
    </row>
    <row r="32" spans="1:36">
      <c r="A32" s="242" t="s">
        <v>542</v>
      </c>
      <c r="B32" s="225">
        <v>8279.2999999999993</v>
      </c>
      <c r="C32" s="225">
        <v>6115.1</v>
      </c>
      <c r="D32" s="225">
        <v>5658.8</v>
      </c>
      <c r="E32" s="225">
        <v>8034.45</v>
      </c>
      <c r="F32" s="225">
        <v>9901.32</v>
      </c>
      <c r="G32" s="225">
        <v>11020.05</v>
      </c>
      <c r="H32" s="225">
        <v>11544.32</v>
      </c>
      <c r="I32" s="225">
        <v>16820.939999999999</v>
      </c>
      <c r="J32" s="225">
        <v>18622.04</v>
      </c>
      <c r="K32" s="225">
        <v>18475.84</v>
      </c>
      <c r="L32" s="225">
        <v>15200</v>
      </c>
      <c r="M32" s="243" t="s">
        <v>920</v>
      </c>
      <c r="Q32" s="207" t="s">
        <v>447</v>
      </c>
      <c r="R32" s="213">
        <v>-52.9</v>
      </c>
      <c r="S32" s="213">
        <v>-49.8</v>
      </c>
      <c r="T32" s="213">
        <v>-79.7</v>
      </c>
      <c r="U32" s="213">
        <v>-45.6</v>
      </c>
      <c r="V32" s="203">
        <v>-30.314720612139183</v>
      </c>
      <c r="W32" s="203">
        <v>-30.508098835235444</v>
      </c>
      <c r="X32" s="203">
        <v>-80.400000000000006</v>
      </c>
      <c r="Y32" s="203">
        <v>-10.01</v>
      </c>
      <c r="Z32" s="203">
        <v>-62.74</v>
      </c>
      <c r="AA32" s="203">
        <v>-94.98</v>
      </c>
      <c r="AB32" s="203">
        <v>-51.44</v>
      </c>
      <c r="AC32" s="203">
        <v>0</v>
      </c>
      <c r="AD32" s="203">
        <v>-49.471186315000182</v>
      </c>
      <c r="AE32" s="203"/>
      <c r="AF32" s="203">
        <v>-208.13</v>
      </c>
      <c r="AG32" s="203">
        <v>11.32</v>
      </c>
      <c r="AH32" s="216">
        <v>220.66</v>
      </c>
      <c r="AI32" s="775">
        <v>-172.94</v>
      </c>
      <c r="AJ32" s="208" t="s">
        <v>448</v>
      </c>
    </row>
    <row r="33" spans="1:36">
      <c r="A33" s="244" t="s">
        <v>391</v>
      </c>
      <c r="B33" s="225">
        <f t="shared" ref="B33:L33" si="9">SUM(B34:B35)</f>
        <v>0</v>
      </c>
      <c r="C33" s="225">
        <f t="shared" si="9"/>
        <v>0</v>
      </c>
      <c r="D33" s="225">
        <f t="shared" si="9"/>
        <v>0</v>
      </c>
      <c r="E33" s="225">
        <f t="shared" si="9"/>
        <v>0</v>
      </c>
      <c r="F33" s="225">
        <f t="shared" si="9"/>
        <v>400</v>
      </c>
      <c r="G33" s="225">
        <f t="shared" si="9"/>
        <v>1330</v>
      </c>
      <c r="H33" s="225">
        <f t="shared" si="9"/>
        <v>533.20000000000005</v>
      </c>
      <c r="I33" s="225">
        <f t="shared" si="9"/>
        <v>396.97500000000002</v>
      </c>
      <c r="J33" s="225">
        <f t="shared" si="9"/>
        <v>1350.711</v>
      </c>
      <c r="K33" s="225">
        <f>SUM(K34:K35)</f>
        <v>181.82599999999999</v>
      </c>
      <c r="L33" s="225">
        <f t="shared" si="9"/>
        <v>2900</v>
      </c>
      <c r="M33" s="245" t="s">
        <v>921</v>
      </c>
      <c r="Q33" s="207" t="s">
        <v>449</v>
      </c>
      <c r="R33" s="213">
        <v>199.6</v>
      </c>
      <c r="S33" s="213">
        <v>-33.5</v>
      </c>
      <c r="T33" s="213">
        <v>-76.5</v>
      </c>
      <c r="U33" s="213">
        <v>-43.25</v>
      </c>
      <c r="V33" s="203">
        <v>-20.453502280779674</v>
      </c>
      <c r="W33" s="203">
        <v>-22.803010834958343</v>
      </c>
      <c r="X33" s="203">
        <v>-73.03</v>
      </c>
      <c r="Y33" s="203">
        <v>-33.81</v>
      </c>
      <c r="Z33" s="203">
        <v>-49.74</v>
      </c>
      <c r="AA33" s="203">
        <v>-66.69</v>
      </c>
      <c r="AB33" s="203">
        <v>-11.26</v>
      </c>
      <c r="AC33" s="203"/>
      <c r="AD33" s="203">
        <v>-35.471186315000182</v>
      </c>
      <c r="AE33" s="203"/>
      <c r="AF33" s="203">
        <v>-160</v>
      </c>
      <c r="AG33" s="203">
        <v>64.37</v>
      </c>
      <c r="AH33" s="216">
        <v>157.13999999999999</v>
      </c>
      <c r="AI33" s="775">
        <v>-118.21</v>
      </c>
      <c r="AJ33" s="208" t="s">
        <v>450</v>
      </c>
    </row>
    <row r="34" spans="1:36">
      <c r="A34" s="242" t="s">
        <v>393</v>
      </c>
      <c r="B34" s="228" t="s">
        <v>10</v>
      </c>
      <c r="C34" s="228" t="s">
        <v>10</v>
      </c>
      <c r="D34" s="228" t="s">
        <v>10</v>
      </c>
      <c r="E34" s="228" t="s">
        <v>10</v>
      </c>
      <c r="F34" s="227">
        <v>400</v>
      </c>
      <c r="G34" s="227">
        <v>1330</v>
      </c>
      <c r="H34" s="227">
        <v>434</v>
      </c>
      <c r="I34" s="227">
        <v>235</v>
      </c>
      <c r="J34" s="227">
        <v>0</v>
      </c>
      <c r="K34" s="227">
        <v>0</v>
      </c>
      <c r="L34" s="227">
        <v>0</v>
      </c>
      <c r="M34" s="243" t="s">
        <v>922</v>
      </c>
      <c r="Q34" s="207" t="s">
        <v>451</v>
      </c>
      <c r="R34" s="213">
        <v>-24.4</v>
      </c>
      <c r="S34" s="213">
        <v>-16.8</v>
      </c>
      <c r="T34" s="213">
        <v>-62.3</v>
      </c>
      <c r="U34" s="213">
        <v>-40.5</v>
      </c>
      <c r="V34" s="203">
        <v>-9.4903789516399968</v>
      </c>
      <c r="W34" s="203">
        <v>8.2639408640000056</v>
      </c>
      <c r="X34" s="203">
        <v>-19.690000000000001</v>
      </c>
      <c r="Y34" s="203">
        <v>-82.74</v>
      </c>
      <c r="Z34" s="203">
        <v>3.31</v>
      </c>
      <c r="AA34" s="203">
        <v>-4.1500000000000004</v>
      </c>
      <c r="AB34" s="203">
        <v>29.76</v>
      </c>
      <c r="AC34" s="203">
        <v>31.371659295198299</v>
      </c>
      <c r="AD34" s="203">
        <v>44.628813684999841</v>
      </c>
      <c r="AE34" s="203">
        <v>35.998688771447689</v>
      </c>
      <c r="AF34" s="203">
        <v>-129.69999999999999</v>
      </c>
      <c r="AG34" s="203">
        <v>60.88</v>
      </c>
      <c r="AH34" s="216">
        <v>98.26</v>
      </c>
      <c r="AI34" s="775">
        <v>-223.39</v>
      </c>
      <c r="AJ34" s="208" t="s">
        <v>452</v>
      </c>
    </row>
    <row r="35" spans="1:36">
      <c r="A35" s="242" t="s">
        <v>396</v>
      </c>
      <c r="B35" s="228" t="s">
        <v>10</v>
      </c>
      <c r="C35" s="228" t="s">
        <v>10</v>
      </c>
      <c r="D35" s="228" t="s">
        <v>10</v>
      </c>
      <c r="E35" s="228" t="s">
        <v>10</v>
      </c>
      <c r="F35" s="228" t="s">
        <v>10</v>
      </c>
      <c r="G35" s="228" t="s">
        <v>10</v>
      </c>
      <c r="H35" s="227">
        <v>99.2</v>
      </c>
      <c r="I35" s="227">
        <v>161.97499999999999</v>
      </c>
      <c r="J35" s="227">
        <v>1350.711</v>
      </c>
      <c r="K35" s="227">
        <v>181.82599999999999</v>
      </c>
      <c r="L35" s="227">
        <v>2900</v>
      </c>
      <c r="M35" s="243" t="s">
        <v>395</v>
      </c>
      <c r="Q35" s="207" t="s">
        <v>453</v>
      </c>
      <c r="R35" s="213">
        <v>60.5</v>
      </c>
      <c r="S35" s="213">
        <v>19.899999999999999</v>
      </c>
      <c r="T35" s="213">
        <v>17.399999999999999</v>
      </c>
      <c r="U35" s="213">
        <v>13.7</v>
      </c>
      <c r="V35" s="203">
        <v>13.452023610324501</v>
      </c>
      <c r="W35" s="203">
        <v>22.895236247899998</v>
      </c>
      <c r="X35" s="203">
        <v>21.48</v>
      </c>
      <c r="Y35" s="203">
        <v>20</v>
      </c>
      <c r="Z35" s="203">
        <v>25</v>
      </c>
      <c r="AA35" s="203">
        <v>13.21</v>
      </c>
      <c r="AB35" s="203">
        <v>12</v>
      </c>
      <c r="AC35" s="203">
        <v>20</v>
      </c>
      <c r="AD35" s="203">
        <v>31.2</v>
      </c>
      <c r="AE35" s="203">
        <v>30</v>
      </c>
      <c r="AF35" s="203">
        <v>10</v>
      </c>
      <c r="AG35" s="203">
        <v>13.67</v>
      </c>
      <c r="AH35" s="216">
        <v>22.44</v>
      </c>
      <c r="AI35" s="775">
        <v>-8</v>
      </c>
      <c r="AJ35" s="208" t="s">
        <v>454</v>
      </c>
    </row>
    <row r="36" spans="1:36">
      <c r="A36" s="235" t="s">
        <v>543</v>
      </c>
      <c r="B36" s="229">
        <f t="shared" ref="B36:L36" si="10">B6-B17</f>
        <v>-13372.324000000001</v>
      </c>
      <c r="C36" s="229">
        <f t="shared" si="10"/>
        <v>-4319.2180000000008</v>
      </c>
      <c r="D36" s="229">
        <f t="shared" si="10"/>
        <v>-5437.9580000000133</v>
      </c>
      <c r="E36" s="229">
        <f t="shared" si="10"/>
        <v>-10725.574000000001</v>
      </c>
      <c r="F36" s="229">
        <f t="shared" si="10"/>
        <v>-14163.124000000003</v>
      </c>
      <c r="G36" s="229">
        <f t="shared" si="10"/>
        <v>-23044.878828399997</v>
      </c>
      <c r="H36" s="229">
        <f t="shared" si="10"/>
        <v>-41087.943231999998</v>
      </c>
      <c r="I36" s="229">
        <f t="shared" si="10"/>
        <v>-22545.552200000006</v>
      </c>
      <c r="J36" s="229">
        <f t="shared" si="10"/>
        <v>-55553.481000000014</v>
      </c>
      <c r="K36" s="229">
        <f t="shared" si="10"/>
        <v>-31644.249505000014</v>
      </c>
      <c r="L36" s="229">
        <f t="shared" si="10"/>
        <v>-45100.33</v>
      </c>
      <c r="M36" s="251" t="s">
        <v>456</v>
      </c>
      <c r="Q36" s="207" t="s">
        <v>455</v>
      </c>
      <c r="R36" s="213">
        <v>7.6</v>
      </c>
      <c r="S36" s="213">
        <v>-29.9</v>
      </c>
      <c r="T36" s="213">
        <v>-62.1</v>
      </c>
      <c r="U36" s="213">
        <v>-31.89</v>
      </c>
      <c r="V36" s="203">
        <v>-16.862697001814681</v>
      </c>
      <c r="W36" s="203">
        <v>-7.6128625873354459</v>
      </c>
      <c r="X36" s="203">
        <v>-58.92</v>
      </c>
      <c r="Y36" s="203">
        <v>-30.01</v>
      </c>
      <c r="Z36" s="203">
        <v>-37.74</v>
      </c>
      <c r="AA36" s="203">
        <v>-81.78</v>
      </c>
      <c r="AB36" s="203">
        <v>-39.44</v>
      </c>
      <c r="AC36" s="203">
        <v>-14.188340704801703</v>
      </c>
      <c r="AD36" s="203"/>
      <c r="AE36" s="203"/>
      <c r="AF36" s="203">
        <v>-198.13</v>
      </c>
      <c r="AG36" s="203">
        <v>2.35</v>
      </c>
      <c r="AH36" s="216">
        <v>198.21</v>
      </c>
      <c r="AI36" s="775">
        <v>-149.32</v>
      </c>
      <c r="AJ36" s="208" t="s">
        <v>456</v>
      </c>
    </row>
    <row r="37" spans="1:36">
      <c r="A37" s="237" t="s">
        <v>544</v>
      </c>
      <c r="B37" s="230">
        <f t="shared" ref="B37:L37" si="11">B5-B17</f>
        <v>-9216.3240000000005</v>
      </c>
      <c r="C37" s="230">
        <f t="shared" si="11"/>
        <v>-938.21800000000076</v>
      </c>
      <c r="D37" s="230">
        <f t="shared" si="11"/>
        <v>-4311.9580000000133</v>
      </c>
      <c r="E37" s="230">
        <f t="shared" si="11"/>
        <v>-7685.5740000000005</v>
      </c>
      <c r="F37" s="230">
        <f t="shared" si="11"/>
        <v>-8329.1240000000034</v>
      </c>
      <c r="G37" s="230">
        <f t="shared" si="11"/>
        <v>-15533.027828399994</v>
      </c>
      <c r="H37" s="230">
        <f t="shared" si="11"/>
        <v>-29603.827231999996</v>
      </c>
      <c r="I37" s="230">
        <f t="shared" si="11"/>
        <v>-9009.1071999999986</v>
      </c>
      <c r="J37" s="230">
        <f t="shared" si="11"/>
        <v>-39805.526000000013</v>
      </c>
      <c r="K37" s="230">
        <f t="shared" si="11"/>
        <v>-19155.31650500001</v>
      </c>
      <c r="L37" s="230">
        <f t="shared" si="11"/>
        <v>-34800.330000000016</v>
      </c>
      <c r="M37" s="252" t="s">
        <v>458</v>
      </c>
      <c r="Q37" s="207" t="s">
        <v>457</v>
      </c>
      <c r="R37" s="213">
        <v>260.10000000000002</v>
      </c>
      <c r="S37" s="213">
        <v>-13.6</v>
      </c>
      <c r="T37" s="213">
        <v>-59.1</v>
      </c>
      <c r="U37" s="213">
        <v>-29.55</v>
      </c>
      <c r="V37" s="203">
        <v>-7.0014786704551852</v>
      </c>
      <c r="W37" s="203">
        <v>9.2225412941672857E-2</v>
      </c>
      <c r="X37" s="203">
        <v>-51.55</v>
      </c>
      <c r="Y37" s="203">
        <v>-53.81</v>
      </c>
      <c r="Z37" s="203">
        <v>-24.74</v>
      </c>
      <c r="AA37" s="203">
        <v>-53.48</v>
      </c>
      <c r="AB37" s="203">
        <v>0.74</v>
      </c>
      <c r="AC37" s="203">
        <v>-2.5283407048017033</v>
      </c>
      <c r="AD37" s="203"/>
      <c r="AE37" s="203"/>
      <c r="AF37" s="203">
        <v>-150</v>
      </c>
      <c r="AG37" s="203">
        <v>78.040000000000006</v>
      </c>
      <c r="AH37" s="216">
        <v>134.69</v>
      </c>
      <c r="AI37" s="775">
        <v>-94.59</v>
      </c>
      <c r="AJ37" s="208" t="s">
        <v>458</v>
      </c>
    </row>
    <row r="38" spans="1:36">
      <c r="A38" s="235" t="s">
        <v>459</v>
      </c>
      <c r="B38" s="229">
        <f>SUM(B39,B48,SUM(B51:B54))</f>
        <v>9215.6109999999971</v>
      </c>
      <c r="C38" s="229">
        <f t="shared" ref="C38:L38" si="12">SUM(C39,C48,SUM(C51:C54))</f>
        <v>938.14799999999923</v>
      </c>
      <c r="D38" s="229">
        <f t="shared" si="12"/>
        <v>4311.5380000000096</v>
      </c>
      <c r="E38" s="229">
        <f t="shared" si="12"/>
        <v>7686.427559502923</v>
      </c>
      <c r="F38" s="229">
        <f t="shared" si="12"/>
        <v>8328.8990614364338</v>
      </c>
      <c r="G38" s="229">
        <f t="shared" si="12"/>
        <v>15533.282000000001</v>
      </c>
      <c r="H38" s="229">
        <f t="shared" si="12"/>
        <v>29703.201800000003</v>
      </c>
      <c r="I38" s="229">
        <f t="shared" si="12"/>
        <v>9009.2196000000185</v>
      </c>
      <c r="J38" s="229">
        <f t="shared" si="12"/>
        <v>39805.828999999983</v>
      </c>
      <c r="K38" s="229">
        <f t="shared" si="12"/>
        <v>19154.862500000003</v>
      </c>
      <c r="L38" s="229">
        <f t="shared" si="12"/>
        <v>34800</v>
      </c>
      <c r="M38" s="251" t="s">
        <v>460</v>
      </c>
      <c r="Q38" s="207" t="s">
        <v>459</v>
      </c>
      <c r="R38" s="213">
        <v>-260.10000000000002</v>
      </c>
      <c r="S38" s="213">
        <v>13</v>
      </c>
      <c r="T38" s="213">
        <v>59.1</v>
      </c>
      <c r="U38" s="213">
        <v>29.55</v>
      </c>
      <c r="V38" s="203">
        <v>7.0014786704551852</v>
      </c>
      <c r="W38" s="203">
        <v>-9.2225412941672857E-2</v>
      </c>
      <c r="X38" s="203">
        <v>51.55</v>
      </c>
      <c r="Y38" s="203">
        <v>53.81</v>
      </c>
      <c r="Z38" s="203">
        <v>24.74</v>
      </c>
      <c r="AA38" s="203">
        <v>53.48</v>
      </c>
      <c r="AB38" s="203">
        <v>-0.74</v>
      </c>
      <c r="AC38" s="203">
        <v>2.5283407048017033</v>
      </c>
      <c r="AD38" s="203">
        <v>-17.399999999999999</v>
      </c>
      <c r="AE38" s="203"/>
      <c r="AF38" s="203">
        <v>150</v>
      </c>
      <c r="AG38" s="203">
        <v>78.040000000000006</v>
      </c>
      <c r="AH38" s="216">
        <v>134.69</v>
      </c>
      <c r="AI38" s="775">
        <v>94.59</v>
      </c>
      <c r="AJ38" s="208" t="s">
        <v>460</v>
      </c>
    </row>
    <row r="39" spans="1:36">
      <c r="A39" s="237" t="s">
        <v>545</v>
      </c>
      <c r="B39" s="230">
        <f>B40+B44</f>
        <v>543</v>
      </c>
      <c r="C39" s="230">
        <f t="shared" ref="C39:L39" si="13">C40+C44</f>
        <v>-65.850000000000364</v>
      </c>
      <c r="D39" s="230">
        <f t="shared" si="13"/>
        <v>-187.26000000000022</v>
      </c>
      <c r="E39" s="230">
        <f t="shared" si="13"/>
        <v>-5165.8500000000004</v>
      </c>
      <c r="F39" s="230">
        <f t="shared" si="13"/>
        <v>-5722.72</v>
      </c>
      <c r="G39" s="230">
        <f t="shared" si="13"/>
        <v>1061.4599999999991</v>
      </c>
      <c r="H39" s="230">
        <f t="shared" si="13"/>
        <v>-879.45000000000073</v>
      </c>
      <c r="I39" s="230">
        <f t="shared" si="13"/>
        <v>2434.2799999999988</v>
      </c>
      <c r="J39" s="230">
        <f t="shared" si="13"/>
        <v>748.30999999999949</v>
      </c>
      <c r="K39" s="230">
        <f t="shared" si="13"/>
        <v>-52.149999999999636</v>
      </c>
      <c r="L39" s="230">
        <f t="shared" si="13"/>
        <v>-3800</v>
      </c>
      <c r="M39" s="248" t="s">
        <v>923</v>
      </c>
      <c r="Q39" s="207" t="s">
        <v>461</v>
      </c>
      <c r="R39" s="213">
        <v>-38.700000000000003</v>
      </c>
      <c r="S39" s="213">
        <v>3</v>
      </c>
      <c r="T39" s="213">
        <v>47.1</v>
      </c>
      <c r="U39" s="213">
        <v>44.94</v>
      </c>
      <c r="V39" s="203">
        <v>-5.8650083589700035</v>
      </c>
      <c r="W39" s="203">
        <v>-11.690099325750001</v>
      </c>
      <c r="X39" s="203">
        <v>2.57</v>
      </c>
      <c r="Y39" s="203">
        <v>-86.06</v>
      </c>
      <c r="Z39" s="203">
        <v>28.24</v>
      </c>
      <c r="AA39" s="203">
        <v>-5.23</v>
      </c>
      <c r="AB39" s="203">
        <v>-25.54</v>
      </c>
      <c r="AC39" s="203">
        <v>22.65</v>
      </c>
      <c r="AD39" s="203">
        <v>-5</v>
      </c>
      <c r="AE39" s="203"/>
      <c r="AF39" s="203" t="s">
        <v>462</v>
      </c>
      <c r="AG39" s="203">
        <v>100.71</v>
      </c>
      <c r="AH39" s="216">
        <v>205.73</v>
      </c>
      <c r="AI39" s="775">
        <v>164.34</v>
      </c>
      <c r="AJ39" s="208" t="s">
        <v>463</v>
      </c>
    </row>
    <row r="40" spans="1:36">
      <c r="A40" s="253" t="s">
        <v>546</v>
      </c>
      <c r="B40" s="227">
        <v>0</v>
      </c>
      <c r="C40" s="227">
        <v>0</v>
      </c>
      <c r="D40" s="227">
        <v>0</v>
      </c>
      <c r="E40" s="227">
        <v>0</v>
      </c>
      <c r="F40" s="227">
        <v>0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45" t="s">
        <v>423</v>
      </c>
      <c r="Q40" s="207" t="s">
        <v>464</v>
      </c>
      <c r="R40" s="213">
        <v>-47.7</v>
      </c>
      <c r="S40" s="213">
        <v>7.6</v>
      </c>
      <c r="T40" s="213">
        <v>19</v>
      </c>
      <c r="U40" s="213">
        <v>14.29</v>
      </c>
      <c r="V40" s="203">
        <v>5.6367565810299975</v>
      </c>
      <c r="W40" s="203">
        <v>-12.506421325750004</v>
      </c>
      <c r="X40" s="203">
        <v>-54.73</v>
      </c>
      <c r="Y40" s="203">
        <v>-31.02</v>
      </c>
      <c r="Z40" s="203">
        <v>33.24</v>
      </c>
      <c r="AA40" s="203">
        <v>-20.27</v>
      </c>
      <c r="AB40" s="203">
        <v>-13.04</v>
      </c>
      <c r="AC40" s="203">
        <v>10.65</v>
      </c>
      <c r="AD40" s="203">
        <v>-3</v>
      </c>
      <c r="AE40" s="203"/>
      <c r="AF40" s="203" t="s">
        <v>465</v>
      </c>
      <c r="AG40" s="203"/>
      <c r="AH40" s="216">
        <v>58.74</v>
      </c>
      <c r="AI40" s="775">
        <v>164.45</v>
      </c>
      <c r="AJ40" s="208" t="s">
        <v>466</v>
      </c>
    </row>
    <row r="41" spans="1:36">
      <c r="A41" s="253" t="s">
        <v>547</v>
      </c>
      <c r="B41" s="227">
        <v>0</v>
      </c>
      <c r="C41" s="227">
        <v>0</v>
      </c>
      <c r="D41" s="227">
        <v>0</v>
      </c>
      <c r="E41" s="227">
        <v>0</v>
      </c>
      <c r="F41" s="227">
        <v>0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/>
      <c r="M41" s="245"/>
      <c r="Q41" s="207" t="s">
        <v>467</v>
      </c>
      <c r="R41" s="213">
        <v>-27.3</v>
      </c>
      <c r="S41" s="213">
        <v>-0.2</v>
      </c>
      <c r="T41" s="213">
        <v>22.2</v>
      </c>
      <c r="U41" s="213">
        <v>11.25</v>
      </c>
      <c r="V41" s="203">
        <v>-10.166278496970001</v>
      </c>
      <c r="W41" s="203">
        <v>8.3531996742499963</v>
      </c>
      <c r="X41" s="203">
        <v>-64.69</v>
      </c>
      <c r="Y41" s="203">
        <v>-5</v>
      </c>
      <c r="Z41" s="203">
        <v>33.24</v>
      </c>
      <c r="AA41" s="203">
        <v>4.45</v>
      </c>
      <c r="AB41" s="203">
        <v>-0.54</v>
      </c>
      <c r="AC41" s="203">
        <v>3.65</v>
      </c>
      <c r="AD41" s="203">
        <v>-1.3</v>
      </c>
      <c r="AE41" s="203"/>
      <c r="AF41" s="203" t="s">
        <v>468</v>
      </c>
      <c r="AG41" s="203">
        <v>59.55</v>
      </c>
      <c r="AH41" s="216">
        <v>29.82</v>
      </c>
      <c r="AI41" s="775">
        <v>5</v>
      </c>
      <c r="AJ41" s="208" t="s">
        <v>469</v>
      </c>
    </row>
    <row r="42" spans="1:36">
      <c r="A42" s="253" t="s">
        <v>548</v>
      </c>
      <c r="B42" s="227">
        <v>0</v>
      </c>
      <c r="C42" s="227">
        <v>0</v>
      </c>
      <c r="D42" s="227">
        <v>0</v>
      </c>
      <c r="E42" s="227">
        <v>0</v>
      </c>
      <c r="F42" s="227">
        <v>0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/>
      <c r="M42" s="245"/>
      <c r="Q42" s="207" t="s">
        <v>470</v>
      </c>
      <c r="R42" s="213">
        <v>-27.3</v>
      </c>
      <c r="S42" s="213">
        <v>-0.2</v>
      </c>
      <c r="T42" s="213">
        <v>22.2</v>
      </c>
      <c r="U42" s="213">
        <v>-584</v>
      </c>
      <c r="V42" s="203">
        <v>-5.7465123174199997</v>
      </c>
      <c r="W42" s="203">
        <v>8.4707620811470701</v>
      </c>
      <c r="X42" s="203">
        <v>-63.78</v>
      </c>
      <c r="Y42" s="203"/>
      <c r="Z42" s="203"/>
      <c r="AA42" s="203">
        <v>8.4600000000000009</v>
      </c>
      <c r="AB42" s="203"/>
      <c r="AC42" s="203"/>
      <c r="AD42" s="203"/>
      <c r="AE42" s="203"/>
      <c r="AF42" s="203"/>
      <c r="AG42" s="203"/>
      <c r="AH42" s="216"/>
      <c r="AI42" s="775"/>
      <c r="AJ42" s="208" t="s">
        <v>471</v>
      </c>
    </row>
    <row r="43" spans="1:36">
      <c r="A43" s="253" t="s">
        <v>549</v>
      </c>
      <c r="B43" s="227">
        <v>0</v>
      </c>
      <c r="C43" s="227">
        <v>0</v>
      </c>
      <c r="D43" s="227">
        <v>0</v>
      </c>
      <c r="E43" s="227">
        <v>0</v>
      </c>
      <c r="F43" s="227">
        <v>0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/>
      <c r="M43" s="245"/>
      <c r="Q43" s="207" t="s">
        <v>472</v>
      </c>
      <c r="R43" s="213"/>
      <c r="S43" s="213"/>
      <c r="T43" s="213"/>
      <c r="U43" s="21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16"/>
      <c r="AI43" s="775"/>
      <c r="AJ43" s="208"/>
    </row>
    <row r="44" spans="1:36">
      <c r="A44" s="253" t="s">
        <v>550</v>
      </c>
      <c r="B44" s="227">
        <f>SUM(B45:B47)</f>
        <v>543</v>
      </c>
      <c r="C44" s="227">
        <f t="shared" ref="C44:L44" si="14">SUM(C45:C47)</f>
        <v>-65.850000000000364</v>
      </c>
      <c r="D44" s="227">
        <f t="shared" si="14"/>
        <v>-187.26000000000022</v>
      </c>
      <c r="E44" s="227">
        <f t="shared" si="14"/>
        <v>-5165.8500000000004</v>
      </c>
      <c r="F44" s="227">
        <f t="shared" si="14"/>
        <v>-5722.72</v>
      </c>
      <c r="G44" s="227">
        <f t="shared" si="14"/>
        <v>1061.4599999999991</v>
      </c>
      <c r="H44" s="227">
        <f t="shared" si="14"/>
        <v>-879.45000000000073</v>
      </c>
      <c r="I44" s="227">
        <f t="shared" si="14"/>
        <v>2434.2799999999988</v>
      </c>
      <c r="J44" s="227">
        <f t="shared" si="14"/>
        <v>748.30999999999949</v>
      </c>
      <c r="K44" s="227">
        <f t="shared" si="14"/>
        <v>-52.149999999999636</v>
      </c>
      <c r="L44" s="227">
        <f t="shared" si="14"/>
        <v>-3800</v>
      </c>
      <c r="M44" s="245" t="s">
        <v>493</v>
      </c>
      <c r="Q44" s="207" t="s">
        <v>473</v>
      </c>
      <c r="R44" s="213">
        <v>-20.3</v>
      </c>
      <c r="S44" s="213">
        <v>7.9</v>
      </c>
      <c r="T44" s="213">
        <v>12.5</v>
      </c>
      <c r="U44" s="213">
        <v>3.04</v>
      </c>
      <c r="V44" s="203">
        <v>15.803035077999999</v>
      </c>
      <c r="W44" s="203">
        <v>-20.859621000000001</v>
      </c>
      <c r="X44" s="203">
        <v>9.76</v>
      </c>
      <c r="Y44" s="203">
        <v>-26.02</v>
      </c>
      <c r="Z44" s="203">
        <v>-12</v>
      </c>
      <c r="AA44" s="203">
        <v>-24.72</v>
      </c>
      <c r="AB44" s="203">
        <v>-12.5</v>
      </c>
      <c r="AC44" s="203">
        <v>7</v>
      </c>
      <c r="AD44" s="203">
        <v>-1.7000000000000002</v>
      </c>
      <c r="AE44" s="203"/>
      <c r="AF44" s="203">
        <v>10</v>
      </c>
      <c r="AG44" s="203">
        <v>4.1100000000000003</v>
      </c>
      <c r="AH44" s="216">
        <v>28.92</v>
      </c>
      <c r="AI44" s="775">
        <v>26.92</v>
      </c>
      <c r="AJ44" s="208" t="s">
        <v>474</v>
      </c>
    </row>
    <row r="45" spans="1:36">
      <c r="A45" s="253" t="s">
        <v>551</v>
      </c>
      <c r="B45" s="227">
        <v>5483</v>
      </c>
      <c r="C45" s="227">
        <v>4664.1499999999996</v>
      </c>
      <c r="D45" s="227">
        <v>4612.74</v>
      </c>
      <c r="E45" s="227">
        <v>5674.15</v>
      </c>
      <c r="F45" s="227">
        <v>7187.28</v>
      </c>
      <c r="G45" s="227">
        <v>7341.46</v>
      </c>
      <c r="H45" s="227">
        <v>8300.5499999999993</v>
      </c>
      <c r="I45" s="227">
        <v>12924.28</v>
      </c>
      <c r="J45" s="227">
        <v>13838.31</v>
      </c>
      <c r="K45" s="227">
        <v>14187.85</v>
      </c>
      <c r="L45" s="227">
        <v>12500</v>
      </c>
      <c r="M45" s="243" t="s">
        <v>924</v>
      </c>
      <c r="Q45" s="207" t="s">
        <v>475</v>
      </c>
      <c r="R45" s="213">
        <v>4.5999999999999996</v>
      </c>
      <c r="S45" s="213">
        <v>5.5</v>
      </c>
      <c r="T45" s="213">
        <v>14.8</v>
      </c>
      <c r="U45" s="213">
        <v>3.04</v>
      </c>
      <c r="V45" s="203">
        <v>-2.3650000000000002</v>
      </c>
      <c r="W45" s="203">
        <v>9.7639999999999993</v>
      </c>
      <c r="X45" s="203">
        <v>-1.31</v>
      </c>
      <c r="Y45" s="203">
        <v>8</v>
      </c>
      <c r="Z45" s="203">
        <v>-5</v>
      </c>
      <c r="AA45" s="203">
        <v>8.8699999999999992</v>
      </c>
      <c r="AB45" s="203">
        <v>-12.5</v>
      </c>
      <c r="AC45" s="203">
        <v>12</v>
      </c>
      <c r="AD45" s="203">
        <v>-2</v>
      </c>
      <c r="AE45" s="203"/>
      <c r="AF45" s="203" t="s">
        <v>10</v>
      </c>
      <c r="AG45" s="203">
        <v>7.74</v>
      </c>
      <c r="AH45" s="216">
        <v>0.59</v>
      </c>
      <c r="AI45" s="775">
        <v>-0.82</v>
      </c>
      <c r="AJ45" s="208" t="s">
        <v>476</v>
      </c>
    </row>
    <row r="46" spans="1:36">
      <c r="A46" s="253" t="s">
        <v>552</v>
      </c>
      <c r="B46" s="227">
        <v>1940</v>
      </c>
      <c r="C46" s="227">
        <v>2840</v>
      </c>
      <c r="D46" s="227">
        <v>3860</v>
      </c>
      <c r="E46" s="227">
        <v>740</v>
      </c>
      <c r="F46" s="227">
        <v>0</v>
      </c>
      <c r="G46" s="227">
        <v>7180</v>
      </c>
      <c r="H46" s="227">
        <v>4690</v>
      </c>
      <c r="I46" s="227">
        <v>4830</v>
      </c>
      <c r="J46" s="227">
        <v>1830</v>
      </c>
      <c r="K46" s="227">
        <v>0</v>
      </c>
      <c r="L46" s="227">
        <v>0</v>
      </c>
      <c r="M46" s="243" t="s">
        <v>925</v>
      </c>
      <c r="Q46" s="207" t="s">
        <v>477</v>
      </c>
      <c r="R46" s="213">
        <v>22.2</v>
      </c>
      <c r="S46" s="213">
        <v>0</v>
      </c>
      <c r="T46" s="213" t="s">
        <v>13</v>
      </c>
      <c r="U46" s="21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16"/>
      <c r="AI46" s="775"/>
      <c r="AJ46" s="208"/>
    </row>
    <row r="47" spans="1:36">
      <c r="A47" s="253" t="s">
        <v>553</v>
      </c>
      <c r="B47" s="227">
        <v>-6880</v>
      </c>
      <c r="C47" s="227">
        <v>-7570</v>
      </c>
      <c r="D47" s="227">
        <v>-8660</v>
      </c>
      <c r="E47" s="227">
        <v>-11580</v>
      </c>
      <c r="F47" s="227">
        <v>-12910</v>
      </c>
      <c r="G47" s="227">
        <v>-13460</v>
      </c>
      <c r="H47" s="227">
        <v>-13870</v>
      </c>
      <c r="I47" s="227">
        <v>-15320</v>
      </c>
      <c r="J47" s="227">
        <v>-14920</v>
      </c>
      <c r="K47" s="227">
        <v>-14240</v>
      </c>
      <c r="L47" s="227">
        <v>-16300</v>
      </c>
      <c r="M47" s="243" t="s">
        <v>926</v>
      </c>
      <c r="Q47" s="207" t="s">
        <v>478</v>
      </c>
      <c r="R47" s="213">
        <v>-17.8</v>
      </c>
      <c r="S47" s="213">
        <v>-10.199999999999999</v>
      </c>
      <c r="T47" s="213">
        <v>-1.2</v>
      </c>
      <c r="U47" s="213">
        <v>0.3</v>
      </c>
      <c r="V47" s="203">
        <v>-7.7877999999999975E-2</v>
      </c>
      <c r="W47" s="203">
        <v>-3.4255499999999999</v>
      </c>
      <c r="X47" s="203">
        <v>-5.42</v>
      </c>
      <c r="Y47" s="203">
        <v>-5.48</v>
      </c>
      <c r="Z47" s="203"/>
      <c r="AA47" s="203"/>
      <c r="AB47" s="203"/>
      <c r="AC47" s="203"/>
      <c r="AD47" s="203"/>
      <c r="AE47" s="203"/>
      <c r="AF47" s="203"/>
      <c r="AG47" s="203">
        <v>14.54</v>
      </c>
      <c r="AH47" s="216">
        <v>12.11</v>
      </c>
      <c r="AI47" s="775">
        <v>-12.85</v>
      </c>
      <c r="AJ47" s="208"/>
    </row>
    <row r="48" spans="1:36">
      <c r="A48" s="237" t="s">
        <v>554</v>
      </c>
      <c r="B48" s="230">
        <f>B50+B49</f>
        <v>-10</v>
      </c>
      <c r="C48" s="230">
        <f t="shared" ref="C48:L48" si="15">C50+C49</f>
        <v>-4930</v>
      </c>
      <c r="D48" s="230">
        <f t="shared" si="15"/>
        <v>6500</v>
      </c>
      <c r="E48" s="230">
        <f t="shared" si="15"/>
        <v>4830</v>
      </c>
      <c r="F48" s="230">
        <f t="shared" si="15"/>
        <v>370</v>
      </c>
      <c r="G48" s="230">
        <f t="shared" si="15"/>
        <v>6200</v>
      </c>
      <c r="H48" s="230">
        <f t="shared" si="15"/>
        <v>37900</v>
      </c>
      <c r="I48" s="230">
        <f t="shared" si="15"/>
        <v>-8500</v>
      </c>
      <c r="J48" s="230">
        <f t="shared" si="15"/>
        <v>20600</v>
      </c>
      <c r="K48" s="230">
        <f t="shared" si="15"/>
        <v>-3800</v>
      </c>
      <c r="L48" s="230">
        <f t="shared" si="15"/>
        <v>20600</v>
      </c>
      <c r="M48" s="248" t="s">
        <v>463</v>
      </c>
      <c r="Q48" s="207" t="s">
        <v>479</v>
      </c>
      <c r="R48" s="213">
        <v>3.7</v>
      </c>
      <c r="S48" s="213">
        <v>-8</v>
      </c>
      <c r="T48" s="213">
        <v>-0.2</v>
      </c>
      <c r="U48" s="213">
        <v>0.3</v>
      </c>
      <c r="V48" s="203">
        <v>-0.08</v>
      </c>
      <c r="W48" s="203">
        <v>-3.4255499999999999</v>
      </c>
      <c r="X48" s="203">
        <v>-5.42</v>
      </c>
      <c r="Y48" s="203">
        <v>-5.48</v>
      </c>
      <c r="Z48" s="203"/>
      <c r="AA48" s="203">
        <v>-1.32</v>
      </c>
      <c r="AB48" s="203">
        <v>0</v>
      </c>
      <c r="AC48" s="203"/>
      <c r="AD48" s="203"/>
      <c r="AE48" s="203"/>
      <c r="AF48" s="203"/>
      <c r="AG48" s="203">
        <v>14.54</v>
      </c>
      <c r="AH48" s="216">
        <v>12.11</v>
      </c>
      <c r="AI48" s="775"/>
      <c r="AJ48" s="208" t="s">
        <v>480</v>
      </c>
    </row>
    <row r="49" spans="1:36">
      <c r="A49" s="253" t="s">
        <v>555</v>
      </c>
      <c r="B49" s="227">
        <v>-700</v>
      </c>
      <c r="C49" s="227">
        <v>-4900</v>
      </c>
      <c r="D49" s="227">
        <v>6900</v>
      </c>
      <c r="E49" s="227">
        <v>1800</v>
      </c>
      <c r="F49" s="227">
        <v>2900</v>
      </c>
      <c r="G49" s="227">
        <v>7400</v>
      </c>
      <c r="H49" s="227">
        <v>38400</v>
      </c>
      <c r="I49" s="227">
        <v>-8400</v>
      </c>
      <c r="J49" s="227">
        <v>20500</v>
      </c>
      <c r="K49" s="227">
        <v>-4000</v>
      </c>
      <c r="L49" s="227">
        <v>33100</v>
      </c>
      <c r="M49" s="245" t="s">
        <v>466</v>
      </c>
      <c r="Q49" s="207" t="s">
        <v>280</v>
      </c>
      <c r="R49" s="213">
        <v>-21.5</v>
      </c>
      <c r="S49" s="213">
        <v>-2.1</v>
      </c>
      <c r="T49" s="213">
        <v>-2.8</v>
      </c>
      <c r="U49" s="213">
        <v>26.31</v>
      </c>
      <c r="V49" s="203">
        <v>-9.0588869400000007</v>
      </c>
      <c r="W49" s="203">
        <v>-7.37</v>
      </c>
      <c r="X49" s="203">
        <v>-2.17</v>
      </c>
      <c r="Y49" s="203">
        <v>-2.8</v>
      </c>
      <c r="Z49" s="203"/>
      <c r="AA49" s="203"/>
      <c r="AB49" s="203">
        <v>0</v>
      </c>
      <c r="AC49" s="203"/>
      <c r="AD49" s="203"/>
      <c r="AE49" s="203"/>
      <c r="AF49" s="203"/>
      <c r="AG49" s="203"/>
      <c r="AH49" s="216"/>
      <c r="AI49" s="775"/>
      <c r="AJ49" s="208" t="s">
        <v>56</v>
      </c>
    </row>
    <row r="50" spans="1:36">
      <c r="A50" s="253" t="s">
        <v>556</v>
      </c>
      <c r="B50" s="227">
        <v>690</v>
      </c>
      <c r="C50" s="227">
        <v>-30</v>
      </c>
      <c r="D50" s="227">
        <v>-400</v>
      </c>
      <c r="E50" s="227">
        <v>3030</v>
      </c>
      <c r="F50" s="227">
        <v>-2530</v>
      </c>
      <c r="G50" s="227">
        <v>-1200</v>
      </c>
      <c r="H50" s="227">
        <v>-500</v>
      </c>
      <c r="I50" s="227">
        <v>-100</v>
      </c>
      <c r="J50" s="227">
        <v>100</v>
      </c>
      <c r="K50" s="227">
        <v>200</v>
      </c>
      <c r="L50" s="227">
        <v>-12500</v>
      </c>
      <c r="M50" s="245" t="s">
        <v>927</v>
      </c>
      <c r="Q50" s="207" t="s">
        <v>481</v>
      </c>
      <c r="R50" s="213">
        <v>-223.9</v>
      </c>
      <c r="S50" s="213">
        <v>15.1</v>
      </c>
      <c r="T50" s="213">
        <v>11.6</v>
      </c>
      <c r="U50" s="213">
        <v>-0.04</v>
      </c>
      <c r="V50" s="203">
        <v>7.6754089130521628</v>
      </c>
      <c r="W50" s="203">
        <v>13.016506025442888</v>
      </c>
      <c r="X50" s="203">
        <v>50.41</v>
      </c>
      <c r="Y50" s="203">
        <v>32.26</v>
      </c>
      <c r="Z50" s="203">
        <v>8.5</v>
      </c>
      <c r="AA50" s="203">
        <v>57.19</v>
      </c>
      <c r="AB50" s="203">
        <v>24.8</v>
      </c>
      <c r="AC50" s="203">
        <v>-0.70000000000000284</v>
      </c>
      <c r="AD50" s="203">
        <v>-12.4</v>
      </c>
      <c r="AE50" s="203">
        <v>-14.567443370087517</v>
      </c>
      <c r="AF50" s="203">
        <v>26.92</v>
      </c>
      <c r="AG50" s="203">
        <v>36.04</v>
      </c>
      <c r="AH50" s="216">
        <v>70.94</v>
      </c>
      <c r="AI50" s="775">
        <v>-67.37</v>
      </c>
      <c r="AJ50" s="208" t="s">
        <v>482</v>
      </c>
    </row>
    <row r="51" spans="1:36">
      <c r="A51" s="253" t="s">
        <v>557</v>
      </c>
      <c r="B51" s="231">
        <v>-794.38900000000285</v>
      </c>
      <c r="C51" s="231">
        <v>-1660.0020000000004</v>
      </c>
      <c r="D51" s="231">
        <v>-919.20199999999022</v>
      </c>
      <c r="E51" s="231">
        <v>-1740.7224404970766</v>
      </c>
      <c r="F51" s="231">
        <v>-1223.0409385635649</v>
      </c>
      <c r="G51" s="231">
        <v>-3969.3269999999975</v>
      </c>
      <c r="H51" s="231">
        <v>2773.7678000000014</v>
      </c>
      <c r="I51" s="231">
        <v>-13951.115399999981</v>
      </c>
      <c r="J51" s="231">
        <v>-2026.3360000000102</v>
      </c>
      <c r="K51" s="231">
        <v>-5661.9214999999967</v>
      </c>
      <c r="L51" s="231">
        <v>0</v>
      </c>
      <c r="M51" s="254" t="s">
        <v>928</v>
      </c>
      <c r="Q51" s="207" t="s">
        <v>483</v>
      </c>
      <c r="R51" s="213">
        <v>-13.1</v>
      </c>
      <c r="S51" s="213">
        <v>-2.2000000000000002</v>
      </c>
      <c r="T51" s="213">
        <v>3.1</v>
      </c>
      <c r="U51" s="213">
        <v>3.36</v>
      </c>
      <c r="V51" s="203">
        <v>-0.67320061032450162</v>
      </c>
      <c r="W51" s="203">
        <v>-13.322936247899998</v>
      </c>
      <c r="X51" s="203">
        <v>-4.1900000000000004</v>
      </c>
      <c r="Y51" s="203">
        <v>-0.48</v>
      </c>
      <c r="Z51" s="203"/>
      <c r="AA51" s="203">
        <v>4.84</v>
      </c>
      <c r="AB51" s="203">
        <v>7.5</v>
      </c>
      <c r="AC51" s="203">
        <v>-2</v>
      </c>
      <c r="AD51" s="203">
        <v>-10</v>
      </c>
      <c r="AE51" s="203">
        <v>14.27285689</v>
      </c>
      <c r="AF51" s="203"/>
      <c r="AG51" s="203">
        <v>13.67</v>
      </c>
      <c r="AH51" s="216">
        <v>12.24</v>
      </c>
      <c r="AI51" s="775">
        <v>-8</v>
      </c>
      <c r="AJ51" s="208" t="s">
        <v>484</v>
      </c>
    </row>
    <row r="52" spans="1:36">
      <c r="A52" s="255" t="s">
        <v>558</v>
      </c>
      <c r="B52" s="231">
        <v>0</v>
      </c>
      <c r="C52" s="231">
        <v>0</v>
      </c>
      <c r="D52" s="231">
        <v>0</v>
      </c>
      <c r="E52" s="231">
        <v>0</v>
      </c>
      <c r="F52" s="231">
        <v>67.66</v>
      </c>
      <c r="G52" s="231">
        <v>390</v>
      </c>
      <c r="H52" s="231">
        <v>1100</v>
      </c>
      <c r="I52" s="231">
        <v>8468.5</v>
      </c>
      <c r="J52" s="231">
        <v>6432.81</v>
      </c>
      <c r="K52" s="231">
        <v>4192.8670000000002</v>
      </c>
      <c r="L52" s="231">
        <v>0</v>
      </c>
      <c r="M52" s="256" t="s">
        <v>929</v>
      </c>
      <c r="Q52" s="207" t="s">
        <v>453</v>
      </c>
      <c r="R52" s="213">
        <v>-60.5</v>
      </c>
      <c r="S52" s="213">
        <v>-19.899999999999999</v>
      </c>
      <c r="T52" s="213">
        <v>-17.600000000000001</v>
      </c>
      <c r="U52" s="213">
        <v>-13.7</v>
      </c>
      <c r="V52" s="203">
        <v>-13.452023610324501</v>
      </c>
      <c r="W52" s="203">
        <v>-22.895236247899998</v>
      </c>
      <c r="X52" s="203">
        <v>-21.48</v>
      </c>
      <c r="Y52" s="203">
        <v>-20</v>
      </c>
      <c r="Z52" s="203">
        <v>-25</v>
      </c>
      <c r="AA52" s="203">
        <v>-13.21</v>
      </c>
      <c r="AB52" s="203">
        <v>-12</v>
      </c>
      <c r="AC52" s="203">
        <v>-20</v>
      </c>
      <c r="AD52" s="203">
        <v>-25</v>
      </c>
      <c r="AE52" s="203">
        <v>-30</v>
      </c>
      <c r="AF52" s="203">
        <v>-10</v>
      </c>
      <c r="AG52" s="203">
        <v>13.67</v>
      </c>
      <c r="AH52" s="216">
        <v>12.24</v>
      </c>
      <c r="AI52" s="775">
        <v>-8</v>
      </c>
      <c r="AJ52" s="208" t="s">
        <v>485</v>
      </c>
    </row>
    <row r="53" spans="1:36">
      <c r="A53" s="255" t="s">
        <v>559</v>
      </c>
      <c r="B53" s="231">
        <v>4017</v>
      </c>
      <c r="C53" s="231">
        <v>1894</v>
      </c>
      <c r="D53" s="231">
        <v>-6582</v>
      </c>
      <c r="E53" s="231">
        <v>2363</v>
      </c>
      <c r="F53" s="231">
        <v>5537</v>
      </c>
      <c r="G53" s="231">
        <v>2734</v>
      </c>
      <c r="H53" s="231">
        <v>-21621</v>
      </c>
      <c r="I53" s="231">
        <v>6577</v>
      </c>
      <c r="J53" s="231">
        <v>765</v>
      </c>
      <c r="K53" s="231">
        <v>10857</v>
      </c>
      <c r="L53" s="226">
        <v>3100</v>
      </c>
      <c r="M53" s="254" t="s">
        <v>930</v>
      </c>
      <c r="Q53" s="207" t="s">
        <v>486</v>
      </c>
      <c r="R53" s="213">
        <v>47.4</v>
      </c>
      <c r="S53" s="213">
        <v>17.7</v>
      </c>
      <c r="T53" s="213">
        <v>20.7</v>
      </c>
      <c r="U53" s="213">
        <v>17.059999999999999</v>
      </c>
      <c r="V53" s="203">
        <v>12.778822999999999</v>
      </c>
      <c r="W53" s="203">
        <v>9.5723000000000003</v>
      </c>
      <c r="X53" s="203">
        <v>17.28</v>
      </c>
      <c r="Y53" s="203">
        <v>19.52</v>
      </c>
      <c r="Z53" s="203">
        <v>25</v>
      </c>
      <c r="AA53" s="203">
        <v>18.05</v>
      </c>
      <c r="AB53" s="203">
        <v>19.5</v>
      </c>
      <c r="AC53" s="203">
        <v>18</v>
      </c>
      <c r="AD53" s="203">
        <v>31.2</v>
      </c>
      <c r="AE53" s="203">
        <v>44.27285689</v>
      </c>
      <c r="AF53" s="203"/>
      <c r="AG53" s="203"/>
      <c r="AH53" s="216"/>
      <c r="AI53" s="775"/>
      <c r="AJ53" s="208" t="s">
        <v>487</v>
      </c>
    </row>
    <row r="54" spans="1:36" ht="15" thickBot="1">
      <c r="A54" s="257" t="s">
        <v>560</v>
      </c>
      <c r="B54" s="258">
        <v>5460</v>
      </c>
      <c r="C54" s="258">
        <v>5700</v>
      </c>
      <c r="D54" s="258">
        <v>5500</v>
      </c>
      <c r="E54" s="258">
        <v>7400</v>
      </c>
      <c r="F54" s="258">
        <v>9300</v>
      </c>
      <c r="G54" s="258">
        <v>9117.1489999999994</v>
      </c>
      <c r="H54" s="258">
        <v>10429.884</v>
      </c>
      <c r="I54" s="258">
        <v>13980.555</v>
      </c>
      <c r="J54" s="258">
        <v>13286.045</v>
      </c>
      <c r="K54" s="258">
        <v>13619.066999999999</v>
      </c>
      <c r="L54" s="259">
        <v>14900</v>
      </c>
      <c r="M54" s="260" t="s">
        <v>931</v>
      </c>
      <c r="Q54" s="207" t="s">
        <v>488</v>
      </c>
      <c r="R54" s="213">
        <v>-210.8</v>
      </c>
      <c r="S54" s="213">
        <v>17.7</v>
      </c>
      <c r="T54" s="213">
        <v>8.5</v>
      </c>
      <c r="U54" s="213">
        <v>-3.39</v>
      </c>
      <c r="V54" s="203">
        <v>8.3486095233766644</v>
      </c>
      <c r="W54" s="203">
        <v>26.339442273342886</v>
      </c>
      <c r="X54" s="203">
        <v>54.6</v>
      </c>
      <c r="Y54" s="203">
        <v>32.74</v>
      </c>
      <c r="Z54" s="203">
        <v>8.5</v>
      </c>
      <c r="AA54" s="203">
        <v>52.35</v>
      </c>
      <c r="AB54" s="203">
        <v>17.3</v>
      </c>
      <c r="AC54" s="203">
        <v>1.2999999999999972</v>
      </c>
      <c r="AD54" s="203">
        <v>-2.4</v>
      </c>
      <c r="AE54" s="203">
        <v>-28.840300260087517</v>
      </c>
      <c r="AF54" s="203" t="s">
        <v>489</v>
      </c>
      <c r="AG54" s="203">
        <v>49.71</v>
      </c>
      <c r="AH54" s="216">
        <v>58.69</v>
      </c>
      <c r="AI54" s="775">
        <v>-59.38</v>
      </c>
      <c r="AJ54" s="208" t="s">
        <v>490</v>
      </c>
    </row>
    <row r="55" spans="1:36">
      <c r="A55" s="218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20"/>
      <c r="Q55" s="207" t="s">
        <v>491</v>
      </c>
      <c r="R55" s="213">
        <v>6.4</v>
      </c>
      <c r="S55" s="213">
        <v>9.1999999999999993</v>
      </c>
      <c r="T55" s="213">
        <v>2.1</v>
      </c>
      <c r="U55" s="213">
        <v>-7.78</v>
      </c>
      <c r="V55" s="203">
        <v>2.8090821894297306</v>
      </c>
      <c r="W55" s="203">
        <v>24.177329010403334</v>
      </c>
      <c r="X55" s="203">
        <v>52.98</v>
      </c>
      <c r="Y55" s="203">
        <v>29.5</v>
      </c>
      <c r="Z55" s="203">
        <v>5.2</v>
      </c>
      <c r="AA55" s="203">
        <v>48.4</v>
      </c>
      <c r="AB55" s="203">
        <v>17.3</v>
      </c>
      <c r="AC55" s="203">
        <v>1.2999999999999972</v>
      </c>
      <c r="AD55" s="203">
        <v>-2.4</v>
      </c>
      <c r="AE55" s="203">
        <v>-30.440300260087518</v>
      </c>
      <c r="AF55" s="203" t="s">
        <v>492</v>
      </c>
      <c r="AG55" s="203">
        <v>47.59</v>
      </c>
      <c r="AH55" s="216">
        <v>30.09</v>
      </c>
      <c r="AI55" s="775">
        <v>-59.38</v>
      </c>
      <c r="AJ55" s="208" t="s">
        <v>493</v>
      </c>
    </row>
    <row r="56" spans="1:36">
      <c r="A56" s="218" t="s">
        <v>935</v>
      </c>
      <c r="B56" s="221"/>
      <c r="C56" s="221"/>
      <c r="D56" s="221"/>
      <c r="E56" s="221"/>
      <c r="F56" s="221"/>
      <c r="G56" s="221"/>
      <c r="H56" s="221"/>
      <c r="I56" s="221"/>
      <c r="J56" s="861"/>
      <c r="K56" s="861"/>
      <c r="L56" s="222"/>
      <c r="M56" s="220" t="s">
        <v>932</v>
      </c>
      <c r="Q56" s="207" t="s">
        <v>494</v>
      </c>
      <c r="R56" s="213">
        <v>10.7</v>
      </c>
      <c r="S56" s="213">
        <v>8.1</v>
      </c>
      <c r="T56" s="213">
        <v>7.9</v>
      </c>
      <c r="U56" s="213">
        <v>5.36</v>
      </c>
      <c r="V56" s="203">
        <v>5.5395273339469338</v>
      </c>
      <c r="W56" s="203">
        <v>3.8494922629395516</v>
      </c>
      <c r="X56" s="203">
        <v>3.26</v>
      </c>
      <c r="Y56" s="203">
        <v>3.24</v>
      </c>
      <c r="Z56" s="203">
        <v>3.3</v>
      </c>
      <c r="AA56" s="203">
        <v>2.62</v>
      </c>
      <c r="AB56" s="203">
        <v>0</v>
      </c>
      <c r="AC56" s="203"/>
      <c r="AD56" s="203"/>
      <c r="AE56" s="203"/>
      <c r="AF56" s="203" t="s">
        <v>495</v>
      </c>
      <c r="AG56" s="203">
        <v>42.65</v>
      </c>
      <c r="AH56" s="216">
        <v>11.73</v>
      </c>
      <c r="AI56" s="775"/>
      <c r="AJ56" s="208" t="s">
        <v>496</v>
      </c>
    </row>
    <row r="57" spans="1:36" ht="15" thickBot="1">
      <c r="A57" s="15"/>
      <c r="Q57" s="209" t="s">
        <v>497</v>
      </c>
      <c r="R57" s="214">
        <v>2.5</v>
      </c>
      <c r="S57" s="214">
        <v>-4.5999999999999996</v>
      </c>
      <c r="T57" s="214">
        <v>0.4</v>
      </c>
      <c r="U57" s="214">
        <v>1.74</v>
      </c>
      <c r="V57" s="210">
        <v>0.77131193682302523</v>
      </c>
      <c r="W57" s="210">
        <v>-1.536194519531632</v>
      </c>
      <c r="X57" s="210">
        <v>-2.13</v>
      </c>
      <c r="Y57" s="210">
        <v>0</v>
      </c>
      <c r="Z57" s="210">
        <v>0</v>
      </c>
      <c r="AA57" s="210">
        <v>1.33</v>
      </c>
      <c r="AB57" s="210">
        <v>0</v>
      </c>
      <c r="AC57" s="210">
        <v>0</v>
      </c>
      <c r="AD57" s="210">
        <v>0</v>
      </c>
      <c r="AE57" s="210"/>
      <c r="AF57" s="210"/>
      <c r="AG57" s="210">
        <v>1.43</v>
      </c>
      <c r="AH57" s="217">
        <v>0.1</v>
      </c>
      <c r="AI57" s="775">
        <v>2.38</v>
      </c>
      <c r="AJ57" s="211" t="s">
        <v>498</v>
      </c>
    </row>
    <row r="59" spans="1:36">
      <c r="AJ59" t="s">
        <v>317</v>
      </c>
    </row>
  </sheetData>
  <mergeCells count="2">
    <mergeCell ref="J56:K56"/>
    <mergeCell ref="A1:C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>
      <selection activeCell="E12" sqref="E12"/>
    </sheetView>
  </sheetViews>
  <sheetFormatPr baseColWidth="10" defaultRowHeight="14.4"/>
  <sheetData>
    <row r="1" spans="1:12" ht="43.2">
      <c r="A1" s="860" t="s">
        <v>1170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</row>
    <row r="2" spans="1:12" ht="15.6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</row>
    <row r="3" spans="1:12" ht="45">
      <c r="A3" s="859" t="s">
        <v>1171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ht="16.2">
      <c r="A4" s="587"/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</row>
    <row r="5" spans="1:12" ht="16.2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</row>
    <row r="6" spans="1:12" ht="30">
      <c r="A6" s="858" t="s">
        <v>1172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</row>
    <row r="7" spans="1:12" ht="16.2">
      <c r="A7" s="587"/>
      <c r="B7" s="587"/>
      <c r="C7" s="587"/>
      <c r="D7" s="587"/>
      <c r="E7" s="587"/>
      <c r="F7" s="587"/>
      <c r="G7" s="587"/>
      <c r="H7" s="587"/>
      <c r="I7" s="587"/>
      <c r="J7" s="587"/>
      <c r="K7" s="587"/>
      <c r="L7" s="587"/>
    </row>
    <row r="8" spans="1:12" ht="45">
      <c r="A8" s="859" t="s">
        <v>1173</v>
      </c>
      <c r="B8" s="859"/>
      <c r="C8" s="859"/>
      <c r="D8" s="859"/>
      <c r="E8" s="859"/>
      <c r="F8" s="859"/>
      <c r="G8" s="859"/>
      <c r="H8" s="859"/>
      <c r="I8" s="859"/>
      <c r="J8" s="859"/>
      <c r="K8" s="859"/>
      <c r="L8" s="859"/>
    </row>
  </sheetData>
  <mergeCells count="4">
    <mergeCell ref="A3:L3"/>
    <mergeCell ref="A6:L6"/>
    <mergeCell ref="A8:L8"/>
    <mergeCell ref="A1:L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7D6D-04C0-4E32-8720-573560D030CC}">
  <sheetPr>
    <tabColor theme="6"/>
  </sheetPr>
  <dimension ref="A1:AB19"/>
  <sheetViews>
    <sheetView topLeftCell="P1" workbookViewId="0">
      <selection activeCell="C5" sqref="C5"/>
    </sheetView>
  </sheetViews>
  <sheetFormatPr baseColWidth="10" defaultRowHeight="14.4"/>
  <cols>
    <col min="1" max="1" width="58.6640625" customWidth="1"/>
    <col min="10" max="10" width="12.88671875" customWidth="1"/>
    <col min="11" max="11" width="12.77734375" customWidth="1"/>
    <col min="12" max="12" width="15.33203125" customWidth="1"/>
    <col min="13" max="13" width="13.5546875" customWidth="1"/>
    <col min="14" max="14" width="13.77734375" customWidth="1"/>
    <col min="15" max="15" width="15.44140625" customWidth="1"/>
    <col min="16" max="16" width="13.88671875" customWidth="1"/>
    <col min="17" max="17" width="15.109375" customWidth="1"/>
    <col min="18" max="18" width="14.44140625" customWidth="1"/>
    <col min="19" max="19" width="14" customWidth="1"/>
    <col min="20" max="21" width="14.5546875" customWidth="1"/>
    <col min="22" max="22" width="15.5546875" customWidth="1"/>
    <col min="23" max="23" width="13.88671875" customWidth="1"/>
    <col min="24" max="24" width="13.6640625" customWidth="1"/>
    <col min="27" max="27" width="17.5546875" customWidth="1"/>
    <col min="28" max="28" width="44.5546875" customWidth="1"/>
  </cols>
  <sheetData>
    <row r="1" spans="1:28" ht="27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89"/>
      <c r="AB1" s="590" t="s">
        <v>1174</v>
      </c>
    </row>
    <row r="2" spans="1:28" ht="27">
      <c r="A2" s="591" t="s">
        <v>1223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589"/>
      <c r="P2" s="589"/>
      <c r="Q2" s="589"/>
      <c r="R2" s="589"/>
      <c r="S2" s="589"/>
      <c r="T2" s="589"/>
      <c r="U2" s="589"/>
      <c r="V2" s="589"/>
      <c r="W2" s="589"/>
      <c r="X2" s="589"/>
      <c r="Y2" s="589"/>
      <c r="Z2" s="589"/>
      <c r="AA2" s="589"/>
      <c r="AB2" s="592"/>
    </row>
    <row r="3" spans="1:28" ht="27">
      <c r="A3" s="593" t="s">
        <v>1175</v>
      </c>
      <c r="B3" s="593">
        <v>1998</v>
      </c>
      <c r="C3" s="593">
        <v>1999</v>
      </c>
      <c r="D3" s="593">
        <v>2000</v>
      </c>
      <c r="E3" s="593">
        <v>2001</v>
      </c>
      <c r="F3" s="593">
        <v>2002</v>
      </c>
      <c r="G3" s="593">
        <v>2003</v>
      </c>
      <c r="H3" s="593">
        <v>2004</v>
      </c>
      <c r="I3" s="593">
        <v>2005</v>
      </c>
      <c r="J3" s="593">
        <v>2006</v>
      </c>
      <c r="K3" s="593">
        <v>2007</v>
      </c>
      <c r="L3" s="593">
        <v>2008</v>
      </c>
      <c r="M3" s="593">
        <v>2009</v>
      </c>
      <c r="N3" s="593">
        <v>2010</v>
      </c>
      <c r="O3" s="593">
        <v>2011</v>
      </c>
      <c r="P3" s="593">
        <v>2012</v>
      </c>
      <c r="Q3" s="593">
        <v>2013</v>
      </c>
      <c r="R3" s="593">
        <v>2014</v>
      </c>
      <c r="S3" s="593">
        <v>2015</v>
      </c>
      <c r="T3" s="594">
        <v>2016</v>
      </c>
      <c r="U3" s="594">
        <v>2017</v>
      </c>
      <c r="V3" s="594" t="s">
        <v>1176</v>
      </c>
      <c r="W3" s="594" t="s">
        <v>1177</v>
      </c>
      <c r="X3" s="594" t="s">
        <v>46</v>
      </c>
      <c r="Y3" s="594">
        <v>2021</v>
      </c>
      <c r="Z3" s="594">
        <v>2022</v>
      </c>
      <c r="AA3" s="594" t="s">
        <v>1331</v>
      </c>
      <c r="AB3" s="595" t="s">
        <v>1178</v>
      </c>
    </row>
    <row r="4" spans="1:28" ht="27">
      <c r="A4" s="596" t="s">
        <v>1179</v>
      </c>
      <c r="B4" s="596">
        <v>10316.200119623652</v>
      </c>
      <c r="C4" s="596">
        <v>11004.353166508172</v>
      </c>
      <c r="D4" s="596">
        <v>14210.53548466491</v>
      </c>
      <c r="E4" s="596">
        <v>15695.364790833119</v>
      </c>
      <c r="F4" s="596">
        <v>15458.432662210986</v>
      </c>
      <c r="G4" s="596">
        <v>19526.74289065033</v>
      </c>
      <c r="H4" s="596">
        <v>32564.546840155854</v>
      </c>
      <c r="I4" s="596">
        <v>47943.965796809309</v>
      </c>
      <c r="J4" s="596">
        <v>42558.743824355675</v>
      </c>
      <c r="K4" s="596">
        <v>51182.161898337137</v>
      </c>
      <c r="L4" s="596">
        <v>65131.540942962645</v>
      </c>
      <c r="M4" s="596">
        <v>55369.376258874989</v>
      </c>
      <c r="N4" s="596">
        <v>74048.010133845673</v>
      </c>
      <c r="O4" s="596">
        <v>91855.01127536397</v>
      </c>
      <c r="P4" s="596">
        <v>124786.00206744224</v>
      </c>
      <c r="Q4" s="596">
        <v>123469.88135920076</v>
      </c>
      <c r="R4" s="596">
        <v>108210.6</v>
      </c>
      <c r="S4" s="596">
        <v>94407.3</v>
      </c>
      <c r="T4" s="596">
        <v>88448.9</v>
      </c>
      <c r="U4" s="596">
        <v>107851.9</v>
      </c>
      <c r="V4" s="596">
        <v>125717.04341356529</v>
      </c>
      <c r="W4" s="596">
        <v>144741.85211940311</v>
      </c>
      <c r="X4" s="596">
        <v>144741.85211940311</v>
      </c>
      <c r="Y4" s="596" t="s">
        <v>1180</v>
      </c>
      <c r="Z4" s="596" t="s">
        <v>1181</v>
      </c>
      <c r="AA4" s="596">
        <v>206706</v>
      </c>
      <c r="AB4" s="597" t="s">
        <v>1182</v>
      </c>
    </row>
    <row r="5" spans="1:28" ht="27">
      <c r="A5" s="596" t="s">
        <v>1183</v>
      </c>
      <c r="B5" s="596">
        <v>38304.841326621929</v>
      </c>
      <c r="C5" s="596">
        <v>41607.896189567982</v>
      </c>
      <c r="D5" s="596">
        <v>42516.905591919975</v>
      </c>
      <c r="E5" s="596">
        <v>44634.477756289569</v>
      </c>
      <c r="F5" s="596">
        <v>48289.612522152296</v>
      </c>
      <c r="G5" s="596">
        <v>53951.33546774953</v>
      </c>
      <c r="H5" s="596">
        <v>62684.948378481051</v>
      </c>
      <c r="I5" s="596">
        <v>77980.67860844465</v>
      </c>
      <c r="J5" s="596">
        <v>105279.84590716907</v>
      </c>
      <c r="K5" s="596">
        <v>112387.25799726183</v>
      </c>
      <c r="L5" s="596">
        <v>124019.0677452368</v>
      </c>
      <c r="M5" s="596">
        <v>123694.8774463789</v>
      </c>
      <c r="N5" s="596">
        <v>155297.48438280242</v>
      </c>
      <c r="O5" s="596">
        <v>190166.08547756984</v>
      </c>
      <c r="P5" s="596">
        <v>199572.13046611397</v>
      </c>
      <c r="Q5" s="596">
        <v>217184.50799315484</v>
      </c>
      <c r="R5" s="596">
        <v>199572.6</v>
      </c>
      <c r="S5" s="596">
        <v>200220.6</v>
      </c>
      <c r="T5" s="596">
        <v>225473.2</v>
      </c>
      <c r="U5" s="596">
        <v>243406.9</v>
      </c>
      <c r="V5" s="596">
        <v>262320.01703146839</v>
      </c>
      <c r="W5" s="596">
        <v>289478.02712975256</v>
      </c>
      <c r="X5" s="596">
        <v>294388.90463152481</v>
      </c>
      <c r="Y5" s="596" t="s">
        <v>1184</v>
      </c>
      <c r="Z5" s="596" t="s">
        <v>1185</v>
      </c>
      <c r="AA5" s="596">
        <v>388672</v>
      </c>
      <c r="AB5" s="597" t="s">
        <v>1186</v>
      </c>
    </row>
    <row r="6" spans="1:28" ht="27">
      <c r="A6" s="596"/>
      <c r="B6" s="596"/>
      <c r="C6" s="596"/>
      <c r="D6" s="59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6"/>
      <c r="X6" s="596"/>
      <c r="Y6" s="596"/>
      <c r="Z6" s="596"/>
      <c r="AA6" s="596"/>
      <c r="AB6" s="597"/>
    </row>
    <row r="7" spans="1:28" ht="27">
      <c r="A7" s="596" t="s">
        <v>1187</v>
      </c>
      <c r="B7" s="596">
        <v>35512.559755352398</v>
      </c>
      <c r="C7" s="596">
        <v>38586.255765343754</v>
      </c>
      <c r="D7" s="596">
        <v>41075.728100198612</v>
      </c>
      <c r="E7" s="596">
        <v>43348.413537484055</v>
      </c>
      <c r="F7" s="596">
        <v>47176.301603360516</v>
      </c>
      <c r="G7" s="596">
        <v>51573.781274020541</v>
      </c>
      <c r="H7" s="596">
        <v>58564.332211536741</v>
      </c>
      <c r="I7" s="596">
        <v>66925.564799587301</v>
      </c>
      <c r="J7" s="596">
        <v>75864.275586697797</v>
      </c>
      <c r="K7" s="596">
        <v>86396.435870162066</v>
      </c>
      <c r="L7" s="596">
        <v>96604.134981543903</v>
      </c>
      <c r="M7" s="596">
        <v>100296.88274455284</v>
      </c>
      <c r="N7" s="596">
        <v>108228.31667885612</v>
      </c>
      <c r="O7" s="596">
        <v>113084.43888426709</v>
      </c>
      <c r="P7" s="596">
        <v>129918.64246100056</v>
      </c>
      <c r="Q7" s="596">
        <v>138442.49088187091</v>
      </c>
      <c r="R7" s="596">
        <v>149749.79999999999</v>
      </c>
      <c r="S7" s="596">
        <v>157163.20000000001</v>
      </c>
      <c r="T7" s="596">
        <v>166907.29999999999</v>
      </c>
      <c r="U7" s="596">
        <v>175021.3</v>
      </c>
      <c r="V7" s="596">
        <v>183180.70065645184</v>
      </c>
      <c r="W7" s="596">
        <v>193281.72672024317</v>
      </c>
      <c r="X7" s="596">
        <v>205289.54318301505</v>
      </c>
      <c r="Y7" s="596" t="s">
        <v>1188</v>
      </c>
      <c r="Z7" s="596" t="s">
        <v>1189</v>
      </c>
      <c r="AA7" s="596">
        <v>281768</v>
      </c>
      <c r="AB7" s="597" t="s">
        <v>1190</v>
      </c>
    </row>
    <row r="8" spans="1:28" ht="27">
      <c r="A8" s="596" t="s">
        <v>1191</v>
      </c>
      <c r="B8" s="596">
        <v>27453.455899958575</v>
      </c>
      <c r="C8" s="596">
        <v>29944.175571627478</v>
      </c>
      <c r="D8" s="596">
        <v>32180.974299919897</v>
      </c>
      <c r="E8" s="596">
        <v>34106.40486902259</v>
      </c>
      <c r="F8" s="596">
        <v>37231.525018181281</v>
      </c>
      <c r="G8" s="596">
        <v>41020.368577325724</v>
      </c>
      <c r="H8" s="596">
        <v>46160.487665404959</v>
      </c>
      <c r="I8" s="596">
        <v>53380.395574973976</v>
      </c>
      <c r="J8" s="596">
        <v>60916.394318865423</v>
      </c>
      <c r="K8" s="596">
        <v>69581.107196409095</v>
      </c>
      <c r="L8" s="596">
        <v>77785.044792405824</v>
      </c>
      <c r="M8" s="596">
        <v>80502.462019258295</v>
      </c>
      <c r="N8" s="596">
        <v>86912.75357992205</v>
      </c>
      <c r="O8" s="596">
        <v>92853.351089429008</v>
      </c>
      <c r="P8" s="596">
        <v>105441.28050658647</v>
      </c>
      <c r="Q8" s="596">
        <v>112642.43749894225</v>
      </c>
      <c r="R8" s="596">
        <v>122087</v>
      </c>
      <c r="S8" s="596">
        <v>127376.6</v>
      </c>
      <c r="T8" s="596">
        <v>136063.79999999999</v>
      </c>
      <c r="U8" s="596">
        <v>141907.4</v>
      </c>
      <c r="V8" s="596">
        <v>150221.31744440377</v>
      </c>
      <c r="W8" s="596">
        <v>158965.5184579457</v>
      </c>
      <c r="X8" s="596">
        <v>166984.01310022656</v>
      </c>
      <c r="Y8" s="596" t="s">
        <v>1192</v>
      </c>
      <c r="Z8" s="596" t="s">
        <v>1193</v>
      </c>
      <c r="AA8" s="596">
        <v>213803</v>
      </c>
      <c r="AB8" s="597" t="s">
        <v>1194</v>
      </c>
    </row>
    <row r="9" spans="1:28" ht="27">
      <c r="A9" s="596" t="s">
        <v>1195</v>
      </c>
      <c r="B9" s="596">
        <v>3492.6586190026792</v>
      </c>
      <c r="C9" s="596">
        <v>3860.7911561036335</v>
      </c>
      <c r="D9" s="596">
        <v>4189.2921289545257</v>
      </c>
      <c r="E9" s="596">
        <v>4440.6674311711076</v>
      </c>
      <c r="F9" s="596">
        <v>5116.4546128773318</v>
      </c>
      <c r="G9" s="596">
        <v>5833.034787257815</v>
      </c>
      <c r="H9" s="596">
        <v>6516.4537559726123</v>
      </c>
      <c r="I9" s="596">
        <v>7494.4823632322223</v>
      </c>
      <c r="J9" s="596">
        <v>8674.8571102889618</v>
      </c>
      <c r="K9" s="596">
        <v>10124.916905092896</v>
      </c>
      <c r="L9" s="596">
        <v>10912.42014162675</v>
      </c>
      <c r="M9" s="596">
        <v>11132.733291537501</v>
      </c>
      <c r="N9" s="596">
        <v>12200.683218477392</v>
      </c>
      <c r="O9" s="596">
        <v>13078.515562009405</v>
      </c>
      <c r="P9" s="596">
        <v>15015.553997821</v>
      </c>
      <c r="Q9" s="596">
        <v>16053.265426172948</v>
      </c>
      <c r="R9" s="596">
        <v>17325.2</v>
      </c>
      <c r="S9" s="596">
        <v>17993.900000000001</v>
      </c>
      <c r="T9" s="596">
        <v>18957.5</v>
      </c>
      <c r="U9" s="596">
        <v>19387.2</v>
      </c>
      <c r="V9" s="596">
        <v>20523.036329029674</v>
      </c>
      <c r="W9" s="596">
        <v>21717.657426236299</v>
      </c>
      <c r="X9" s="596">
        <v>22813.133485475122</v>
      </c>
      <c r="Y9" s="596" t="s">
        <v>1196</v>
      </c>
      <c r="Z9" s="596" t="s">
        <v>1197</v>
      </c>
      <c r="AA9" s="596">
        <v>28541</v>
      </c>
      <c r="AB9" s="597" t="s">
        <v>1198</v>
      </c>
    </row>
    <row r="10" spans="1:28" ht="27">
      <c r="A10" s="596" t="s">
        <v>1199</v>
      </c>
      <c r="B10" s="596">
        <v>23960.797280955896</v>
      </c>
      <c r="C10" s="596">
        <v>26083.384415523844</v>
      </c>
      <c r="D10" s="596">
        <v>27991.68217096537</v>
      </c>
      <c r="E10" s="596">
        <v>29665.737437851487</v>
      </c>
      <c r="F10" s="596">
        <v>32115.070405303948</v>
      </c>
      <c r="G10" s="596">
        <v>35187.333790067911</v>
      </c>
      <c r="H10" s="596">
        <v>39644.03390943235</v>
      </c>
      <c r="I10" s="596">
        <v>45885.913211741754</v>
      </c>
      <c r="J10" s="596">
        <v>52241.537208576461</v>
      </c>
      <c r="K10" s="596">
        <v>59456.190291316205</v>
      </c>
      <c r="L10" s="596">
        <v>66872.624650779078</v>
      </c>
      <c r="M10" s="596">
        <v>69369.728727720794</v>
      </c>
      <c r="N10" s="596">
        <v>74712.070361444654</v>
      </c>
      <c r="O10" s="596">
        <v>79774.835527419607</v>
      </c>
      <c r="P10" s="596">
        <v>90425.726508765481</v>
      </c>
      <c r="Q10" s="596">
        <v>96589.172072769303</v>
      </c>
      <c r="R10" s="596">
        <v>104761.8</v>
      </c>
      <c r="S10" s="596">
        <v>109382.7</v>
      </c>
      <c r="T10" s="596">
        <v>117106.3</v>
      </c>
      <c r="U10" s="596">
        <v>122520.2</v>
      </c>
      <c r="V10" s="596">
        <v>129698.28111537411</v>
      </c>
      <c r="W10" s="596">
        <v>137247.86103170941</v>
      </c>
      <c r="X10" s="596">
        <v>144170.87961475144</v>
      </c>
      <c r="Y10" s="596" t="s">
        <v>1200</v>
      </c>
      <c r="Z10" s="596" t="s">
        <v>1201</v>
      </c>
      <c r="AA10" s="596">
        <v>185262</v>
      </c>
      <c r="AB10" s="597" t="s">
        <v>1202</v>
      </c>
    </row>
    <row r="11" spans="1:28" ht="27">
      <c r="A11" s="596" t="s">
        <v>1203</v>
      </c>
      <c r="B11" s="596">
        <v>7960.202281113181</v>
      </c>
      <c r="C11" s="596">
        <v>8534.0459288132588</v>
      </c>
      <c r="D11" s="596">
        <v>8777.7389237948119</v>
      </c>
      <c r="E11" s="596">
        <v>9117.4717854312894</v>
      </c>
      <c r="F11" s="596">
        <v>9809.7863797533191</v>
      </c>
      <c r="G11" s="596">
        <v>10404.536665092566</v>
      </c>
      <c r="H11" s="596">
        <v>12237.569675601695</v>
      </c>
      <c r="I11" s="596">
        <v>13350.412574936568</v>
      </c>
      <c r="J11" s="596">
        <v>14724.80622223645</v>
      </c>
      <c r="K11" s="596">
        <v>16560.888117401289</v>
      </c>
      <c r="L11" s="596">
        <v>18532.645379745314</v>
      </c>
      <c r="M11" s="596">
        <v>19498.052928228975</v>
      </c>
      <c r="N11" s="596">
        <v>20996.36195903601</v>
      </c>
      <c r="O11" s="596">
        <v>19883.083504750321</v>
      </c>
      <c r="P11" s="596">
        <v>24087.277667501745</v>
      </c>
      <c r="Q11" s="596">
        <v>25382.400313753111</v>
      </c>
      <c r="R11" s="596">
        <v>27208.9</v>
      </c>
      <c r="S11" s="596">
        <v>29267.8</v>
      </c>
      <c r="T11" s="596">
        <v>30304.7</v>
      </c>
      <c r="U11" s="596">
        <v>32570.9</v>
      </c>
      <c r="V11" s="596">
        <v>32418.078027067339</v>
      </c>
      <c r="W11" s="596">
        <v>33730.381185947612</v>
      </c>
      <c r="X11" s="596">
        <v>37680.026928606007</v>
      </c>
      <c r="Y11" s="596" t="s">
        <v>1204</v>
      </c>
      <c r="Z11" s="596" t="s">
        <v>1205</v>
      </c>
      <c r="AA11" s="596">
        <v>66744</v>
      </c>
      <c r="AB11" s="597" t="s">
        <v>1206</v>
      </c>
    </row>
    <row r="12" spans="1:28" ht="27">
      <c r="A12" s="596" t="s">
        <v>1207</v>
      </c>
      <c r="B12" s="596">
        <v>98.90157428064289</v>
      </c>
      <c r="C12" s="596">
        <v>108.03426490301315</v>
      </c>
      <c r="D12" s="596">
        <v>117.01487648390301</v>
      </c>
      <c r="E12" s="596">
        <v>124.53688303017472</v>
      </c>
      <c r="F12" s="596">
        <v>134.99020542591475</v>
      </c>
      <c r="G12" s="596">
        <v>148.87603160225382</v>
      </c>
      <c r="H12" s="596">
        <v>166.27487053008204</v>
      </c>
      <c r="I12" s="596">
        <v>194.75664967675746</v>
      </c>
      <c r="J12" s="596">
        <v>223.0750455959224</v>
      </c>
      <c r="K12" s="596">
        <v>254.44055635167484</v>
      </c>
      <c r="L12" s="596">
        <v>286.44480939276002</v>
      </c>
      <c r="M12" s="596">
        <v>296.36779706557672</v>
      </c>
      <c r="N12" s="596">
        <v>319.20113989806055</v>
      </c>
      <c r="O12" s="596">
        <v>348.00429008777212</v>
      </c>
      <c r="P12" s="596">
        <v>390.08428691234184</v>
      </c>
      <c r="Q12" s="596">
        <v>417.65306917552806</v>
      </c>
      <c r="R12" s="596">
        <v>453.9</v>
      </c>
      <c r="S12" s="596">
        <v>518.79999999999995</v>
      </c>
      <c r="T12" s="596">
        <v>538.79999999999995</v>
      </c>
      <c r="U12" s="596">
        <v>543</v>
      </c>
      <c r="V12" s="596">
        <v>541.30518498072752</v>
      </c>
      <c r="W12" s="596">
        <v>585.82707634985229</v>
      </c>
      <c r="X12" s="596">
        <v>625.50315418251512</v>
      </c>
      <c r="Y12" s="596">
        <v>672</v>
      </c>
      <c r="Z12" s="596">
        <v>925</v>
      </c>
      <c r="AA12" s="596">
        <v>1221</v>
      </c>
      <c r="AB12" s="597" t="s">
        <v>1208</v>
      </c>
    </row>
    <row r="13" spans="1:28" ht="27">
      <c r="A13" s="596" t="s">
        <v>1209</v>
      </c>
      <c r="B13" s="596">
        <v>10196.386782106014</v>
      </c>
      <c r="C13" s="596">
        <v>11991.134743449817</v>
      </c>
      <c r="D13" s="596">
        <v>13567.257961880703</v>
      </c>
      <c r="E13" s="596">
        <v>14391.294700329576</v>
      </c>
      <c r="F13" s="596">
        <v>20271.993975066387</v>
      </c>
      <c r="G13" s="596">
        <v>25658.700843236034</v>
      </c>
      <c r="H13" s="596">
        <v>28068.053414059315</v>
      </c>
      <c r="I13" s="596">
        <v>31759.111366972484</v>
      </c>
      <c r="J13" s="596">
        <v>38318.292027522941</v>
      </c>
      <c r="K13" s="596">
        <v>47435.89200917432</v>
      </c>
      <c r="L13" s="596">
        <v>46136.04643119267</v>
      </c>
      <c r="M13" s="596">
        <v>45017.796926605515</v>
      </c>
      <c r="N13" s="596">
        <v>51681.243275229368</v>
      </c>
      <c r="O13" s="596">
        <v>55958.525908256895</v>
      </c>
      <c r="P13" s="596">
        <v>66327.314146788995</v>
      </c>
      <c r="Q13" s="596">
        <v>71064.451908256888</v>
      </c>
      <c r="R13" s="596">
        <v>75766.399999999994</v>
      </c>
      <c r="S13" s="596">
        <v>68680.600000000006</v>
      </c>
      <c r="T13" s="596">
        <v>65390.7</v>
      </c>
      <c r="U13" s="596">
        <v>73688.899999999994</v>
      </c>
      <c r="V13" s="596">
        <v>102978.46356423254</v>
      </c>
      <c r="W13" s="596">
        <v>131286.84793456295</v>
      </c>
      <c r="X13" s="596">
        <v>132878.29715848429</v>
      </c>
      <c r="Y13" s="596" t="s">
        <v>1210</v>
      </c>
      <c r="Z13" s="596" t="s">
        <v>1211</v>
      </c>
      <c r="AA13" s="596">
        <v>91186</v>
      </c>
      <c r="AB13" s="597" t="s">
        <v>1212</v>
      </c>
    </row>
    <row r="14" spans="1:28" ht="27">
      <c r="A14" s="596" t="s">
        <v>1213</v>
      </c>
      <c r="B14" s="596">
        <v>-6456.9507593873886</v>
      </c>
      <c r="C14" s="596">
        <v>-7355.704696124385</v>
      </c>
      <c r="D14" s="596">
        <v>-8764.6329395786852</v>
      </c>
      <c r="E14" s="596">
        <v>-8808.1701390980779</v>
      </c>
      <c r="F14" s="596">
        <v>-15663.329941945558</v>
      </c>
      <c r="G14" s="596">
        <v>-14072.473715152824</v>
      </c>
      <c r="H14" s="596">
        <v>-5969.2125329352684</v>
      </c>
      <c r="I14" s="596">
        <v>6377.6046672592292</v>
      </c>
      <c r="J14" s="596">
        <v>-10944.84056505913</v>
      </c>
      <c r="K14" s="596">
        <v>-15805.778357393847</v>
      </c>
      <c r="L14" s="596">
        <v>-5185.0399992160619</v>
      </c>
      <c r="M14" s="596">
        <v>-12321.508686673618</v>
      </c>
      <c r="N14" s="596">
        <v>-1596.1224547598745</v>
      </c>
      <c r="O14" s="596">
        <v>17547.44714295254</v>
      </c>
      <c r="P14" s="596">
        <v>31795.961082106096</v>
      </c>
      <c r="Q14" s="596">
        <v>32222.945450456791</v>
      </c>
      <c r="R14" s="596">
        <v>7648.4</v>
      </c>
      <c r="S14" s="596">
        <v>-25623.200000000001</v>
      </c>
      <c r="T14" s="596">
        <v>-6824.8</v>
      </c>
      <c r="U14" s="596">
        <v>18519.7</v>
      </c>
      <c r="V14" s="596">
        <v>11923.465266300393</v>
      </c>
      <c r="W14" s="596">
        <v>-3839.8780346114072</v>
      </c>
      <c r="X14" s="596">
        <v>-9971.473376960832</v>
      </c>
      <c r="Y14" s="596" t="s">
        <v>1210</v>
      </c>
      <c r="Z14" s="596" t="s">
        <v>1214</v>
      </c>
      <c r="AA14" s="596">
        <v>73610</v>
      </c>
      <c r="AB14" s="597" t="s">
        <v>1215</v>
      </c>
    </row>
    <row r="15" spans="1:28" ht="27">
      <c r="A15" s="596" t="s">
        <v>1216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6"/>
      <c r="N15" s="596"/>
      <c r="O15" s="596"/>
      <c r="P15" s="596"/>
      <c r="Q15" s="596"/>
      <c r="R15" s="596"/>
      <c r="S15" s="596"/>
      <c r="T15" s="596"/>
      <c r="U15" s="596">
        <v>39.700000000000003</v>
      </c>
      <c r="V15" s="596">
        <v>41.001093698288663</v>
      </c>
      <c r="W15" s="596">
        <v>59.912739635293555</v>
      </c>
      <c r="X15" s="596">
        <v>77.334683475400354</v>
      </c>
      <c r="Y15" s="596" t="s">
        <v>10</v>
      </c>
      <c r="Z15" s="596" t="s">
        <v>10</v>
      </c>
      <c r="AA15" s="596" t="s">
        <v>1329</v>
      </c>
      <c r="AB15" s="597"/>
    </row>
    <row r="16" spans="1:28" ht="27">
      <c r="A16" s="596" t="s">
        <v>1217</v>
      </c>
      <c r="B16" s="596">
        <v>9369.0456681745527</v>
      </c>
      <c r="C16" s="596">
        <v>9390.56354340697</v>
      </c>
      <c r="D16" s="596">
        <v>10849.087954084252</v>
      </c>
      <c r="E16" s="596">
        <v>11398.304448407134</v>
      </c>
      <c r="F16" s="596">
        <v>11963.079547881938</v>
      </c>
      <c r="G16" s="596">
        <v>10318.069956296113</v>
      </c>
      <c r="H16" s="596">
        <v>14586.322125976125</v>
      </c>
      <c r="I16" s="596">
        <v>20862.36357143494</v>
      </c>
      <c r="J16" s="596">
        <v>44600.862682363135</v>
      </c>
      <c r="K16" s="596">
        <v>45542.870373656435</v>
      </c>
      <c r="L16" s="596">
        <v>51595.467274678915</v>
      </c>
      <c r="M16" s="596">
        <v>46071.082720769147</v>
      </c>
      <c r="N16" s="596">
        <v>71032.057017322455</v>
      </c>
      <c r="O16" s="596">
        <v>95430.684817457251</v>
      </c>
      <c r="P16" s="596">
        <v>96316.214843660564</v>
      </c>
      <c r="Q16" s="596">
        <v>98924.501111771053</v>
      </c>
      <c r="R16" s="596">
        <v>74618.600000000006</v>
      </c>
      <c r="S16" s="596">
        <v>94407.3</v>
      </c>
      <c r="T16" s="596">
        <v>88448.9</v>
      </c>
      <c r="U16" s="596">
        <v>83989.2</v>
      </c>
      <c r="V16" s="596">
        <v>89913.42986435059</v>
      </c>
      <c r="W16" s="596">
        <v>113431.26988932575</v>
      </c>
      <c r="X16" s="596">
        <v>117093.24922676144</v>
      </c>
      <c r="Y16" s="596" t="s">
        <v>1218</v>
      </c>
      <c r="Z16" s="596" t="s">
        <v>1219</v>
      </c>
      <c r="AA16" s="596">
        <v>148815</v>
      </c>
      <c r="AB16" s="597" t="s">
        <v>1114</v>
      </c>
    </row>
    <row r="17" spans="1:28" ht="27">
      <c r="A17" s="589"/>
      <c r="B17" s="589"/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89"/>
      <c r="P17" s="589"/>
      <c r="Q17" s="589"/>
      <c r="R17" s="589"/>
      <c r="S17" s="589"/>
      <c r="T17" s="589"/>
      <c r="U17" s="589"/>
      <c r="V17" s="589"/>
      <c r="W17" s="589"/>
      <c r="X17" s="589"/>
      <c r="Y17" s="589"/>
      <c r="Z17" s="589"/>
      <c r="AA17" s="589"/>
      <c r="AB17" s="592"/>
    </row>
    <row r="18" spans="1:28" ht="27">
      <c r="A18" s="598" t="s">
        <v>957</v>
      </c>
      <c r="B18" s="589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89"/>
      <c r="Q18" s="589"/>
      <c r="R18" s="589"/>
      <c r="S18" s="589"/>
      <c r="T18" s="589"/>
      <c r="U18" s="589"/>
      <c r="V18" s="589"/>
      <c r="W18" s="589"/>
      <c r="X18" s="589"/>
      <c r="Y18" s="589"/>
      <c r="Z18" s="589"/>
      <c r="AA18" s="589"/>
      <c r="AB18" s="599" t="s">
        <v>1220</v>
      </c>
    </row>
    <row r="19" spans="1:28" ht="27">
      <c r="A19" s="600" t="s">
        <v>1221</v>
      </c>
      <c r="B19" s="589"/>
      <c r="C19" s="589"/>
      <c r="D19" s="589"/>
      <c r="E19" s="589"/>
      <c r="F19" s="589"/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589"/>
      <c r="R19" s="589"/>
      <c r="S19" s="589"/>
      <c r="T19" s="589"/>
      <c r="U19" s="601"/>
      <c r="V19" s="601"/>
      <c r="W19" s="601"/>
      <c r="X19" s="601"/>
      <c r="Y19" s="601"/>
      <c r="Z19" s="601"/>
      <c r="AA19" s="601"/>
      <c r="AB19" s="602" t="s">
        <v>1222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EFBB-E12F-446B-AFE9-EECB28B32779}">
  <sheetPr>
    <tabColor theme="6"/>
  </sheetPr>
  <dimension ref="A1:AB32"/>
  <sheetViews>
    <sheetView topLeftCell="A19" workbookViewId="0">
      <selection activeCell="Z9" sqref="Z9"/>
    </sheetView>
  </sheetViews>
  <sheetFormatPr baseColWidth="10" defaultRowHeight="14.4"/>
  <cols>
    <col min="1" max="1" width="74.33203125" customWidth="1"/>
    <col min="28" max="28" width="40" customWidth="1"/>
  </cols>
  <sheetData>
    <row r="1" spans="1:28" ht="27">
      <c r="A1" s="603" t="s">
        <v>1224</v>
      </c>
      <c r="B1" s="589"/>
      <c r="C1" s="589"/>
      <c r="D1" s="588"/>
      <c r="E1" s="588"/>
      <c r="F1" s="588"/>
      <c r="G1" s="588"/>
      <c r="H1" s="588"/>
      <c r="I1" s="588"/>
      <c r="J1" s="588"/>
      <c r="K1" s="588"/>
      <c r="L1" s="588"/>
      <c r="M1" s="589"/>
      <c r="N1" s="589"/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89"/>
      <c r="AB1" s="604" t="s">
        <v>1225</v>
      </c>
    </row>
    <row r="2" spans="1:28" ht="27">
      <c r="A2" s="593" t="s">
        <v>1226</v>
      </c>
      <c r="B2" s="593">
        <v>1998</v>
      </c>
      <c r="C2" s="593">
        <v>1999</v>
      </c>
      <c r="D2" s="593">
        <v>2000</v>
      </c>
      <c r="E2" s="593">
        <v>2001</v>
      </c>
      <c r="F2" s="593">
        <v>2002</v>
      </c>
      <c r="G2" s="593">
        <v>2003</v>
      </c>
      <c r="H2" s="593">
        <v>2004</v>
      </c>
      <c r="I2" s="593">
        <v>2005</v>
      </c>
      <c r="J2" s="593">
        <v>2006</v>
      </c>
      <c r="K2" s="593">
        <v>2007</v>
      </c>
      <c r="L2" s="593">
        <v>2008</v>
      </c>
      <c r="M2" s="593">
        <v>2009</v>
      </c>
      <c r="N2" s="593">
        <v>2010</v>
      </c>
      <c r="O2" s="593">
        <v>2011</v>
      </c>
      <c r="P2" s="593">
        <v>2012</v>
      </c>
      <c r="Q2" s="593">
        <v>2013</v>
      </c>
      <c r="R2" s="593">
        <v>2014</v>
      </c>
      <c r="S2" s="593">
        <v>2015</v>
      </c>
      <c r="T2" s="594">
        <v>2016</v>
      </c>
      <c r="U2" s="594">
        <v>2017</v>
      </c>
      <c r="V2" s="594" t="s">
        <v>1176</v>
      </c>
      <c r="W2" s="594" t="s">
        <v>1177</v>
      </c>
      <c r="X2" s="594" t="s">
        <v>46</v>
      </c>
      <c r="Y2" s="594">
        <v>2021</v>
      </c>
      <c r="Z2" s="594">
        <v>2022</v>
      </c>
      <c r="AA2" s="594" t="s">
        <v>1331</v>
      </c>
      <c r="AB2" s="605" t="s">
        <v>400</v>
      </c>
    </row>
    <row r="3" spans="1:28" ht="27">
      <c r="A3" s="606" t="s">
        <v>1227</v>
      </c>
      <c r="B3" s="620">
        <v>9936.7891565672708</v>
      </c>
      <c r="C3" s="620">
        <v>10933.163643964217</v>
      </c>
      <c r="D3" s="620">
        <v>10556.414214604247</v>
      </c>
      <c r="E3" s="620">
        <v>11100.130256645532</v>
      </c>
      <c r="F3" s="620">
        <v>11700.581275925322</v>
      </c>
      <c r="G3" s="620">
        <v>13044.812421383993</v>
      </c>
      <c r="H3" s="620">
        <v>14366.073295392704</v>
      </c>
      <c r="I3" s="620">
        <v>15650.875608977327</v>
      </c>
      <c r="J3" s="620">
        <v>17483.975489627592</v>
      </c>
      <c r="K3" s="620">
        <v>20715.803018078375</v>
      </c>
      <c r="L3" s="620">
        <v>23017.223473225502</v>
      </c>
      <c r="M3" s="620">
        <v>23722.428871508117</v>
      </c>
      <c r="N3" s="620">
        <v>25986.003710727822</v>
      </c>
      <c r="O3" s="620">
        <v>27604.308825135413</v>
      </c>
      <c r="P3" s="620">
        <v>32103.094580704441</v>
      </c>
      <c r="Q3" s="620">
        <v>35363.287088092635</v>
      </c>
      <c r="R3" s="620">
        <v>37548.1</v>
      </c>
      <c r="S3" s="620">
        <v>41304.6</v>
      </c>
      <c r="T3" s="620">
        <v>49016.1</v>
      </c>
      <c r="U3" s="620">
        <v>55299.199999999997</v>
      </c>
      <c r="V3" s="620">
        <v>61200.927140647662</v>
      </c>
      <c r="W3" s="620">
        <v>62749.986307285704</v>
      </c>
      <c r="X3" s="620">
        <v>59430.58929882387</v>
      </c>
      <c r="Y3" s="620" t="s">
        <v>1228</v>
      </c>
      <c r="Z3" s="620" t="s">
        <v>1229</v>
      </c>
      <c r="AA3" s="620">
        <v>72849</v>
      </c>
      <c r="AB3" s="607" t="s">
        <v>1230</v>
      </c>
    </row>
    <row r="4" spans="1:28" ht="27">
      <c r="A4" s="608" t="s">
        <v>1231</v>
      </c>
      <c r="B4" s="621">
        <v>9936.7891565672708</v>
      </c>
      <c r="C4" s="621">
        <v>10933.163643964217</v>
      </c>
      <c r="D4" s="621">
        <v>10556.414214604247</v>
      </c>
      <c r="E4" s="621">
        <v>11100.130256645532</v>
      </c>
      <c r="F4" s="621">
        <v>11700.581275925322</v>
      </c>
      <c r="G4" s="621">
        <v>13044.812421383993</v>
      </c>
      <c r="H4" s="621">
        <v>14366.073295392704</v>
      </c>
      <c r="I4" s="621">
        <v>15650.875608977327</v>
      </c>
      <c r="J4" s="621">
        <v>17483.975489627592</v>
      </c>
      <c r="K4" s="621">
        <v>20715.803018078375</v>
      </c>
      <c r="L4" s="621">
        <v>23017.223473225502</v>
      </c>
      <c r="M4" s="621">
        <v>23722.428871508117</v>
      </c>
      <c r="N4" s="621">
        <v>25986.003710727822</v>
      </c>
      <c r="O4" s="621">
        <v>27604.308825135413</v>
      </c>
      <c r="P4" s="621">
        <v>32103.094580704441</v>
      </c>
      <c r="Q4" s="621">
        <v>35363.287088092635</v>
      </c>
      <c r="R4" s="621">
        <v>37548.1</v>
      </c>
      <c r="S4" s="621">
        <v>41304.6</v>
      </c>
      <c r="T4" s="621">
        <v>49016.1</v>
      </c>
      <c r="U4" s="621">
        <v>55299.199999999997</v>
      </c>
      <c r="V4" s="621">
        <v>61200.927140647662</v>
      </c>
      <c r="W4" s="621">
        <v>62749.986307285704</v>
      </c>
      <c r="X4" s="621">
        <v>59430.58929882387</v>
      </c>
      <c r="Y4" s="620" t="s">
        <v>1228</v>
      </c>
      <c r="Z4" s="620" t="s">
        <v>1229</v>
      </c>
      <c r="AA4" s="620">
        <v>72849</v>
      </c>
      <c r="AB4" s="609" t="s">
        <v>1232</v>
      </c>
    </row>
    <row r="5" spans="1:28" ht="27">
      <c r="A5" s="608" t="s">
        <v>1233</v>
      </c>
      <c r="B5" s="621">
        <v>3357.0995895770889</v>
      </c>
      <c r="C5" s="621">
        <v>2922.7374270259561</v>
      </c>
      <c r="D5" s="621">
        <v>2539.6192096492587</v>
      </c>
      <c r="E5" s="621">
        <v>2208.7416612371912</v>
      </c>
      <c r="F5" s="621">
        <v>2434.8406806765306</v>
      </c>
      <c r="G5" s="621">
        <v>2963.4911786734656</v>
      </c>
      <c r="H5" s="621">
        <v>2165.1471689685436</v>
      </c>
      <c r="I5" s="621">
        <v>3533.9097965807159</v>
      </c>
      <c r="J5" s="621">
        <v>3696.1811747303755</v>
      </c>
      <c r="K5" s="621">
        <v>4176.5046119593344</v>
      </c>
      <c r="L5" s="621">
        <v>5450.1178428832509</v>
      </c>
      <c r="M5" s="621">
        <v>5160.8680996647863</v>
      </c>
      <c r="N5" s="621">
        <v>7252.6873473044052</v>
      </c>
      <c r="O5" s="621">
        <v>6480.3980354488322</v>
      </c>
      <c r="P5" s="621">
        <v>9627.2633181179499</v>
      </c>
      <c r="Q5" s="621">
        <v>11478.22651675566</v>
      </c>
      <c r="R5" s="621">
        <v>10561.2</v>
      </c>
      <c r="S5" s="621">
        <v>9944.7000000000007</v>
      </c>
      <c r="T5" s="621">
        <v>10266</v>
      </c>
      <c r="U5" s="621">
        <v>10510.2</v>
      </c>
      <c r="V5" s="621">
        <v>11429.856286630271</v>
      </c>
      <c r="W5" s="621">
        <v>13053.339162278226</v>
      </c>
      <c r="X5" s="621">
        <v>11799.335487277111</v>
      </c>
      <c r="Y5" s="620" t="s">
        <v>1234</v>
      </c>
      <c r="Z5" s="620" t="s">
        <v>1235</v>
      </c>
      <c r="AA5" s="620">
        <v>20400</v>
      </c>
      <c r="AB5" s="610" t="s">
        <v>1236</v>
      </c>
    </row>
    <row r="6" spans="1:28" ht="27">
      <c r="A6" s="608" t="s">
        <v>1237</v>
      </c>
      <c r="B6" s="621">
        <v>3327.1473232803714</v>
      </c>
      <c r="C6" s="621">
        <v>4375.6275580444562</v>
      </c>
      <c r="D6" s="621">
        <v>5002.5367101962001</v>
      </c>
      <c r="E6" s="621">
        <v>5555.9476922359654</v>
      </c>
      <c r="F6" s="621">
        <v>5979.1570564435333</v>
      </c>
      <c r="G6" s="621">
        <v>7202.9445105298946</v>
      </c>
      <c r="H6" s="621">
        <v>8489.1127790524242</v>
      </c>
      <c r="I6" s="621">
        <v>8267.9223760035857</v>
      </c>
      <c r="J6" s="621">
        <v>8748.2692469741123</v>
      </c>
      <c r="K6" s="621">
        <v>10245.449742226618</v>
      </c>
      <c r="L6" s="621">
        <v>11750.931664664913</v>
      </c>
      <c r="M6" s="621">
        <v>12224.105766168743</v>
      </c>
      <c r="N6" s="621">
        <v>12549.481084680767</v>
      </c>
      <c r="O6" s="621">
        <v>13414.708574877624</v>
      </c>
      <c r="P6" s="621">
        <v>13337.025058370094</v>
      </c>
      <c r="Q6" s="621">
        <v>15796.511683900171</v>
      </c>
      <c r="R6" s="621">
        <v>18699.7</v>
      </c>
      <c r="S6" s="621">
        <v>21744.1</v>
      </c>
      <c r="T6" s="621">
        <v>24390.9</v>
      </c>
      <c r="U6" s="621">
        <v>25830.3</v>
      </c>
      <c r="V6" s="621">
        <v>26893.21211932287</v>
      </c>
      <c r="W6" s="621">
        <v>27643.089558046624</v>
      </c>
      <c r="X6" s="621">
        <v>28478.285625252553</v>
      </c>
      <c r="Y6" s="620" t="s">
        <v>1238</v>
      </c>
      <c r="Z6" s="620" t="s">
        <v>1239</v>
      </c>
      <c r="AA6" s="620">
        <v>41603</v>
      </c>
      <c r="AB6" s="610" t="s">
        <v>1240</v>
      </c>
    </row>
    <row r="7" spans="1:28" ht="27">
      <c r="A7" s="608" t="s">
        <v>1241</v>
      </c>
      <c r="B7" s="621">
        <v>3252.5422437098118</v>
      </c>
      <c r="C7" s="621">
        <v>3634.7986588938052</v>
      </c>
      <c r="D7" s="621">
        <v>3014.2582947587889</v>
      </c>
      <c r="E7" s="621">
        <v>3335.4409031723771</v>
      </c>
      <c r="F7" s="621">
        <v>3286.5835388052606</v>
      </c>
      <c r="G7" s="621">
        <v>2878.3767321806326</v>
      </c>
      <c r="H7" s="621">
        <v>3711.8133473717367</v>
      </c>
      <c r="I7" s="621">
        <v>3849.0434363930253</v>
      </c>
      <c r="J7" s="621">
        <v>5039.5250679231012</v>
      </c>
      <c r="K7" s="621">
        <v>6293.8486638924242</v>
      </c>
      <c r="L7" s="621">
        <v>5816.1739656773398</v>
      </c>
      <c r="M7" s="621">
        <v>6337.4550056745884</v>
      </c>
      <c r="N7" s="621">
        <v>6183.8352787426493</v>
      </c>
      <c r="O7" s="621">
        <v>7709.2022148089554</v>
      </c>
      <c r="P7" s="621">
        <v>9138.8062042163911</v>
      </c>
      <c r="Q7" s="621">
        <v>8088.5488874368066</v>
      </c>
      <c r="R7" s="621">
        <v>8287.2000000000007</v>
      </c>
      <c r="S7" s="621">
        <v>9615.7999999999993</v>
      </c>
      <c r="T7" s="621">
        <v>14359.2</v>
      </c>
      <c r="U7" s="621">
        <v>18958.7</v>
      </c>
      <c r="V7" s="621">
        <v>22877.858734694524</v>
      </c>
      <c r="W7" s="621">
        <v>22053.557586960851</v>
      </c>
      <c r="X7" s="621">
        <v>19152.968186294202</v>
      </c>
      <c r="Y7" s="620" t="s">
        <v>1242</v>
      </c>
      <c r="Z7" s="620" t="s">
        <v>1243</v>
      </c>
      <c r="AA7" s="620">
        <v>10846</v>
      </c>
      <c r="AB7" s="610" t="s">
        <v>891</v>
      </c>
    </row>
    <row r="8" spans="1:28" ht="27">
      <c r="A8" s="611" t="s">
        <v>1244</v>
      </c>
      <c r="B8" s="621">
        <v>12846.969390487571</v>
      </c>
      <c r="C8" s="621">
        <v>13484.867475511448</v>
      </c>
      <c r="D8" s="621">
        <v>12734.599923565931</v>
      </c>
      <c r="E8" s="621">
        <v>12960.131823458996</v>
      </c>
      <c r="F8" s="621">
        <v>13724.052235568559</v>
      </c>
      <c r="G8" s="621">
        <v>14423.647254553023</v>
      </c>
      <c r="H8" s="621">
        <v>17258.4936498434</v>
      </c>
      <c r="I8" s="621">
        <v>25882.041312376885</v>
      </c>
      <c r="J8" s="621">
        <v>46185.91607938434</v>
      </c>
      <c r="K8" s="621">
        <v>41589.18324421491</v>
      </c>
      <c r="L8" s="621">
        <v>45253.427292240078</v>
      </c>
      <c r="M8" s="621">
        <v>40515.531624021787</v>
      </c>
      <c r="N8" s="621">
        <v>59312.621890349139</v>
      </c>
      <c r="O8" s="621">
        <v>83878.273960098188</v>
      </c>
      <c r="P8" s="621">
        <v>74788.015716478898</v>
      </c>
      <c r="Q8" s="621">
        <v>83854.439338418262</v>
      </c>
      <c r="R8" s="621">
        <v>56753.2</v>
      </c>
      <c r="S8" s="621">
        <v>45543.199999999997</v>
      </c>
      <c r="T8" s="621">
        <v>56863.8</v>
      </c>
      <c r="U8" s="621">
        <v>57798.5</v>
      </c>
      <c r="V8" s="621">
        <v>60114.604658801727</v>
      </c>
      <c r="W8" s="621">
        <v>75833.544605523464</v>
      </c>
      <c r="X8" s="621">
        <v>84914.805048483875</v>
      </c>
      <c r="Y8" s="620" t="s">
        <v>1245</v>
      </c>
      <c r="Z8" s="620" t="s">
        <v>1246</v>
      </c>
      <c r="AA8" s="620">
        <v>118896</v>
      </c>
      <c r="AB8" s="612" t="s">
        <v>1247</v>
      </c>
    </row>
    <row r="9" spans="1:28" ht="27">
      <c r="A9" s="608" t="s">
        <v>1248</v>
      </c>
      <c r="B9" s="621">
        <v>4782.6360460422393</v>
      </c>
      <c r="C9" s="621">
        <v>4682.4036899421944</v>
      </c>
      <c r="D9" s="621">
        <v>5076.5908235096631</v>
      </c>
      <c r="E9" s="621">
        <v>5037.4387102866376</v>
      </c>
      <c r="F9" s="621">
        <v>4453.1501497837453</v>
      </c>
      <c r="G9" s="621">
        <v>4915.3963499647907</v>
      </c>
      <c r="H9" s="621">
        <v>5930.4876836429003</v>
      </c>
      <c r="I9" s="621">
        <v>12648.158162592494</v>
      </c>
      <c r="J9" s="621">
        <v>31358.62047765313</v>
      </c>
      <c r="K9" s="621">
        <v>26890.983088853322</v>
      </c>
      <c r="L9" s="621">
        <v>30970.794376994563</v>
      </c>
      <c r="M9" s="621">
        <v>21962.21511001305</v>
      </c>
      <c r="N9" s="621">
        <v>39126.346716570974</v>
      </c>
      <c r="O9" s="621">
        <v>62492.88872862485</v>
      </c>
      <c r="P9" s="621">
        <v>50215.227482442235</v>
      </c>
      <c r="Q9" s="621">
        <v>56009.938970274154</v>
      </c>
      <c r="R9" s="621">
        <v>26338.1</v>
      </c>
      <c r="S9" s="621">
        <v>12914.1</v>
      </c>
      <c r="T9" s="621">
        <v>25466.5</v>
      </c>
      <c r="U9" s="621">
        <v>24915.4</v>
      </c>
      <c r="V9" s="621">
        <v>22751.968325569913</v>
      </c>
      <c r="W9" s="621">
        <v>37957.257148757955</v>
      </c>
      <c r="X9" s="621">
        <v>46016.731672049798</v>
      </c>
      <c r="Y9" s="620" t="s">
        <v>1249</v>
      </c>
      <c r="Z9" s="620" t="s">
        <v>1250</v>
      </c>
      <c r="AA9" s="620">
        <v>73474</v>
      </c>
      <c r="AB9" s="609" t="s">
        <v>1251</v>
      </c>
    </row>
    <row r="10" spans="1:28" ht="27">
      <c r="A10" s="608" t="s">
        <v>1252</v>
      </c>
      <c r="B10" s="621" t="s">
        <v>10</v>
      </c>
      <c r="C10" s="621" t="s">
        <v>10</v>
      </c>
      <c r="D10" s="621" t="s">
        <v>10</v>
      </c>
      <c r="E10" s="621" t="s">
        <v>10</v>
      </c>
      <c r="F10" s="621" t="s">
        <v>10</v>
      </c>
      <c r="G10" s="621" t="s">
        <v>10</v>
      </c>
      <c r="H10" s="621" t="s">
        <v>10</v>
      </c>
      <c r="I10" s="621" t="s">
        <v>10</v>
      </c>
      <c r="J10" s="621">
        <v>16201.864670327142</v>
      </c>
      <c r="K10" s="621">
        <v>7796.6046768340502</v>
      </c>
      <c r="L10" s="621">
        <v>4679.0665213001166</v>
      </c>
      <c r="M10" s="621">
        <v>2044.658915200095</v>
      </c>
      <c r="N10" s="621">
        <v>3238.2140237583899</v>
      </c>
      <c r="O10" s="621">
        <v>4244.5621100530116</v>
      </c>
      <c r="P10" s="621">
        <v>2514.1226306852022</v>
      </c>
      <c r="Q10" s="621">
        <v>3231.6830482916653</v>
      </c>
      <c r="R10" s="621">
        <v>3569.5</v>
      </c>
      <c r="S10" s="621">
        <v>648.5</v>
      </c>
      <c r="T10" s="621">
        <v>882.2</v>
      </c>
      <c r="U10" s="621">
        <v>701.8</v>
      </c>
      <c r="V10" s="621"/>
      <c r="W10" s="621"/>
      <c r="X10" s="621"/>
      <c r="Y10" s="620">
        <v>0</v>
      </c>
      <c r="Z10" s="620">
        <v>0</v>
      </c>
      <c r="AA10" s="620" t="s">
        <v>1330</v>
      </c>
      <c r="AB10" s="613" t="s">
        <v>1253</v>
      </c>
    </row>
    <row r="11" spans="1:28" ht="27">
      <c r="A11" s="608" t="s">
        <v>1254</v>
      </c>
      <c r="B11" s="621">
        <v>4782.6360460422393</v>
      </c>
      <c r="C11" s="621">
        <v>4682.4036899421944</v>
      </c>
      <c r="D11" s="621">
        <v>5076.5908235096631</v>
      </c>
      <c r="E11" s="621">
        <v>5037.4387102866376</v>
      </c>
      <c r="F11" s="621">
        <v>4453.1501497837453</v>
      </c>
      <c r="G11" s="621">
        <v>4915.3963499647907</v>
      </c>
      <c r="H11" s="621">
        <v>5930.4876836429003</v>
      </c>
      <c r="I11" s="621">
        <v>12648.158162592494</v>
      </c>
      <c r="J11" s="621">
        <v>15156.755807325992</v>
      </c>
      <c r="K11" s="621">
        <v>19094.378412019269</v>
      </c>
      <c r="L11" s="621">
        <v>26291.727855694451</v>
      </c>
      <c r="M11" s="621">
        <v>19917.556194812954</v>
      </c>
      <c r="N11" s="621">
        <v>35888.132692812578</v>
      </c>
      <c r="O11" s="621">
        <v>58248.326618571838</v>
      </c>
      <c r="P11" s="621">
        <v>47701.104851757031</v>
      </c>
      <c r="Q11" s="621">
        <v>52778.255921982483</v>
      </c>
      <c r="R11" s="621">
        <v>22768.6</v>
      </c>
      <c r="S11" s="621">
        <v>12265.6</v>
      </c>
      <c r="T11" s="621">
        <v>24584.3</v>
      </c>
      <c r="U11" s="621">
        <v>24213.599999999999</v>
      </c>
      <c r="V11" s="621">
        <v>22751.968325569913</v>
      </c>
      <c r="W11" s="621">
        <v>37957.257148757955</v>
      </c>
      <c r="X11" s="621">
        <v>46016.731672049798</v>
      </c>
      <c r="Y11" s="620" t="s">
        <v>1249</v>
      </c>
      <c r="Z11" s="620" t="s">
        <v>1250</v>
      </c>
      <c r="AA11" s="620">
        <v>73474</v>
      </c>
      <c r="AB11" s="613" t="s">
        <v>1255</v>
      </c>
    </row>
    <row r="12" spans="1:28" ht="27">
      <c r="A12" s="608" t="s">
        <v>1256</v>
      </c>
      <c r="B12" s="621">
        <v>4392.2273764523952</v>
      </c>
      <c r="C12" s="621">
        <v>4307.0711063001681</v>
      </c>
      <c r="D12" s="621">
        <v>4619.5554361289378</v>
      </c>
      <c r="E12" s="621">
        <v>4533.1435678739745</v>
      </c>
      <c r="F12" s="621">
        <v>4166.4081334693747</v>
      </c>
      <c r="G12" s="621">
        <v>4598.4737851482541</v>
      </c>
      <c r="H12" s="621">
        <v>5549.5317209616205</v>
      </c>
      <c r="I12" s="621">
        <v>11766.394677372507</v>
      </c>
      <c r="J12" s="621">
        <v>13688.570404920134</v>
      </c>
      <c r="K12" s="621">
        <v>17895.995261790827</v>
      </c>
      <c r="L12" s="621">
        <v>24563.74663138251</v>
      </c>
      <c r="M12" s="621">
        <v>18570.174643532791</v>
      </c>
      <c r="N12" s="621">
        <v>34255.789328470113</v>
      </c>
      <c r="O12" s="621">
        <v>56612.276798492487</v>
      </c>
      <c r="P12" s="621">
        <v>45820.052997857172</v>
      </c>
      <c r="Q12" s="621">
        <v>50264.385043969043</v>
      </c>
      <c r="R12" s="621">
        <v>19550</v>
      </c>
      <c r="S12" s="621">
        <v>8626.7000000000007</v>
      </c>
      <c r="T12" s="621">
        <v>20538.3</v>
      </c>
      <c r="U12" s="621">
        <v>19027.7</v>
      </c>
      <c r="V12" s="621">
        <v>17569.042281420087</v>
      </c>
      <c r="W12" s="621">
        <v>31022.405117898026</v>
      </c>
      <c r="X12" s="621">
        <v>38024.622681380868</v>
      </c>
      <c r="Y12" s="620" t="s">
        <v>1257</v>
      </c>
      <c r="Z12" s="620" t="s">
        <v>1258</v>
      </c>
      <c r="AA12" s="620">
        <v>66318</v>
      </c>
      <c r="AB12" s="613" t="s">
        <v>1259</v>
      </c>
    </row>
    <row r="13" spans="1:28" ht="27">
      <c r="A13" s="608" t="s">
        <v>1260</v>
      </c>
      <c r="B13" s="621">
        <v>4392.2273764523952</v>
      </c>
      <c r="C13" s="621">
        <v>4307.0711063001681</v>
      </c>
      <c r="D13" s="621">
        <v>4619.5554361289378</v>
      </c>
      <c r="E13" s="621">
        <v>4533.1435678739745</v>
      </c>
      <c r="F13" s="621">
        <v>4166.4081334693747</v>
      </c>
      <c r="G13" s="621">
        <v>4598.4737851482541</v>
      </c>
      <c r="H13" s="621">
        <v>5549.5317209616205</v>
      </c>
      <c r="I13" s="621">
        <v>11703.652735540225</v>
      </c>
      <c r="J13" s="621">
        <v>13276.408489872285</v>
      </c>
      <c r="K13" s="621">
        <v>14280.66146865153</v>
      </c>
      <c r="L13" s="621">
        <v>19253.450016133967</v>
      </c>
      <c r="M13" s="621">
        <v>13576.681450880738</v>
      </c>
      <c r="N13" s="621">
        <v>26803.643675791147</v>
      </c>
      <c r="O13" s="621">
        <v>45365.401361596843</v>
      </c>
      <c r="P13" s="621">
        <v>34445.973068896928</v>
      </c>
      <c r="Q13" s="621">
        <v>39210.985904704212</v>
      </c>
      <c r="R13" s="621">
        <v>13650.1</v>
      </c>
      <c r="S13" s="621">
        <v>3840.2</v>
      </c>
      <c r="T13" s="621">
        <v>14654.1</v>
      </c>
      <c r="U13" s="621">
        <v>11863.8</v>
      </c>
      <c r="V13" s="621">
        <v>10170.358776503961</v>
      </c>
      <c r="W13" s="621">
        <v>20211.098430913662</v>
      </c>
      <c r="X13" s="621">
        <v>24069.510869052894</v>
      </c>
      <c r="Y13" s="620" t="s">
        <v>1261</v>
      </c>
      <c r="Z13" s="620" t="s">
        <v>1262</v>
      </c>
      <c r="AA13" s="620">
        <v>32984</v>
      </c>
      <c r="AB13" s="613" t="s">
        <v>1263</v>
      </c>
    </row>
    <row r="14" spans="1:28" ht="27">
      <c r="A14" s="608" t="s">
        <v>1264</v>
      </c>
      <c r="B14" s="621" t="s">
        <v>10</v>
      </c>
      <c r="C14" s="621" t="s">
        <v>10</v>
      </c>
      <c r="D14" s="621" t="s">
        <v>10</v>
      </c>
      <c r="E14" s="621" t="s">
        <v>10</v>
      </c>
      <c r="F14" s="621" t="s">
        <v>10</v>
      </c>
      <c r="G14" s="621" t="s">
        <v>10</v>
      </c>
      <c r="H14" s="621" t="s">
        <v>10</v>
      </c>
      <c r="I14" s="621">
        <v>62.741941832283089</v>
      </c>
      <c r="J14" s="621">
        <v>412.16191504784899</v>
      </c>
      <c r="K14" s="621">
        <v>3615.3337931392971</v>
      </c>
      <c r="L14" s="621">
        <v>5310.2966152485442</v>
      </c>
      <c r="M14" s="621">
        <v>4993.4931926520558</v>
      </c>
      <c r="N14" s="621">
        <v>7452.1456526789725</v>
      </c>
      <c r="O14" s="621">
        <v>11246.875436895638</v>
      </c>
      <c r="P14" s="621">
        <v>11374.079928960236</v>
      </c>
      <c r="Q14" s="621">
        <v>11053.399139264833</v>
      </c>
      <c r="R14" s="621">
        <v>5899.9</v>
      </c>
      <c r="S14" s="621">
        <v>4786.5</v>
      </c>
      <c r="T14" s="621">
        <v>5884.2</v>
      </c>
      <c r="U14" s="621">
        <v>7163.9</v>
      </c>
      <c r="V14" s="621">
        <v>7398.6835049161236</v>
      </c>
      <c r="W14" s="621">
        <v>10811.30668698437</v>
      </c>
      <c r="X14" s="621">
        <v>13955.111812327974</v>
      </c>
      <c r="Y14" s="620" t="s">
        <v>1265</v>
      </c>
      <c r="Z14" s="620" t="s">
        <v>1266</v>
      </c>
      <c r="AA14" s="620">
        <v>33334</v>
      </c>
      <c r="AB14" s="609" t="s">
        <v>1267</v>
      </c>
    </row>
    <row r="15" spans="1:28" ht="27">
      <c r="A15" s="608" t="s">
        <v>1268</v>
      </c>
      <c r="B15" s="621">
        <v>390.40866958984407</v>
      </c>
      <c r="C15" s="621">
        <v>375.33258364202595</v>
      </c>
      <c r="D15" s="621">
        <v>457.03538738072558</v>
      </c>
      <c r="E15" s="621">
        <v>504.29514241266395</v>
      </c>
      <c r="F15" s="621">
        <v>286.74201631437035</v>
      </c>
      <c r="G15" s="621">
        <v>316.92256481653703</v>
      </c>
      <c r="H15" s="621">
        <v>380.95596268127969</v>
      </c>
      <c r="I15" s="621">
        <v>881.76348521998625</v>
      </c>
      <c r="J15" s="621">
        <v>1468.1854024058598</v>
      </c>
      <c r="K15" s="621">
        <v>1198.3831502284406</v>
      </c>
      <c r="L15" s="621">
        <v>1727.9812243119425</v>
      </c>
      <c r="M15" s="621">
        <v>1347.3815512801623</v>
      </c>
      <c r="N15" s="621">
        <v>1632.3433643424664</v>
      </c>
      <c r="O15" s="621">
        <v>1636.0498200793506</v>
      </c>
      <c r="P15" s="621">
        <v>1881.0518538998622</v>
      </c>
      <c r="Q15" s="621">
        <v>2513.8708780134452</v>
      </c>
      <c r="R15" s="621">
        <v>3218.6</v>
      </c>
      <c r="S15" s="621">
        <v>3638.9</v>
      </c>
      <c r="T15" s="621">
        <v>4046</v>
      </c>
      <c r="U15" s="621">
        <v>5185.8999999999996</v>
      </c>
      <c r="V15" s="621">
        <v>5182.9260441498236</v>
      </c>
      <c r="W15" s="621">
        <v>6934.85203085993</v>
      </c>
      <c r="X15" s="621">
        <v>7992.1089906689322</v>
      </c>
      <c r="Y15" s="620" t="s">
        <v>1269</v>
      </c>
      <c r="Z15" s="620" t="s">
        <v>1270</v>
      </c>
      <c r="AA15" s="620">
        <v>7156</v>
      </c>
      <c r="AB15" s="609" t="s">
        <v>1271</v>
      </c>
    </row>
    <row r="16" spans="1:28" ht="27">
      <c r="A16" s="608" t="s">
        <v>1272</v>
      </c>
      <c r="B16" s="621">
        <v>7309.1496757237564</v>
      </c>
      <c r="C16" s="621">
        <v>8169.4612602103352</v>
      </c>
      <c r="D16" s="621">
        <v>7055.41290520036</v>
      </c>
      <c r="E16" s="621">
        <v>7289.5427247808984</v>
      </c>
      <c r="F16" s="621">
        <v>8411.2534313219894</v>
      </c>
      <c r="G16" s="621">
        <v>8494.488372740052</v>
      </c>
      <c r="H16" s="621">
        <v>9190.670316676682</v>
      </c>
      <c r="I16" s="621">
        <v>10616.096182379169</v>
      </c>
      <c r="J16" s="621">
        <v>11432.13553737284</v>
      </c>
      <c r="K16" s="621">
        <v>11181.81122130208</v>
      </c>
      <c r="L16" s="621">
        <v>10778.392010844644</v>
      </c>
      <c r="M16" s="621">
        <v>15033.289535350812</v>
      </c>
      <c r="N16" s="621">
        <v>15365.656066711017</v>
      </c>
      <c r="O16" s="621">
        <v>15102.468511696055</v>
      </c>
      <c r="P16" s="621">
        <v>16928.850800567441</v>
      </c>
      <c r="Q16" s="621">
        <v>18468.491625951567</v>
      </c>
      <c r="R16" s="621">
        <v>19676.599999999999</v>
      </c>
      <c r="S16" s="621">
        <v>20779.599999999999</v>
      </c>
      <c r="T16" s="621">
        <v>20618.400000000001</v>
      </c>
      <c r="U16" s="621">
        <v>22541.3</v>
      </c>
      <c r="V16" s="621">
        <v>23169.510306894215</v>
      </c>
      <c r="W16" s="621">
        <v>23957.115235972975</v>
      </c>
      <c r="X16" s="621">
        <v>25612.750424344005</v>
      </c>
      <c r="Y16" s="620" t="s">
        <v>1273</v>
      </c>
      <c r="Z16" s="620" t="s">
        <v>1274</v>
      </c>
      <c r="AA16" s="620">
        <v>32717</v>
      </c>
      <c r="AB16" s="609" t="s">
        <v>1275</v>
      </c>
    </row>
    <row r="17" spans="1:28" ht="27">
      <c r="A17" s="608" t="s">
        <v>1276</v>
      </c>
      <c r="B17" s="621">
        <v>3969.8414309082568</v>
      </c>
      <c r="C17" s="621">
        <v>4426.0963171171743</v>
      </c>
      <c r="D17" s="621">
        <v>4198.3747331496843</v>
      </c>
      <c r="E17" s="621">
        <v>4526.5641402782421</v>
      </c>
      <c r="F17" s="621">
        <v>5671.0259998414022</v>
      </c>
      <c r="G17" s="621">
        <v>5783.0303641500595</v>
      </c>
      <c r="H17" s="621">
        <v>6743.1610771970109</v>
      </c>
      <c r="I17" s="621">
        <v>7517.5467902818637</v>
      </c>
      <c r="J17" s="621">
        <v>8929.2752587594659</v>
      </c>
      <c r="K17" s="621">
        <v>8220.338491698798</v>
      </c>
      <c r="L17" s="621">
        <v>6853.9626120359662</v>
      </c>
      <c r="M17" s="621">
        <v>10433.828262380501</v>
      </c>
      <c r="N17" s="621">
        <v>10413.76332647526</v>
      </c>
      <c r="O17" s="621">
        <v>10920.912457641756</v>
      </c>
      <c r="P17" s="621">
        <v>13014.362337664928</v>
      </c>
      <c r="Q17" s="621">
        <v>13914.977004905004</v>
      </c>
      <c r="R17" s="621">
        <v>14796.5</v>
      </c>
      <c r="S17" s="621">
        <v>14893.1</v>
      </c>
      <c r="T17" s="621">
        <v>13779</v>
      </c>
      <c r="U17" s="621">
        <v>15611.3</v>
      </c>
      <c r="V17" s="621">
        <v>16034.371764327021</v>
      </c>
      <c r="W17" s="621">
        <v>16622.980376909614</v>
      </c>
      <c r="X17" s="621">
        <v>17925.887127833576</v>
      </c>
      <c r="Y17" s="620" t="s">
        <v>1277</v>
      </c>
      <c r="Z17" s="620" t="s">
        <v>1278</v>
      </c>
      <c r="AA17" s="620">
        <v>25212</v>
      </c>
      <c r="AB17" s="613" t="s">
        <v>1279</v>
      </c>
    </row>
    <row r="18" spans="1:28" ht="27">
      <c r="A18" s="608" t="s">
        <v>1280</v>
      </c>
      <c r="B18" s="621">
        <v>3339.3082448155001</v>
      </c>
      <c r="C18" s="621">
        <v>3743.3649430931605</v>
      </c>
      <c r="D18" s="621">
        <v>2857.0381720506753</v>
      </c>
      <c r="E18" s="621">
        <v>2762.9785845026568</v>
      </c>
      <c r="F18" s="621">
        <v>2740.2274314805863</v>
      </c>
      <c r="G18" s="621">
        <v>2711.4580085899925</v>
      </c>
      <c r="H18" s="621">
        <v>2447.5092394796711</v>
      </c>
      <c r="I18" s="621">
        <v>3098.5493920973072</v>
      </c>
      <c r="J18" s="621">
        <v>2502.8602786133756</v>
      </c>
      <c r="K18" s="621">
        <v>2961.4727296032806</v>
      </c>
      <c r="L18" s="621">
        <v>3924.429398808677</v>
      </c>
      <c r="M18" s="621">
        <v>4599.4612729703131</v>
      </c>
      <c r="N18" s="621">
        <v>4951.8927402357567</v>
      </c>
      <c r="O18" s="621">
        <v>4181.5560540542983</v>
      </c>
      <c r="P18" s="621">
        <v>3914.4884629025109</v>
      </c>
      <c r="Q18" s="621">
        <v>4553.5146210465637</v>
      </c>
      <c r="R18" s="621">
        <v>4880.1000000000004</v>
      </c>
      <c r="S18" s="621">
        <v>5886.5</v>
      </c>
      <c r="T18" s="621">
        <v>6839.4</v>
      </c>
      <c r="U18" s="621">
        <v>6930</v>
      </c>
      <c r="V18" s="621">
        <v>7135.1385425671924</v>
      </c>
      <c r="W18" s="621">
        <v>7334.1348590633597</v>
      </c>
      <c r="X18" s="621">
        <v>7686.8632965104307</v>
      </c>
      <c r="Y18" s="620" t="s">
        <v>1281</v>
      </c>
      <c r="Z18" s="620" t="s">
        <v>1282</v>
      </c>
      <c r="AA18" s="620">
        <v>7505</v>
      </c>
      <c r="AB18" s="613" t="s">
        <v>1283</v>
      </c>
    </row>
    <row r="19" spans="1:28" ht="27">
      <c r="A19" s="608" t="s">
        <v>1284</v>
      </c>
      <c r="B19" s="621">
        <v>755.18366872157492</v>
      </c>
      <c r="C19" s="621">
        <v>633.00252535891718</v>
      </c>
      <c r="D19" s="621">
        <v>602.59619485590895</v>
      </c>
      <c r="E19" s="621">
        <v>633.15038839146177</v>
      </c>
      <c r="F19" s="621">
        <v>859.64865446282602</v>
      </c>
      <c r="G19" s="621">
        <v>1013.7625318481814</v>
      </c>
      <c r="H19" s="621">
        <v>2137.3356495238186</v>
      </c>
      <c r="I19" s="621">
        <v>2617.7869674052208</v>
      </c>
      <c r="J19" s="621">
        <v>3395.1600643583638</v>
      </c>
      <c r="K19" s="621">
        <v>3516.3889340595097</v>
      </c>
      <c r="L19" s="621">
        <v>3504.2409044008682</v>
      </c>
      <c r="M19" s="621">
        <v>3520.026978657922</v>
      </c>
      <c r="N19" s="621">
        <v>4820.6191070671557</v>
      </c>
      <c r="O19" s="621">
        <v>6282.9167197772831</v>
      </c>
      <c r="P19" s="621">
        <v>7643.9374334692111</v>
      </c>
      <c r="Q19" s="621">
        <v>9376.00874219254</v>
      </c>
      <c r="R19" s="621">
        <v>10738.5</v>
      </c>
      <c r="S19" s="621">
        <v>11849.5</v>
      </c>
      <c r="T19" s="621">
        <v>10778.9</v>
      </c>
      <c r="U19" s="621">
        <v>10341.799999999999</v>
      </c>
      <c r="V19" s="621">
        <v>14193.126026337597</v>
      </c>
      <c r="W19" s="621">
        <v>13919.172220792523</v>
      </c>
      <c r="X19" s="621">
        <v>13285.322952090075</v>
      </c>
      <c r="Y19" s="620" t="s">
        <v>1285</v>
      </c>
      <c r="Z19" s="620" t="s">
        <v>1286</v>
      </c>
      <c r="AA19" s="620">
        <v>12705</v>
      </c>
      <c r="AB19" s="609" t="s">
        <v>1287</v>
      </c>
    </row>
    <row r="20" spans="1:28" ht="27">
      <c r="A20" s="611" t="s">
        <v>1288</v>
      </c>
      <c r="B20" s="621">
        <v>13783.089389128156</v>
      </c>
      <c r="C20" s="621">
        <v>15248.037526455915</v>
      </c>
      <c r="D20" s="621">
        <v>17163.07711024255</v>
      </c>
      <c r="E20" s="621">
        <v>18422.091462020064</v>
      </c>
      <c r="F20" s="621">
        <v>20309.635032766248</v>
      </c>
      <c r="G20" s="621">
        <v>23393.009221525415</v>
      </c>
      <c r="H20" s="621">
        <v>26858.261967327871</v>
      </c>
      <c r="I20" s="621">
        <v>31725.462547472958</v>
      </c>
      <c r="J20" s="621">
        <v>35879.82032360851</v>
      </c>
      <c r="K20" s="621">
        <v>43049.78156384168</v>
      </c>
      <c r="L20" s="621">
        <v>48662.955355110709</v>
      </c>
      <c r="M20" s="621">
        <v>52873.624705687478</v>
      </c>
      <c r="N20" s="621">
        <v>62040.215717016334</v>
      </c>
      <c r="O20" s="621">
        <v>68832.295535777012</v>
      </c>
      <c r="P20" s="621">
        <v>77570.807105551037</v>
      </c>
      <c r="Q20" s="621">
        <v>82316.683448849406</v>
      </c>
      <c r="R20" s="621">
        <v>88537.3</v>
      </c>
      <c r="S20" s="621">
        <v>93089</v>
      </c>
      <c r="T20" s="621">
        <v>98947.7</v>
      </c>
      <c r="U20" s="621">
        <v>106900</v>
      </c>
      <c r="V20" s="621">
        <v>113810.00824971628</v>
      </c>
      <c r="W20" s="621">
        <v>123648.49859532269</v>
      </c>
      <c r="X20" s="621">
        <v>124999.11017900849</v>
      </c>
      <c r="Y20" s="620" t="s">
        <v>1289</v>
      </c>
      <c r="Z20" s="620" t="s">
        <v>1290</v>
      </c>
      <c r="AA20" s="620">
        <v>170362</v>
      </c>
      <c r="AB20" s="612" t="s">
        <v>1291</v>
      </c>
    </row>
    <row r="21" spans="1:28" ht="27">
      <c r="A21" s="608" t="s">
        <v>1292</v>
      </c>
      <c r="B21" s="621">
        <v>1562.7936075117109</v>
      </c>
      <c r="C21" s="621">
        <v>1643.5310945506783</v>
      </c>
      <c r="D21" s="621">
        <v>1488.5902364415031</v>
      </c>
      <c r="E21" s="621">
        <v>1811.8818423874357</v>
      </c>
      <c r="F21" s="621">
        <v>2760.5908982189467</v>
      </c>
      <c r="G21" s="621">
        <v>3252.1169743551154</v>
      </c>
      <c r="H21" s="621">
        <v>3977.1597445010239</v>
      </c>
      <c r="I21" s="621">
        <v>4081.669198308914</v>
      </c>
      <c r="J21" s="621">
        <v>4801.9744267576152</v>
      </c>
      <c r="K21" s="621">
        <v>5382.3725179550838</v>
      </c>
      <c r="L21" s="621">
        <v>4845.3277730916934</v>
      </c>
      <c r="M21" s="621">
        <v>4634.7087533786707</v>
      </c>
      <c r="N21" s="621">
        <v>7677.6790875817915</v>
      </c>
      <c r="O21" s="621">
        <v>8738.4030929718465</v>
      </c>
      <c r="P21" s="621">
        <v>10927.468315895385</v>
      </c>
      <c r="Q21" s="621">
        <v>10750.960949543478</v>
      </c>
      <c r="R21" s="621">
        <v>11783.6</v>
      </c>
      <c r="S21" s="621">
        <v>12145.4</v>
      </c>
      <c r="T21" s="621">
        <v>14895.3</v>
      </c>
      <c r="U21" s="621">
        <v>16768.599999999999</v>
      </c>
      <c r="V21" s="621">
        <v>17961.153362962217</v>
      </c>
      <c r="W21" s="621">
        <v>18765.034187848898</v>
      </c>
      <c r="X21" s="621">
        <v>17295.634317525786</v>
      </c>
      <c r="Y21" s="620" t="s">
        <v>1293</v>
      </c>
      <c r="Z21" s="620" t="s">
        <v>1294</v>
      </c>
      <c r="AA21" s="620">
        <v>23929</v>
      </c>
      <c r="AB21" s="609" t="s">
        <v>1295</v>
      </c>
    </row>
    <row r="22" spans="1:28" ht="27">
      <c r="A22" s="608" t="s">
        <v>1296</v>
      </c>
      <c r="B22" s="621">
        <v>1033.9116416922952</v>
      </c>
      <c r="C22" s="621">
        <v>1025.7845219324388</v>
      </c>
      <c r="D22" s="621">
        <v>853.21836135014507</v>
      </c>
      <c r="E22" s="621">
        <v>863.29824411411414</v>
      </c>
      <c r="F22" s="621">
        <v>1614.1501886823301</v>
      </c>
      <c r="G22" s="621">
        <v>1914.9610703704645</v>
      </c>
      <c r="H22" s="621">
        <v>2364.3052342484002</v>
      </c>
      <c r="I22" s="621">
        <v>1940.6625470278482</v>
      </c>
      <c r="J22" s="621">
        <v>2071.0493792305642</v>
      </c>
      <c r="K22" s="621">
        <v>1654.4315240672593</v>
      </c>
      <c r="L22" s="621">
        <v>1656.4043262819846</v>
      </c>
      <c r="M22" s="621">
        <v>1144.8182966805323</v>
      </c>
      <c r="N22" s="621">
        <v>3761.9108990354662</v>
      </c>
      <c r="O22" s="621">
        <v>4418.9057950781362</v>
      </c>
      <c r="P22" s="621">
        <v>6019.7856835720886</v>
      </c>
      <c r="Q22" s="621">
        <v>5263.8975535836817</v>
      </c>
      <c r="R22" s="621">
        <v>6337.3</v>
      </c>
      <c r="S22" s="621">
        <v>6943.7</v>
      </c>
      <c r="T22" s="621">
        <v>9093.5</v>
      </c>
      <c r="U22" s="621">
        <v>10233.1</v>
      </c>
      <c r="V22" s="621">
        <v>11225.962889130031</v>
      </c>
      <c r="W22" s="621">
        <v>11943.251343297572</v>
      </c>
      <c r="X22" s="621">
        <v>10324.405291026469</v>
      </c>
      <c r="Y22" s="620" t="s">
        <v>1297</v>
      </c>
      <c r="Z22" s="620" t="s">
        <v>1298</v>
      </c>
      <c r="AA22" s="620">
        <v>14980</v>
      </c>
      <c r="AB22" s="609" t="s">
        <v>1299</v>
      </c>
    </row>
    <row r="23" spans="1:28" ht="27">
      <c r="A23" s="608" t="s">
        <v>1300</v>
      </c>
      <c r="B23" s="621">
        <v>528.88196581941554</v>
      </c>
      <c r="C23" s="621">
        <v>617.74657261823927</v>
      </c>
      <c r="D23" s="621">
        <v>635.37187509135799</v>
      </c>
      <c r="E23" s="621">
        <v>948.58359827332174</v>
      </c>
      <c r="F23" s="621">
        <v>1146.4407095366169</v>
      </c>
      <c r="G23" s="621">
        <v>1337.1559039846504</v>
      </c>
      <c r="H23" s="621">
        <v>1612.8545102526236</v>
      </c>
      <c r="I23" s="621">
        <v>2141.0066512810654</v>
      </c>
      <c r="J23" s="621">
        <v>2730.9250475270519</v>
      </c>
      <c r="K23" s="621">
        <v>3727.9409938878248</v>
      </c>
      <c r="L23" s="621">
        <v>3188.9234468097088</v>
      </c>
      <c r="M23" s="621">
        <v>3489.8904566981387</v>
      </c>
      <c r="N23" s="621">
        <v>3915.7681885463257</v>
      </c>
      <c r="O23" s="621">
        <v>4319.4972978937094</v>
      </c>
      <c r="P23" s="621">
        <v>4907.6826323232972</v>
      </c>
      <c r="Q23" s="621">
        <v>5487.0633959597963</v>
      </c>
      <c r="R23" s="621">
        <v>5446.3</v>
      </c>
      <c r="S23" s="621">
        <v>5201.7</v>
      </c>
      <c r="T23" s="621">
        <v>5801.8</v>
      </c>
      <c r="U23" s="621">
        <v>6535.5</v>
      </c>
      <c r="V23" s="621">
        <v>6735.1904738321855</v>
      </c>
      <c r="W23" s="621">
        <v>6821.7828445513269</v>
      </c>
      <c r="X23" s="621">
        <v>6971.2290264993153</v>
      </c>
      <c r="Y23" s="620" t="s">
        <v>1301</v>
      </c>
      <c r="Z23" s="620" t="s">
        <v>1302</v>
      </c>
      <c r="AA23" s="620">
        <v>8948</v>
      </c>
      <c r="AB23" s="609" t="s">
        <v>1303</v>
      </c>
    </row>
    <row r="24" spans="1:28" ht="27">
      <c r="A24" s="608" t="s">
        <v>1304</v>
      </c>
      <c r="B24" s="621">
        <v>3741.4160682022034</v>
      </c>
      <c r="C24" s="621">
        <v>4191.3090122141602</v>
      </c>
      <c r="D24" s="621">
        <v>5502.595919587724</v>
      </c>
      <c r="E24" s="621">
        <v>5666.1877500140354</v>
      </c>
      <c r="F24" s="621">
        <v>5659.8822458232107</v>
      </c>
      <c r="G24" s="621">
        <v>6794.0655259706564</v>
      </c>
      <c r="H24" s="621">
        <v>8633.5965322790416</v>
      </c>
      <c r="I24" s="621">
        <v>11437.963392949821</v>
      </c>
      <c r="J24" s="621">
        <v>12030.477394589498</v>
      </c>
      <c r="K24" s="621">
        <v>14082.132473570655</v>
      </c>
      <c r="L24" s="621">
        <v>16643.067622546652</v>
      </c>
      <c r="M24" s="621">
        <v>17029.564904243343</v>
      </c>
      <c r="N24" s="621">
        <v>17822.551229036369</v>
      </c>
      <c r="O24" s="621">
        <v>20396.871627081106</v>
      </c>
      <c r="P24" s="621">
        <v>23052.380664146844</v>
      </c>
      <c r="Q24" s="621">
        <v>24029.577811785828</v>
      </c>
      <c r="R24" s="621">
        <v>27133.7</v>
      </c>
      <c r="S24" s="621">
        <v>27463.7</v>
      </c>
      <c r="T24" s="621">
        <v>27269.3</v>
      </c>
      <c r="U24" s="621">
        <v>27935.5</v>
      </c>
      <c r="V24" s="621">
        <v>32409.683595056693</v>
      </c>
      <c r="W24" s="621">
        <v>35254.761853316188</v>
      </c>
      <c r="X24" s="621">
        <v>35503.375559100874</v>
      </c>
      <c r="Y24" s="620" t="s">
        <v>1305</v>
      </c>
      <c r="Z24" s="620" t="s">
        <v>1306</v>
      </c>
      <c r="AA24" s="620">
        <v>40875</v>
      </c>
      <c r="AB24" s="609" t="s">
        <v>1307</v>
      </c>
    </row>
    <row r="25" spans="1:28" ht="27">
      <c r="A25" s="608" t="s">
        <v>1308</v>
      </c>
      <c r="B25" s="621">
        <v>6859.1759574544249</v>
      </c>
      <c r="C25" s="621">
        <v>7269.6747057995217</v>
      </c>
      <c r="D25" s="621">
        <v>8127.7345428016324</v>
      </c>
      <c r="E25" s="621">
        <v>8721.5440786888703</v>
      </c>
      <c r="F25" s="621">
        <v>8858.1570526972064</v>
      </c>
      <c r="G25" s="621">
        <v>10156.656560870797</v>
      </c>
      <c r="H25" s="621">
        <v>10942.022208663559</v>
      </c>
      <c r="I25" s="621">
        <v>12514.921571566385</v>
      </c>
      <c r="J25" s="621">
        <v>14203.474911767189</v>
      </c>
      <c r="K25" s="621">
        <v>17472.397108343252</v>
      </c>
      <c r="L25" s="621">
        <v>20455.237613528505</v>
      </c>
      <c r="M25" s="621">
        <v>24048.825931723139</v>
      </c>
      <c r="N25" s="621">
        <v>27594.946191050964</v>
      </c>
      <c r="O25" s="621">
        <v>29859.81241489845</v>
      </c>
      <c r="P25" s="621">
        <v>32958.691637399425</v>
      </c>
      <c r="Q25" s="621">
        <v>36405.348226404094</v>
      </c>
      <c r="R25" s="621">
        <v>37877.5</v>
      </c>
      <c r="S25" s="621">
        <v>40405.300000000003</v>
      </c>
      <c r="T25" s="621">
        <v>42775.5</v>
      </c>
      <c r="U25" s="621">
        <v>47149.1</v>
      </c>
      <c r="V25" s="621">
        <v>48439.335458607107</v>
      </c>
      <c r="W25" s="621">
        <v>53395.142973271875</v>
      </c>
      <c r="X25" s="621">
        <v>54867.096876316507</v>
      </c>
      <c r="Y25" s="620" t="s">
        <v>1309</v>
      </c>
      <c r="Z25" s="620" t="s">
        <v>1310</v>
      </c>
      <c r="AA25" s="620">
        <v>77794</v>
      </c>
      <c r="AB25" s="609" t="s">
        <v>1311</v>
      </c>
    </row>
    <row r="26" spans="1:28" ht="27">
      <c r="A26" s="608" t="s">
        <v>1312</v>
      </c>
      <c r="B26" s="621">
        <v>1619.7037559598177</v>
      </c>
      <c r="C26" s="621">
        <v>2143.5227138915534</v>
      </c>
      <c r="D26" s="621">
        <v>2044.1564114116907</v>
      </c>
      <c r="E26" s="621">
        <v>2222.47779092972</v>
      </c>
      <c r="F26" s="621">
        <v>3031.0048360268888</v>
      </c>
      <c r="G26" s="621">
        <v>3190.170160328847</v>
      </c>
      <c r="H26" s="621">
        <v>3305.4834818842442</v>
      </c>
      <c r="I26" s="621">
        <v>3690.9083846478361</v>
      </c>
      <c r="J26" s="621">
        <v>4843.8935904942073</v>
      </c>
      <c r="K26" s="621">
        <v>6112.8794639726893</v>
      </c>
      <c r="L26" s="621">
        <v>6719.3223459438577</v>
      </c>
      <c r="M26" s="621">
        <v>7160.5251163423263</v>
      </c>
      <c r="N26" s="621">
        <v>8945.0392093472037</v>
      </c>
      <c r="O26" s="621">
        <v>9837.2084008256115</v>
      </c>
      <c r="P26" s="621">
        <v>10632.266488109377</v>
      </c>
      <c r="Q26" s="621">
        <v>11130.796461116008</v>
      </c>
      <c r="R26" s="621">
        <v>11742.5</v>
      </c>
      <c r="S26" s="621">
        <v>13074.6</v>
      </c>
      <c r="T26" s="621">
        <v>14007.6</v>
      </c>
      <c r="U26" s="621">
        <v>15046.8</v>
      </c>
      <c r="V26" s="621">
        <v>14999.835833090259</v>
      </c>
      <c r="W26" s="621">
        <v>16233.559580885738</v>
      </c>
      <c r="X26" s="621">
        <v>17333.003426065316</v>
      </c>
      <c r="Y26" s="620" t="s">
        <v>1313</v>
      </c>
      <c r="Z26" s="620" t="s">
        <v>1314</v>
      </c>
      <c r="AA26" s="620">
        <v>27766</v>
      </c>
      <c r="AB26" s="609" t="s">
        <v>1315</v>
      </c>
    </row>
    <row r="27" spans="1:28" ht="27">
      <c r="A27" s="608" t="s">
        <v>1316</v>
      </c>
      <c r="B27" s="621">
        <v>36566.847936182996</v>
      </c>
      <c r="C27" s="621">
        <v>39666.068645931584</v>
      </c>
      <c r="D27" s="621">
        <v>40454.091248412733</v>
      </c>
      <c r="E27" s="621">
        <v>42482.353542124598</v>
      </c>
      <c r="F27" s="621">
        <v>45734.268544260136</v>
      </c>
      <c r="G27" s="621">
        <v>50861.46889746243</v>
      </c>
      <c r="H27" s="621">
        <v>58482.828912563971</v>
      </c>
      <c r="I27" s="621">
        <v>73258.379468827174</v>
      </c>
      <c r="J27" s="621">
        <v>99549.711892620428</v>
      </c>
      <c r="K27" s="621">
        <v>105354.76782613496</v>
      </c>
      <c r="L27" s="621">
        <v>116933.6061205763</v>
      </c>
      <c r="M27" s="621">
        <v>117111.58520121737</v>
      </c>
      <c r="N27" s="621">
        <v>147338.8413180933</v>
      </c>
      <c r="O27" s="621">
        <v>180314.87832101062</v>
      </c>
      <c r="P27" s="621">
        <v>184461.91740273434</v>
      </c>
      <c r="Q27" s="621">
        <v>201534.40987536029</v>
      </c>
      <c r="R27" s="621">
        <v>182838.6</v>
      </c>
      <c r="S27" s="621">
        <v>179936.8</v>
      </c>
      <c r="T27" s="621">
        <v>204827.6</v>
      </c>
      <c r="U27" s="621">
        <v>219997.7</v>
      </c>
      <c r="V27" s="621">
        <v>235125.54004916566</v>
      </c>
      <c r="W27" s="621">
        <v>262232.02950813185</v>
      </c>
      <c r="X27" s="621">
        <v>269344.50452631625</v>
      </c>
      <c r="Y27" s="620" t="s">
        <v>1184</v>
      </c>
      <c r="Z27" s="620" t="s">
        <v>1185</v>
      </c>
      <c r="AA27" s="620">
        <v>362106</v>
      </c>
      <c r="AB27" s="614" t="s">
        <v>1317</v>
      </c>
    </row>
    <row r="28" spans="1:28" ht="27">
      <c r="A28" s="608" t="s">
        <v>1318</v>
      </c>
      <c r="B28" s="621">
        <v>1737.9933904389279</v>
      </c>
      <c r="C28" s="621">
        <v>1941.8275436363979</v>
      </c>
      <c r="D28" s="621">
        <v>2062.8143435072457</v>
      </c>
      <c r="E28" s="621">
        <v>2152.1242141649723</v>
      </c>
      <c r="F28" s="621">
        <v>2555.3439778921575</v>
      </c>
      <c r="G28" s="621">
        <v>3089.8665702870944</v>
      </c>
      <c r="H28" s="621">
        <v>4202.119465917076</v>
      </c>
      <c r="I28" s="621">
        <v>4722.2991396174812</v>
      </c>
      <c r="J28" s="621">
        <v>5730.134014548632</v>
      </c>
      <c r="K28" s="621">
        <v>7032.4901711268558</v>
      </c>
      <c r="L28" s="621">
        <v>7085.4616246605019</v>
      </c>
      <c r="M28" s="621">
        <v>6583.2922451615359</v>
      </c>
      <c r="N28" s="621">
        <v>7958.6430647091229</v>
      </c>
      <c r="O28" s="621">
        <v>9851.2071565592305</v>
      </c>
      <c r="P28" s="621">
        <v>15110.213063379613</v>
      </c>
      <c r="Q28" s="621">
        <v>15650.098117794532</v>
      </c>
      <c r="R28" s="621">
        <v>16734</v>
      </c>
      <c r="S28" s="621">
        <v>20283.8</v>
      </c>
      <c r="T28" s="621">
        <v>20645.599999999999</v>
      </c>
      <c r="U28" s="621">
        <v>23409.200000000001</v>
      </c>
      <c r="V28" s="621">
        <v>27194.476982302724</v>
      </c>
      <c r="W28" s="621">
        <v>27245.997621620736</v>
      </c>
      <c r="X28" s="621">
        <v>25044.400105208566</v>
      </c>
      <c r="Y28" s="620" t="s">
        <v>1319</v>
      </c>
      <c r="Z28" s="620" t="s">
        <v>1320</v>
      </c>
      <c r="AA28" s="620">
        <v>26566</v>
      </c>
      <c r="AB28" s="614" t="s">
        <v>1321</v>
      </c>
    </row>
    <row r="29" spans="1:28" ht="27">
      <c r="A29" s="623"/>
      <c r="B29" s="624"/>
      <c r="C29" s="624"/>
      <c r="D29" s="624"/>
      <c r="E29" s="624"/>
      <c r="F29" s="624"/>
      <c r="G29" s="624"/>
      <c r="H29" s="624"/>
      <c r="I29" s="624"/>
      <c r="J29" s="624"/>
      <c r="K29" s="624"/>
      <c r="L29" s="624"/>
      <c r="M29" s="624"/>
      <c r="N29" s="624"/>
      <c r="O29" s="624"/>
      <c r="P29" s="624"/>
      <c r="Q29" s="624"/>
      <c r="R29" s="624"/>
      <c r="S29" s="624"/>
      <c r="T29" s="624"/>
      <c r="U29" s="624"/>
      <c r="V29" s="624"/>
      <c r="W29" s="624"/>
      <c r="X29" s="624"/>
      <c r="Y29" s="620"/>
      <c r="Z29" s="620"/>
      <c r="AA29" s="620"/>
      <c r="AB29" s="625"/>
    </row>
    <row r="30" spans="1:28" ht="27">
      <c r="A30" s="615" t="s">
        <v>1322</v>
      </c>
      <c r="B30" s="622">
        <v>38304.841326621929</v>
      </c>
      <c r="C30" s="622">
        <v>41607.896189567982</v>
      </c>
      <c r="D30" s="622">
        <v>42516.905591919975</v>
      </c>
      <c r="E30" s="622">
        <v>44634.477756289569</v>
      </c>
      <c r="F30" s="622">
        <v>48289.612522152296</v>
      </c>
      <c r="G30" s="622">
        <v>53951.33546774953</v>
      </c>
      <c r="H30" s="622">
        <v>62684.948378481051</v>
      </c>
      <c r="I30" s="622">
        <v>77980.67860844465</v>
      </c>
      <c r="J30" s="622">
        <v>105279.84590716907</v>
      </c>
      <c r="K30" s="622">
        <v>112387.25799726183</v>
      </c>
      <c r="L30" s="622">
        <v>124019.0677452368</v>
      </c>
      <c r="M30" s="622">
        <v>123694.8774463789</v>
      </c>
      <c r="N30" s="622">
        <v>155297.48438280242</v>
      </c>
      <c r="O30" s="622">
        <v>190166.08547756984</v>
      </c>
      <c r="P30" s="622">
        <v>199572.13046611397</v>
      </c>
      <c r="Q30" s="622">
        <v>217184.50799315484</v>
      </c>
      <c r="R30" s="622">
        <v>199572.6</v>
      </c>
      <c r="S30" s="622">
        <v>200220.6</v>
      </c>
      <c r="T30" s="622">
        <v>225473.2</v>
      </c>
      <c r="U30" s="622">
        <v>243406.9</v>
      </c>
      <c r="V30" s="622">
        <v>262320.01703146839</v>
      </c>
      <c r="W30" s="622">
        <v>289478.02712975256</v>
      </c>
      <c r="X30" s="622">
        <v>294388.90463152481</v>
      </c>
      <c r="Y30" s="620" t="s">
        <v>1323</v>
      </c>
      <c r="Z30" s="620" t="s">
        <v>1324</v>
      </c>
      <c r="AA30" s="620">
        <v>388672</v>
      </c>
      <c r="AB30" s="616" t="s">
        <v>1325</v>
      </c>
    </row>
    <row r="31" spans="1:28" ht="26.4">
      <c r="A31" s="617" t="s">
        <v>957</v>
      </c>
      <c r="B31" s="589"/>
      <c r="C31" s="589"/>
      <c r="D31" s="589"/>
      <c r="E31" s="589"/>
      <c r="F31" s="589"/>
      <c r="G31" s="589"/>
      <c r="H31" s="589"/>
      <c r="I31" s="589"/>
      <c r="J31" s="589"/>
      <c r="K31" s="589"/>
      <c r="L31" s="589"/>
      <c r="M31" s="589"/>
      <c r="N31" s="589"/>
      <c r="O31" s="589"/>
      <c r="P31" s="589"/>
      <c r="Q31" s="589"/>
      <c r="R31" s="589"/>
      <c r="S31" s="589"/>
      <c r="T31" s="589"/>
      <c r="U31" s="589"/>
      <c r="V31" s="589"/>
      <c r="W31" s="589"/>
      <c r="X31" s="589"/>
      <c r="Y31" s="589"/>
      <c r="Z31" s="589"/>
      <c r="AA31" s="589"/>
      <c r="AB31" s="618" t="s">
        <v>1326</v>
      </c>
    </row>
    <row r="32" spans="1:28" ht="27">
      <c r="A32" s="619" t="s">
        <v>1327</v>
      </c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89"/>
      <c r="P32" s="589"/>
      <c r="Q32" s="589"/>
      <c r="R32" s="589"/>
      <c r="S32" s="589"/>
      <c r="T32" s="589"/>
      <c r="U32" s="589"/>
      <c r="V32" s="589"/>
      <c r="W32" s="589"/>
      <c r="X32" s="589"/>
      <c r="Y32" s="589"/>
      <c r="Z32" s="589"/>
      <c r="AA32" s="589"/>
      <c r="AB32" s="602" t="s">
        <v>1328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5957-FC61-4AB6-9ACE-AC5D06C8D02B}">
  <sheetPr>
    <tabColor theme="0"/>
  </sheetPr>
  <dimension ref="A1:N40"/>
  <sheetViews>
    <sheetView workbookViewId="0">
      <selection activeCell="M13" sqref="M13"/>
    </sheetView>
  </sheetViews>
  <sheetFormatPr baseColWidth="10" defaultRowHeight="14.4"/>
  <sheetData>
    <row r="1" spans="1:14" ht="37.200000000000003">
      <c r="A1" s="863" t="s">
        <v>1332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</row>
    <row r="2" spans="1:14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</row>
    <row r="3" spans="1:14" ht="51">
      <c r="A3" s="864" t="s">
        <v>1333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</row>
    <row r="4" spans="1:14">
      <c r="A4" s="626"/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</row>
    <row r="5" spans="1:14">
      <c r="A5" s="626"/>
      <c r="B5" s="626"/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6"/>
    </row>
    <row r="6" spans="1:14" ht="24.6">
      <c r="A6" s="865" t="s">
        <v>1334</v>
      </c>
      <c r="B6" s="865"/>
      <c r="C6" s="865"/>
      <c r="D6" s="865"/>
      <c r="E6" s="865"/>
      <c r="F6" s="865"/>
      <c r="G6" s="865"/>
      <c r="H6" s="865"/>
      <c r="I6" s="865"/>
      <c r="J6" s="865"/>
      <c r="K6" s="865"/>
      <c r="L6" s="865"/>
      <c r="M6" s="865"/>
      <c r="N6" s="865"/>
    </row>
    <row r="7" spans="1:14">
      <c r="A7" s="626"/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</row>
    <row r="8" spans="1:14" ht="37.200000000000003">
      <c r="A8" s="863" t="s">
        <v>1335</v>
      </c>
      <c r="B8" s="863"/>
      <c r="C8" s="863"/>
      <c r="D8" s="863"/>
      <c r="E8" s="863"/>
      <c r="F8" s="863"/>
      <c r="G8" s="863"/>
      <c r="H8" s="863"/>
      <c r="I8" s="863"/>
      <c r="J8" s="863"/>
      <c r="K8" s="863"/>
      <c r="L8" s="863"/>
      <c r="M8" s="863"/>
      <c r="N8" s="863"/>
    </row>
    <row r="9" spans="1:14">
      <c r="A9" s="626"/>
      <c r="B9" s="626"/>
      <c r="C9" s="626"/>
      <c r="D9" s="626"/>
      <c r="E9" s="626"/>
      <c r="F9" s="626"/>
      <c r="G9" s="626"/>
      <c r="H9" s="626"/>
      <c r="I9" s="626"/>
      <c r="J9" s="626"/>
      <c r="K9" s="626"/>
      <c r="L9" s="626"/>
      <c r="M9" s="626"/>
      <c r="N9" s="626"/>
    </row>
    <row r="10" spans="1:14">
      <c r="A10" s="626"/>
      <c r="B10" s="626"/>
      <c r="C10" s="626"/>
      <c r="D10" s="626"/>
      <c r="E10" s="626"/>
      <c r="F10" s="626"/>
      <c r="G10" s="626"/>
      <c r="H10" s="626"/>
      <c r="I10" s="626"/>
      <c r="J10" s="626"/>
      <c r="K10" s="626"/>
      <c r="L10" s="626"/>
      <c r="M10" s="626"/>
      <c r="N10" s="626"/>
    </row>
    <row r="11" spans="1:14">
      <c r="A11" s="626"/>
      <c r="B11" s="626"/>
      <c r="C11" s="626"/>
      <c r="D11" s="626"/>
      <c r="E11" s="626"/>
      <c r="F11" s="626"/>
      <c r="G11" s="626"/>
      <c r="H11" s="626"/>
      <c r="I11" s="626"/>
      <c r="J11" s="626"/>
      <c r="K11" s="626"/>
      <c r="L11" s="626"/>
      <c r="M11" s="626"/>
      <c r="N11" s="626"/>
    </row>
    <row r="12" spans="1:14">
      <c r="A12" s="626"/>
      <c r="B12" s="626"/>
      <c r="C12" s="626"/>
      <c r="D12" s="626"/>
      <c r="E12" s="626"/>
      <c r="F12" s="626"/>
      <c r="G12" s="626"/>
      <c r="H12" s="626"/>
      <c r="I12" s="626"/>
      <c r="J12" s="626"/>
      <c r="K12" s="626"/>
      <c r="L12" s="626"/>
      <c r="M12" s="626"/>
      <c r="N12" s="626"/>
    </row>
    <row r="13" spans="1:14">
      <c r="A13" s="626"/>
      <c r="B13" s="626"/>
      <c r="C13" s="626"/>
      <c r="D13" s="626"/>
      <c r="E13" s="626"/>
      <c r="F13" s="626"/>
      <c r="G13" s="626"/>
      <c r="H13" s="626"/>
      <c r="I13" s="626"/>
      <c r="J13" s="626"/>
      <c r="K13" s="626"/>
      <c r="L13" s="626"/>
      <c r="M13" s="626"/>
      <c r="N13" s="626"/>
    </row>
    <row r="14" spans="1:14">
      <c r="A14" s="626"/>
      <c r="B14" s="626"/>
      <c r="C14" s="626"/>
      <c r="D14" s="626"/>
      <c r="E14" s="626"/>
      <c r="F14" s="626"/>
      <c r="G14" s="626"/>
      <c r="H14" s="626"/>
      <c r="I14" s="626"/>
      <c r="J14" s="626"/>
      <c r="K14" s="626"/>
      <c r="L14" s="626"/>
      <c r="M14" s="626"/>
      <c r="N14" s="626"/>
    </row>
    <row r="15" spans="1:14">
      <c r="A15" s="626"/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</row>
    <row r="16" spans="1:14">
      <c r="A16" s="626"/>
      <c r="B16" s="626"/>
      <c r="C16" s="626"/>
      <c r="D16" s="626"/>
      <c r="E16" s="626"/>
      <c r="F16" s="626"/>
      <c r="G16" s="626"/>
      <c r="H16" s="626"/>
      <c r="I16" s="626"/>
      <c r="J16" s="626"/>
      <c r="K16" s="626"/>
      <c r="L16" s="626"/>
      <c r="M16" s="626"/>
      <c r="N16" s="626"/>
    </row>
    <row r="17" spans="1:14">
      <c r="A17" s="626"/>
      <c r="B17" s="626"/>
      <c r="C17" s="626"/>
      <c r="D17" s="626"/>
      <c r="E17" s="626"/>
      <c r="F17" s="626"/>
      <c r="G17" s="626"/>
      <c r="H17" s="626"/>
      <c r="I17" s="626"/>
      <c r="J17" s="626"/>
      <c r="K17" s="626"/>
      <c r="L17" s="626"/>
      <c r="M17" s="626"/>
      <c r="N17" s="626"/>
    </row>
    <row r="18" spans="1:14">
      <c r="A18" s="626"/>
      <c r="B18" s="626"/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  <c r="N18" s="626"/>
    </row>
    <row r="19" spans="1:14">
      <c r="A19" s="626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</row>
    <row r="20" spans="1:14">
      <c r="A20" s="626"/>
      <c r="B20" s="626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</row>
    <row r="21" spans="1:14">
      <c r="A21" s="626"/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</row>
    <row r="22" spans="1:14">
      <c r="A22" s="626"/>
      <c r="B22" s="626"/>
      <c r="C22" s="626"/>
      <c r="D22" s="626"/>
      <c r="E22" s="626"/>
      <c r="F22" s="626"/>
      <c r="G22" s="626"/>
      <c r="H22" s="626"/>
      <c r="I22" s="626"/>
      <c r="J22" s="626"/>
      <c r="K22" s="626"/>
      <c r="L22" s="626"/>
      <c r="M22" s="626"/>
      <c r="N22" s="626"/>
    </row>
    <row r="23" spans="1:14">
      <c r="A23" s="626"/>
      <c r="B23" s="626"/>
      <c r="C23" s="626"/>
      <c r="D23" s="626"/>
      <c r="E23" s="626"/>
      <c r="F23" s="626"/>
      <c r="G23" s="626"/>
      <c r="H23" s="626"/>
      <c r="I23" s="626"/>
      <c r="J23" s="626"/>
      <c r="K23" s="626"/>
      <c r="L23" s="626"/>
      <c r="M23" s="626"/>
      <c r="N23" s="626"/>
    </row>
    <row r="24" spans="1:14">
      <c r="A24" s="626"/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626"/>
      <c r="N24" s="626"/>
    </row>
    <row r="25" spans="1:14">
      <c r="A25" s="626"/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  <c r="N25" s="626"/>
    </row>
    <row r="26" spans="1:14">
      <c r="A26" s="626"/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626"/>
      <c r="N26" s="626"/>
    </row>
    <row r="27" spans="1:14">
      <c r="A27" s="626"/>
      <c r="B27" s="626"/>
      <c r="C27" s="626"/>
      <c r="D27" s="626"/>
      <c r="E27" s="626"/>
      <c r="F27" s="626"/>
      <c r="G27" s="626"/>
      <c r="H27" s="626"/>
      <c r="I27" s="626"/>
      <c r="J27" s="626"/>
      <c r="K27" s="626"/>
      <c r="L27" s="626"/>
      <c r="M27" s="626"/>
      <c r="N27" s="626"/>
    </row>
    <row r="28" spans="1:14">
      <c r="A28" s="626"/>
      <c r="B28" s="626"/>
      <c r="C28" s="626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</row>
    <row r="29" spans="1:14">
      <c r="A29" s="626"/>
      <c r="B29" s="626"/>
      <c r="C29" s="626"/>
      <c r="D29" s="626"/>
      <c r="E29" s="626"/>
      <c r="F29" s="626"/>
      <c r="G29" s="626"/>
      <c r="H29" s="626"/>
      <c r="I29" s="626"/>
      <c r="J29" s="626"/>
      <c r="K29" s="626"/>
      <c r="L29" s="626"/>
      <c r="M29" s="626"/>
      <c r="N29" s="626"/>
    </row>
    <row r="30" spans="1:14">
      <c r="A30" s="626"/>
      <c r="B30" s="626"/>
      <c r="C30" s="626"/>
      <c r="D30" s="626"/>
      <c r="E30" s="626"/>
      <c r="F30" s="626"/>
      <c r="G30" s="626"/>
      <c r="H30" s="626"/>
      <c r="I30" s="626"/>
      <c r="J30" s="626"/>
      <c r="K30" s="626"/>
      <c r="L30" s="626"/>
      <c r="M30" s="626"/>
      <c r="N30" s="626"/>
    </row>
    <row r="31" spans="1:14">
      <c r="A31" s="626"/>
      <c r="B31" s="626"/>
      <c r="C31" s="626"/>
      <c r="D31" s="626"/>
      <c r="E31" s="626"/>
      <c r="F31" s="626"/>
      <c r="G31" s="626"/>
      <c r="H31" s="626"/>
      <c r="I31" s="626"/>
      <c r="J31" s="626"/>
      <c r="K31" s="626"/>
      <c r="L31" s="626"/>
      <c r="M31" s="626"/>
      <c r="N31" s="626"/>
    </row>
    <row r="32" spans="1:14">
      <c r="A32" s="626"/>
      <c r="B32" s="626"/>
      <c r="C32" s="626"/>
      <c r="D32" s="626"/>
      <c r="E32" s="626"/>
      <c r="F32" s="626"/>
      <c r="G32" s="626"/>
      <c r="H32" s="626"/>
      <c r="I32" s="626"/>
      <c r="J32" s="626"/>
      <c r="K32" s="626"/>
      <c r="L32" s="626"/>
      <c r="M32" s="626"/>
      <c r="N32" s="626"/>
    </row>
    <row r="33" spans="1:14">
      <c r="A33" s="626"/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</row>
    <row r="34" spans="1:14">
      <c r="A34" s="626"/>
      <c r="B34" s="626"/>
      <c r="C34" s="626"/>
      <c r="D34" s="626"/>
      <c r="E34" s="626"/>
      <c r="F34" s="626"/>
      <c r="G34" s="626"/>
      <c r="H34" s="626"/>
      <c r="I34" s="626"/>
      <c r="J34" s="626"/>
      <c r="K34" s="626"/>
      <c r="L34" s="626"/>
      <c r="M34" s="626"/>
      <c r="N34" s="626"/>
    </row>
    <row r="35" spans="1:14">
      <c r="A35" s="626"/>
      <c r="B35" s="626"/>
      <c r="C35" s="626"/>
      <c r="D35" s="626"/>
      <c r="E35" s="626"/>
      <c r="F35" s="626"/>
      <c r="G35" s="626"/>
      <c r="H35" s="626"/>
      <c r="I35" s="626"/>
      <c r="J35" s="626"/>
      <c r="K35" s="626"/>
      <c r="L35" s="626"/>
      <c r="M35" s="626"/>
      <c r="N35" s="626"/>
    </row>
    <row r="36" spans="1:14">
      <c r="A36" s="626"/>
      <c r="B36" s="626"/>
      <c r="C36" s="626"/>
      <c r="D36" s="626"/>
      <c r="E36" s="626"/>
      <c r="F36" s="626"/>
      <c r="G36" s="626"/>
      <c r="H36" s="626"/>
      <c r="I36" s="626"/>
      <c r="J36" s="626"/>
      <c r="K36" s="626"/>
      <c r="L36" s="626"/>
      <c r="M36" s="626"/>
      <c r="N36" s="626"/>
    </row>
    <row r="37" spans="1:14">
      <c r="A37" s="626"/>
      <c r="B37" s="626"/>
      <c r="C37" s="626"/>
      <c r="D37" s="626"/>
      <c r="E37" s="626"/>
      <c r="F37" s="626"/>
      <c r="G37" s="626"/>
      <c r="H37" s="626"/>
      <c r="I37" s="626"/>
      <c r="J37" s="626"/>
      <c r="K37" s="626"/>
      <c r="L37" s="626"/>
      <c r="M37" s="626"/>
      <c r="N37" s="626"/>
    </row>
    <row r="38" spans="1:14">
      <c r="A38" s="626"/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</row>
    <row r="39" spans="1:14">
      <c r="A39" s="626"/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</row>
    <row r="40" spans="1:14">
      <c r="A40" s="626"/>
      <c r="B40" s="626"/>
      <c r="C40" s="626"/>
      <c r="D40" s="626"/>
      <c r="E40" s="626"/>
      <c r="F40" s="626"/>
      <c r="G40" s="626"/>
      <c r="H40" s="626"/>
      <c r="I40" s="626"/>
      <c r="J40" s="626"/>
      <c r="K40" s="626"/>
      <c r="L40" s="626"/>
      <c r="M40" s="626"/>
      <c r="N40" s="626"/>
    </row>
  </sheetData>
  <mergeCells count="4">
    <mergeCell ref="A1:N1"/>
    <mergeCell ref="A3:N3"/>
    <mergeCell ref="A6:N6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4C53-5321-44A4-9657-63FAC912FEDD}">
  <dimension ref="A1:I63"/>
  <sheetViews>
    <sheetView showGridLines="0" view="pageLayout" topLeftCell="B16" workbookViewId="0">
      <selection activeCell="I38" sqref="I38"/>
    </sheetView>
  </sheetViews>
  <sheetFormatPr baseColWidth="10" defaultColWidth="14.44140625" defaultRowHeight="15" customHeight="1"/>
  <cols>
    <col min="1" max="1" width="4.5546875" style="304" hidden="1" customWidth="1"/>
    <col min="2" max="2" width="21.5546875" style="304" customWidth="1"/>
    <col min="3" max="5" width="14.6640625" style="304" customWidth="1"/>
    <col min="6" max="6" width="4.6640625" style="304" customWidth="1"/>
    <col min="7" max="7" width="18.6640625" style="304" customWidth="1"/>
    <col min="8" max="8" width="14.44140625" style="304"/>
    <col min="9" max="9" width="13" style="304" customWidth="1"/>
    <col min="10" max="16384" width="14.44140625" style="304"/>
  </cols>
  <sheetData>
    <row r="1" spans="1:7" ht="12.75" customHeight="1">
      <c r="A1" s="305"/>
      <c r="B1" s="305"/>
      <c r="C1" s="305"/>
      <c r="D1" s="305"/>
      <c r="E1" s="305"/>
      <c r="F1" s="305"/>
      <c r="G1" s="305"/>
    </row>
    <row r="2" spans="1:7" ht="12.75" customHeight="1">
      <c r="A2" s="305"/>
      <c r="B2" s="305"/>
      <c r="C2" s="305"/>
      <c r="D2" s="305"/>
      <c r="E2" s="305"/>
      <c r="F2" s="305"/>
      <c r="G2" s="305"/>
    </row>
    <row r="3" spans="1:7" ht="12.75" customHeight="1">
      <c r="A3" s="305"/>
      <c r="B3" s="305"/>
      <c r="C3" s="305"/>
      <c r="D3" s="305"/>
      <c r="E3" s="305"/>
      <c r="F3" s="305"/>
      <c r="G3" s="305"/>
    </row>
    <row r="4" spans="1:7" ht="12.75" customHeight="1">
      <c r="A4" s="305"/>
      <c r="B4" s="305"/>
      <c r="C4" s="305"/>
      <c r="D4" s="305"/>
      <c r="E4" s="305"/>
      <c r="F4" s="305"/>
      <c r="G4" s="305"/>
    </row>
    <row r="5" spans="1:7" ht="12.75" customHeight="1">
      <c r="A5" s="305"/>
      <c r="B5" s="305"/>
      <c r="C5" s="305"/>
      <c r="D5" s="305"/>
      <c r="E5" s="305"/>
      <c r="F5" s="305"/>
      <c r="G5" s="305"/>
    </row>
    <row r="6" spans="1:7" ht="12.75" customHeight="1">
      <c r="A6" s="305"/>
      <c r="B6" s="305"/>
      <c r="C6" s="305"/>
      <c r="D6" s="305"/>
      <c r="E6" s="305"/>
      <c r="F6" s="305"/>
      <c r="G6" s="305"/>
    </row>
    <row r="7" spans="1:7" ht="12.75" customHeight="1">
      <c r="A7" s="305"/>
      <c r="B7" s="305"/>
      <c r="C7" s="305"/>
      <c r="D7" s="305"/>
      <c r="E7" s="305"/>
      <c r="F7" s="305"/>
      <c r="G7" s="305"/>
    </row>
    <row r="8" spans="1:7" ht="12.75" customHeight="1">
      <c r="A8" s="305"/>
      <c r="B8" s="305"/>
      <c r="C8" s="305"/>
      <c r="D8" s="305"/>
      <c r="E8" s="305"/>
      <c r="F8" s="305"/>
      <c r="G8" s="305"/>
    </row>
    <row r="9" spans="1:7" ht="12.75" customHeight="1">
      <c r="A9" s="305"/>
      <c r="B9" s="305"/>
      <c r="C9" s="305"/>
      <c r="D9" s="305"/>
      <c r="E9" s="305"/>
      <c r="F9" s="305"/>
      <c r="G9" s="305"/>
    </row>
    <row r="10" spans="1:7" ht="12.75" customHeight="1">
      <c r="A10" s="305"/>
      <c r="B10" s="305"/>
      <c r="C10" s="305"/>
      <c r="D10" s="305"/>
      <c r="E10" s="305"/>
      <c r="F10" s="305"/>
      <c r="G10" s="305"/>
    </row>
    <row r="11" spans="1:7" ht="12.75" customHeight="1">
      <c r="A11" s="305"/>
      <c r="B11" s="305"/>
      <c r="C11" s="305"/>
      <c r="D11" s="305"/>
      <c r="E11" s="305"/>
      <c r="F11" s="305"/>
      <c r="G11" s="305"/>
    </row>
    <row r="12" spans="1:7" ht="12.75" customHeight="1">
      <c r="A12" s="305"/>
      <c r="B12" s="305"/>
      <c r="C12" s="305"/>
      <c r="D12" s="305"/>
      <c r="E12" s="305"/>
      <c r="F12" s="305"/>
      <c r="G12" s="305"/>
    </row>
    <row r="13" spans="1:7" ht="12.75" customHeight="1">
      <c r="A13" s="305"/>
      <c r="B13" s="305"/>
      <c r="C13" s="305"/>
      <c r="D13" s="305"/>
      <c r="E13" s="305"/>
      <c r="F13" s="305"/>
      <c r="G13" s="305"/>
    </row>
    <row r="14" spans="1:7" ht="12.75" customHeight="1">
      <c r="A14" s="305"/>
      <c r="B14" s="305"/>
      <c r="C14" s="305"/>
      <c r="D14" s="305"/>
      <c r="E14" s="305"/>
      <c r="F14" s="305"/>
      <c r="G14" s="305"/>
    </row>
    <row r="15" spans="1:7" ht="12.75" customHeight="1">
      <c r="A15" s="305"/>
      <c r="B15" s="305"/>
      <c r="C15" s="305"/>
      <c r="D15" s="305"/>
      <c r="E15" s="305"/>
      <c r="F15" s="305"/>
      <c r="G15" s="305"/>
    </row>
    <row r="16" spans="1:7" ht="12.75" customHeight="1">
      <c r="A16" s="305"/>
      <c r="B16" s="305"/>
      <c r="C16" s="305"/>
      <c r="D16" s="305"/>
      <c r="E16" s="305"/>
      <c r="F16" s="305"/>
      <c r="G16" s="305"/>
    </row>
    <row r="17" spans="1:7" ht="12.75" customHeight="1">
      <c r="A17" s="305"/>
      <c r="B17" s="305"/>
      <c r="C17" s="305"/>
      <c r="D17" s="305"/>
      <c r="E17" s="305"/>
      <c r="F17" s="305"/>
      <c r="G17" s="305"/>
    </row>
    <row r="18" spans="1:7" ht="12.75" customHeight="1">
      <c r="A18" s="305"/>
      <c r="B18" s="305"/>
      <c r="C18" s="305"/>
      <c r="D18" s="305"/>
      <c r="E18" s="305"/>
      <c r="F18" s="305"/>
      <c r="G18" s="305"/>
    </row>
    <row r="19" spans="1:7" ht="12.75" customHeight="1">
      <c r="A19" s="305"/>
      <c r="B19" s="305"/>
      <c r="C19" s="305"/>
      <c r="D19" s="305"/>
      <c r="E19" s="305"/>
      <c r="F19" s="305"/>
      <c r="G19" s="305"/>
    </row>
    <row r="20" spans="1:7" ht="12.75" customHeight="1">
      <c r="A20" s="305"/>
      <c r="B20" s="305"/>
      <c r="C20" s="305"/>
      <c r="D20" s="305"/>
      <c r="E20" s="305"/>
      <c r="F20" s="305"/>
      <c r="G20" s="305"/>
    </row>
    <row r="21" spans="1:7" ht="12.75" hidden="1" customHeight="1">
      <c r="A21" s="305"/>
      <c r="B21" s="305"/>
      <c r="C21" s="305"/>
      <c r="D21" s="305"/>
      <c r="E21" s="305"/>
      <c r="F21" s="305"/>
      <c r="G21" s="305"/>
    </row>
    <row r="22" spans="1:7" ht="12.75" hidden="1" customHeight="1">
      <c r="A22" s="305"/>
      <c r="B22" s="305"/>
      <c r="C22" s="305"/>
      <c r="D22" s="305"/>
      <c r="E22" s="305"/>
      <c r="F22" s="305"/>
      <c r="G22" s="305"/>
    </row>
    <row r="23" spans="1:7" ht="12.75" hidden="1" customHeight="1">
      <c r="A23" s="305"/>
      <c r="B23" s="305"/>
      <c r="C23" s="305"/>
      <c r="D23" s="305"/>
      <c r="E23" s="305"/>
      <c r="F23" s="305"/>
      <c r="G23" s="305"/>
    </row>
    <row r="24" spans="1:7" ht="12.75" hidden="1" customHeight="1">
      <c r="A24" s="305"/>
      <c r="B24" s="305"/>
      <c r="C24" s="305"/>
      <c r="D24" s="305"/>
      <c r="E24" s="305"/>
      <c r="F24" s="305"/>
      <c r="G24" s="305"/>
    </row>
    <row r="25" spans="1:7" ht="12.75" hidden="1" customHeight="1">
      <c r="A25" s="305"/>
      <c r="B25" s="305"/>
      <c r="C25" s="305"/>
      <c r="D25" s="305"/>
      <c r="E25" s="305"/>
      <c r="F25" s="305"/>
      <c r="G25" s="305"/>
    </row>
    <row r="26" spans="1:7" ht="12.75" hidden="1" customHeight="1">
      <c r="A26" s="305"/>
      <c r="B26" s="305"/>
      <c r="C26" s="305"/>
      <c r="D26" s="305"/>
      <c r="E26" s="305"/>
      <c r="F26" s="305"/>
      <c r="G26" s="305"/>
    </row>
    <row r="27" spans="1:7" ht="12.75" hidden="1" customHeight="1">
      <c r="A27" s="305"/>
      <c r="B27" s="305"/>
      <c r="C27" s="305"/>
      <c r="D27" s="305"/>
      <c r="E27" s="305"/>
      <c r="F27" s="305"/>
      <c r="G27" s="305"/>
    </row>
    <row r="28" spans="1:7" ht="12.75" hidden="1" customHeight="1">
      <c r="A28" s="305"/>
      <c r="B28" s="305"/>
      <c r="C28" s="305"/>
      <c r="D28" s="305"/>
      <c r="E28" s="305"/>
      <c r="F28" s="305"/>
      <c r="G28" s="305"/>
    </row>
    <row r="29" spans="1:7" ht="12.75" hidden="1" customHeight="1">
      <c r="A29" s="305"/>
      <c r="B29" s="305"/>
      <c r="C29" s="305"/>
      <c r="D29" s="305"/>
      <c r="E29" s="305"/>
      <c r="F29" s="305"/>
      <c r="G29" s="305"/>
    </row>
    <row r="30" spans="1:7" ht="12.75" hidden="1" customHeight="1">
      <c r="A30" s="305"/>
      <c r="B30" s="305"/>
      <c r="C30" s="305"/>
      <c r="D30" s="305"/>
      <c r="E30" s="305"/>
      <c r="F30" s="305"/>
      <c r="G30" s="305"/>
    </row>
    <row r="31" spans="1:7" ht="12.75" hidden="1" customHeight="1">
      <c r="A31" s="305"/>
      <c r="B31" s="305"/>
      <c r="C31" s="305"/>
      <c r="D31" s="305"/>
      <c r="E31" s="305"/>
      <c r="F31" s="305"/>
      <c r="G31" s="305"/>
    </row>
    <row r="32" spans="1:7" ht="12.75" hidden="1" customHeight="1">
      <c r="A32" s="305"/>
      <c r="B32" s="305"/>
      <c r="C32" s="305"/>
      <c r="D32" s="305"/>
      <c r="E32" s="305"/>
      <c r="F32" s="305"/>
      <c r="G32" s="305"/>
    </row>
    <row r="33" spans="1:9" ht="12.75" hidden="1" customHeight="1">
      <c r="A33" s="305"/>
      <c r="B33" s="305"/>
      <c r="C33" s="305"/>
      <c r="D33" s="305"/>
      <c r="E33" s="305"/>
      <c r="F33" s="305"/>
      <c r="G33" s="305"/>
    </row>
    <row r="34" spans="1:9" ht="37.5" customHeight="1">
      <c r="A34" s="828" t="s">
        <v>994</v>
      </c>
      <c r="B34" s="828"/>
      <c r="C34" s="828"/>
      <c r="D34" s="828"/>
      <c r="E34" s="828"/>
      <c r="F34" s="828"/>
      <c r="G34" s="828"/>
      <c r="H34" s="828"/>
      <c r="I34" s="828"/>
    </row>
    <row r="35" spans="1:9" ht="12" customHeight="1">
      <c r="A35" s="305"/>
      <c r="B35" s="305"/>
      <c r="C35" s="305"/>
      <c r="D35" s="305"/>
      <c r="E35" s="305"/>
      <c r="F35" s="305"/>
      <c r="G35" s="305"/>
    </row>
    <row r="36" spans="1:9" ht="49.5" customHeight="1">
      <c r="A36" s="828" t="s">
        <v>891</v>
      </c>
      <c r="B36" s="828"/>
      <c r="C36" s="828"/>
      <c r="D36" s="828"/>
      <c r="E36" s="828"/>
      <c r="F36" s="828"/>
      <c r="G36" s="828"/>
      <c r="H36" s="828"/>
      <c r="I36" s="828"/>
    </row>
    <row r="37" spans="1:9" ht="12" customHeight="1">
      <c r="A37" s="305"/>
      <c r="B37" s="305"/>
      <c r="C37" s="305"/>
      <c r="D37" s="305"/>
      <c r="E37" s="305"/>
      <c r="F37" s="305"/>
      <c r="G37" s="305"/>
    </row>
    <row r="38" spans="1:9" ht="12" customHeight="1">
      <c r="A38" s="305"/>
      <c r="B38" s="305"/>
      <c r="C38" s="305"/>
      <c r="D38" s="305"/>
      <c r="E38" s="305"/>
      <c r="F38" s="305"/>
      <c r="G38" s="305"/>
    </row>
    <row r="39" spans="1:9" ht="25.5" customHeight="1">
      <c r="A39" s="828" t="s">
        <v>995</v>
      </c>
      <c r="B39" s="828"/>
      <c r="C39" s="828"/>
      <c r="D39" s="828"/>
      <c r="E39" s="828"/>
      <c r="F39" s="828"/>
      <c r="G39" s="828"/>
      <c r="H39" s="828"/>
      <c r="I39" s="828"/>
    </row>
    <row r="40" spans="1:9" ht="12" customHeight="1">
      <c r="A40" s="305"/>
      <c r="B40" s="305"/>
      <c r="C40" s="305"/>
      <c r="D40" s="305"/>
      <c r="E40" s="305"/>
      <c r="F40" s="305"/>
      <c r="G40" s="305"/>
    </row>
    <row r="41" spans="1:9" ht="123" customHeight="1">
      <c r="A41" s="829" t="s">
        <v>892</v>
      </c>
      <c r="B41" s="829"/>
      <c r="C41" s="829"/>
      <c r="D41" s="829"/>
      <c r="E41" s="829"/>
      <c r="F41" s="829"/>
      <c r="G41" s="829"/>
      <c r="H41" s="829"/>
      <c r="I41" s="829"/>
    </row>
    <row r="42" spans="1:9" ht="12.75" customHeight="1">
      <c r="A42" s="305"/>
      <c r="B42" s="305"/>
      <c r="C42" s="305"/>
      <c r="D42" s="305"/>
      <c r="E42" s="305"/>
      <c r="F42" s="305"/>
      <c r="G42" s="305"/>
    </row>
    <row r="43" spans="1:9" ht="12.75" customHeight="1">
      <c r="A43" s="305"/>
      <c r="B43" s="305"/>
      <c r="C43" s="305"/>
      <c r="D43" s="305"/>
      <c r="E43" s="305"/>
      <c r="F43" s="305"/>
      <c r="G43" s="305"/>
    </row>
    <row r="44" spans="1:9" ht="12.75" customHeight="1">
      <c r="A44" s="305"/>
      <c r="B44" s="305"/>
      <c r="C44" s="305"/>
      <c r="D44" s="305"/>
      <c r="E44" s="305"/>
      <c r="F44" s="305"/>
      <c r="G44" s="305"/>
    </row>
    <row r="45" spans="1:9" ht="12.75" customHeight="1">
      <c r="A45" s="305"/>
      <c r="B45" s="305"/>
      <c r="C45" s="305"/>
      <c r="D45" s="305"/>
      <c r="E45" s="305"/>
      <c r="F45" s="305"/>
      <c r="G45" s="305"/>
    </row>
    <row r="46" spans="1:9" ht="12.75" customHeight="1">
      <c r="A46" s="305"/>
      <c r="B46" s="305"/>
      <c r="C46" s="305"/>
      <c r="D46" s="305"/>
      <c r="E46" s="305"/>
      <c r="F46" s="305"/>
      <c r="G46" s="305"/>
    </row>
    <row r="47" spans="1:9" ht="12.75" customHeight="1">
      <c r="A47" s="305"/>
      <c r="B47" s="305"/>
      <c r="C47" s="305"/>
      <c r="D47" s="305"/>
      <c r="E47" s="305"/>
      <c r="F47" s="305"/>
      <c r="G47" s="305"/>
    </row>
    <row r="48" spans="1:9" ht="12.75" customHeight="1">
      <c r="A48" s="305"/>
      <c r="B48" s="305"/>
      <c r="C48" s="305"/>
      <c r="D48" s="305"/>
      <c r="E48" s="305"/>
      <c r="F48" s="305"/>
      <c r="G48" s="305"/>
    </row>
    <row r="49" spans="1:7" ht="12.75" customHeight="1">
      <c r="A49" s="305"/>
      <c r="B49" s="305"/>
      <c r="C49" s="305"/>
      <c r="D49" s="305"/>
      <c r="E49" s="305"/>
      <c r="F49" s="305"/>
      <c r="G49" s="305"/>
    </row>
    <row r="50" spans="1:7" ht="12.75" customHeight="1">
      <c r="A50" s="305"/>
      <c r="B50" s="305"/>
      <c r="C50" s="305"/>
      <c r="D50" s="305"/>
      <c r="E50" s="305"/>
      <c r="F50" s="305"/>
      <c r="G50" s="305"/>
    </row>
    <row r="51" spans="1:7" ht="12.75" customHeight="1">
      <c r="A51" s="305"/>
      <c r="B51" s="305"/>
      <c r="C51" s="305"/>
      <c r="D51" s="305"/>
      <c r="E51" s="305"/>
      <c r="F51" s="305"/>
      <c r="G51" s="305"/>
    </row>
    <row r="52" spans="1:7" ht="12.75" customHeight="1">
      <c r="A52" s="305"/>
      <c r="B52" s="305"/>
      <c r="C52" s="305"/>
      <c r="D52" s="305"/>
      <c r="E52" s="305"/>
      <c r="F52" s="305"/>
      <c r="G52" s="305"/>
    </row>
    <row r="53" spans="1:7" ht="12.75" customHeight="1">
      <c r="A53" s="305"/>
      <c r="B53" s="305"/>
      <c r="C53" s="305"/>
      <c r="D53" s="305"/>
      <c r="E53" s="305"/>
      <c r="F53" s="305"/>
      <c r="G53" s="305"/>
    </row>
    <row r="54" spans="1:7" ht="12.75" customHeight="1">
      <c r="A54" s="305"/>
      <c r="B54" s="305"/>
      <c r="C54" s="305"/>
      <c r="D54" s="305"/>
      <c r="E54" s="305"/>
      <c r="F54" s="305"/>
      <c r="G54" s="305"/>
    </row>
    <row r="55" spans="1:7" ht="12.75" customHeight="1">
      <c r="A55" s="305"/>
      <c r="B55" s="305"/>
      <c r="C55" s="305"/>
      <c r="D55" s="305"/>
      <c r="E55" s="305"/>
      <c r="F55" s="305"/>
      <c r="G55" s="305"/>
    </row>
    <row r="56" spans="1:7" ht="12.75" customHeight="1">
      <c r="A56" s="305"/>
      <c r="B56" s="305"/>
      <c r="C56" s="305"/>
      <c r="D56" s="305"/>
      <c r="E56" s="305"/>
      <c r="F56" s="305"/>
      <c r="G56" s="305"/>
    </row>
    <row r="57" spans="1:7" ht="12.75" customHeight="1">
      <c r="A57" s="305"/>
      <c r="B57" s="305"/>
      <c r="C57" s="305"/>
      <c r="D57" s="305"/>
      <c r="E57" s="305"/>
      <c r="F57" s="305"/>
      <c r="G57" s="305"/>
    </row>
    <row r="58" spans="1:7" ht="12.75" customHeight="1">
      <c r="A58" s="305"/>
      <c r="B58" s="305"/>
      <c r="C58" s="305"/>
      <c r="D58" s="305"/>
      <c r="E58" s="305"/>
      <c r="F58" s="305"/>
      <c r="G58" s="305"/>
    </row>
    <row r="59" spans="1:7" ht="12.75" customHeight="1">
      <c r="A59" s="305"/>
      <c r="B59" s="305"/>
      <c r="C59" s="305"/>
      <c r="D59" s="305"/>
      <c r="E59" s="305"/>
      <c r="F59" s="305"/>
      <c r="G59" s="305"/>
    </row>
    <row r="60" spans="1:7" ht="12.75" customHeight="1">
      <c r="A60" s="305"/>
      <c r="B60" s="305"/>
      <c r="C60" s="305"/>
      <c r="D60" s="305"/>
      <c r="E60" s="305"/>
      <c r="F60" s="305"/>
      <c r="G60" s="305"/>
    </row>
    <row r="61" spans="1:7" ht="12.75" customHeight="1">
      <c r="A61" s="305"/>
      <c r="B61" s="305"/>
      <c r="C61" s="305"/>
      <c r="D61" s="305"/>
      <c r="E61" s="305"/>
      <c r="F61" s="305"/>
      <c r="G61" s="305"/>
    </row>
    <row r="62" spans="1:7" ht="12.75" customHeight="1">
      <c r="A62" s="305"/>
      <c r="B62" s="305"/>
      <c r="C62" s="305"/>
      <c r="D62" s="305"/>
      <c r="E62" s="305"/>
      <c r="F62" s="305"/>
      <c r="G62" s="305"/>
    </row>
    <row r="63" spans="1:7" ht="12.75" customHeight="1">
      <c r="A63" s="305"/>
      <c r="B63" s="305"/>
      <c r="C63" s="305"/>
      <c r="D63" s="305"/>
      <c r="E63" s="305"/>
      <c r="F63" s="305"/>
      <c r="G63" s="305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D43-B871-4ED0-A43B-DC9A403DAB14}">
  <sheetPr>
    <tabColor theme="6"/>
  </sheetPr>
  <dimension ref="A1:P22"/>
  <sheetViews>
    <sheetView workbookViewId="0">
      <selection activeCell="J6" sqref="J6"/>
    </sheetView>
  </sheetViews>
  <sheetFormatPr baseColWidth="10" defaultRowHeight="14.4"/>
  <cols>
    <col min="1" max="1" width="35.88671875" customWidth="1"/>
    <col min="2" max="10" width="11.6640625" bestFit="1" customWidth="1"/>
    <col min="11" max="13" width="13.21875" bestFit="1" customWidth="1"/>
    <col min="14" max="14" width="11.6640625" bestFit="1" customWidth="1"/>
    <col min="16" max="16" width="28.21875" customWidth="1"/>
  </cols>
  <sheetData>
    <row r="1" spans="1:16" ht="27">
      <c r="A1" s="627"/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9" t="s">
        <v>1336</v>
      </c>
    </row>
    <row r="2" spans="1:16" ht="27">
      <c r="A2" s="630" t="s">
        <v>1337</v>
      </c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631"/>
      <c r="M2" s="631"/>
      <c r="N2" s="631"/>
      <c r="O2" s="631"/>
      <c r="P2" s="632"/>
    </row>
    <row r="3" spans="1:16" ht="27">
      <c r="A3" s="633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32"/>
    </row>
    <row r="4" spans="1:16" ht="26.4">
      <c r="A4" s="866" t="s">
        <v>1338</v>
      </c>
      <c r="B4" s="636" t="s">
        <v>1339</v>
      </c>
      <c r="C4" s="636" t="s">
        <v>1340</v>
      </c>
      <c r="D4" s="636" t="s">
        <v>1341</v>
      </c>
      <c r="E4" s="636" t="s">
        <v>1342</v>
      </c>
      <c r="F4" s="636" t="s">
        <v>1343</v>
      </c>
      <c r="G4" s="636" t="s">
        <v>1344</v>
      </c>
      <c r="H4" s="636" t="s">
        <v>1345</v>
      </c>
      <c r="I4" s="636" t="s">
        <v>1346</v>
      </c>
      <c r="J4" s="636" t="s">
        <v>1347</v>
      </c>
      <c r="K4" s="636" t="s">
        <v>1348</v>
      </c>
      <c r="L4" s="636" t="s">
        <v>1349</v>
      </c>
      <c r="M4" s="636" t="s">
        <v>1350</v>
      </c>
      <c r="N4" s="636" t="s">
        <v>1351</v>
      </c>
      <c r="O4" s="636" t="s">
        <v>1352</v>
      </c>
      <c r="P4" s="868" t="s">
        <v>359</v>
      </c>
    </row>
    <row r="5" spans="1:16" ht="26.4">
      <c r="A5" s="867"/>
      <c r="B5" s="638" t="s">
        <v>1353</v>
      </c>
      <c r="C5" s="638" t="s">
        <v>1354</v>
      </c>
      <c r="D5" s="638" t="s">
        <v>1355</v>
      </c>
      <c r="E5" s="638" t="s">
        <v>1356</v>
      </c>
      <c r="F5" s="638" t="s">
        <v>1357</v>
      </c>
      <c r="G5" s="638" t="s">
        <v>1358</v>
      </c>
      <c r="H5" s="638" t="s">
        <v>1359</v>
      </c>
      <c r="I5" s="638" t="s">
        <v>1360</v>
      </c>
      <c r="J5" s="638" t="s">
        <v>1361</v>
      </c>
      <c r="K5" s="638" t="s">
        <v>1362</v>
      </c>
      <c r="L5" s="638" t="s">
        <v>1363</v>
      </c>
      <c r="M5" s="639">
        <v>44531</v>
      </c>
      <c r="N5" s="638" t="s">
        <v>1364</v>
      </c>
      <c r="O5" s="639">
        <v>45261</v>
      </c>
      <c r="P5" s="869"/>
    </row>
    <row r="6" spans="1:16" ht="27">
      <c r="A6" s="640" t="s">
        <v>1365</v>
      </c>
      <c r="B6" s="641">
        <v>30751.5</v>
      </c>
      <c r="C6" s="641">
        <v>37415.4</v>
      </c>
      <c r="D6" s="641">
        <v>41343.800000000003</v>
      </c>
      <c r="E6" s="641">
        <v>46967.3</v>
      </c>
      <c r="F6" s="641">
        <v>51016.2</v>
      </c>
      <c r="G6" s="641">
        <v>56119.1</v>
      </c>
      <c r="H6" s="641">
        <v>59805.5</v>
      </c>
      <c r="I6" s="641">
        <v>67287</v>
      </c>
      <c r="J6" s="641">
        <v>75897</v>
      </c>
      <c r="K6" s="641">
        <v>83499</v>
      </c>
      <c r="L6" s="641">
        <v>96041</v>
      </c>
      <c r="M6" s="641">
        <v>118198</v>
      </c>
      <c r="N6" s="642" t="s">
        <v>1366</v>
      </c>
      <c r="O6" s="642">
        <v>138627</v>
      </c>
      <c r="P6" s="643" t="s">
        <v>1367</v>
      </c>
    </row>
    <row r="7" spans="1:16" ht="27">
      <c r="A7" s="644" t="s">
        <v>1368</v>
      </c>
      <c r="B7" s="645">
        <v>25870.5</v>
      </c>
      <c r="C7" s="645">
        <v>32382.5</v>
      </c>
      <c r="D7" s="645">
        <v>36181.800000000003</v>
      </c>
      <c r="E7" s="645">
        <v>40473.699999999997</v>
      </c>
      <c r="F7" s="645">
        <v>44010.400000000001</v>
      </c>
      <c r="G7" s="645">
        <v>47018.1</v>
      </c>
      <c r="H7" s="645">
        <v>49223.8</v>
      </c>
      <c r="I7" s="645">
        <v>55157</v>
      </c>
      <c r="J7" s="645">
        <v>62352</v>
      </c>
      <c r="K7" s="645">
        <v>68910</v>
      </c>
      <c r="L7" s="645">
        <v>79933</v>
      </c>
      <c r="M7" s="645">
        <v>99886</v>
      </c>
      <c r="N7" s="642" t="s">
        <v>1369</v>
      </c>
      <c r="O7" s="642">
        <v>114239</v>
      </c>
      <c r="P7" s="646" t="s">
        <v>1370</v>
      </c>
    </row>
    <row r="8" spans="1:16" ht="27">
      <c r="A8" s="647" t="s">
        <v>1371</v>
      </c>
      <c r="B8" s="645">
        <v>8670.4</v>
      </c>
      <c r="C8" s="645">
        <v>10089.9</v>
      </c>
      <c r="D8" s="645">
        <v>11529.3</v>
      </c>
      <c r="E8" s="645">
        <v>13272.8</v>
      </c>
      <c r="F8" s="645">
        <v>13092.2</v>
      </c>
      <c r="G8" s="645">
        <v>12966.5</v>
      </c>
      <c r="H8" s="645">
        <v>14138.5</v>
      </c>
      <c r="I8" s="645">
        <v>14894</v>
      </c>
      <c r="J8" s="645">
        <v>15594</v>
      </c>
      <c r="K8" s="645">
        <v>17424</v>
      </c>
      <c r="L8" s="645">
        <v>22737</v>
      </c>
      <c r="M8" s="645">
        <v>25701</v>
      </c>
      <c r="N8" s="642" t="s">
        <v>1372</v>
      </c>
      <c r="O8" s="642">
        <v>22915</v>
      </c>
      <c r="P8" s="648" t="s">
        <v>1373</v>
      </c>
    </row>
    <row r="9" spans="1:16" ht="27">
      <c r="A9" s="647" t="s">
        <v>1374</v>
      </c>
      <c r="B9" s="645">
        <v>17200.099999999999</v>
      </c>
      <c r="C9" s="645">
        <v>22292.6</v>
      </c>
      <c r="D9" s="645">
        <v>24652.5</v>
      </c>
      <c r="E9" s="645">
        <v>27200.9</v>
      </c>
      <c r="F9" s="645">
        <v>30918.2</v>
      </c>
      <c r="G9" s="645">
        <v>34051.599999999999</v>
      </c>
      <c r="H9" s="645">
        <v>35085.300000000003</v>
      </c>
      <c r="I9" s="645">
        <v>40264</v>
      </c>
      <c r="J9" s="645">
        <v>46759</v>
      </c>
      <c r="K9" s="645">
        <v>51486</v>
      </c>
      <c r="L9" s="645">
        <v>73304</v>
      </c>
      <c r="M9" s="645">
        <v>92497</v>
      </c>
      <c r="N9" s="642" t="s">
        <v>1375</v>
      </c>
      <c r="O9" s="642">
        <v>115713</v>
      </c>
      <c r="P9" s="648" t="s">
        <v>1376</v>
      </c>
    </row>
    <row r="10" spans="1:16" ht="27">
      <c r="A10" s="649" t="s">
        <v>1377</v>
      </c>
      <c r="B10" s="645">
        <v>17200.099999999999</v>
      </c>
      <c r="C10" s="645">
        <v>22292.6</v>
      </c>
      <c r="D10" s="645">
        <v>24652.5</v>
      </c>
      <c r="E10" s="645">
        <v>27200.9</v>
      </c>
      <c r="F10" s="645">
        <v>30918.2</v>
      </c>
      <c r="G10" s="645">
        <v>34051.599999999999</v>
      </c>
      <c r="H10" s="645">
        <v>35085.300000000003</v>
      </c>
      <c r="I10" s="645">
        <v>40264</v>
      </c>
      <c r="J10" s="645">
        <v>46759</v>
      </c>
      <c r="K10" s="645">
        <v>51486</v>
      </c>
      <c r="L10" s="641">
        <v>57196</v>
      </c>
      <c r="M10" s="641">
        <v>74185</v>
      </c>
      <c r="N10" s="642" t="s">
        <v>1378</v>
      </c>
      <c r="O10" s="642">
        <v>91324</v>
      </c>
      <c r="P10" s="648" t="s">
        <v>1379</v>
      </c>
    </row>
    <row r="11" spans="1:16" ht="27">
      <c r="A11" s="650" t="s">
        <v>1380</v>
      </c>
      <c r="B11" s="651">
        <v>4881</v>
      </c>
      <c r="C11" s="651">
        <v>5032.8999999999996</v>
      </c>
      <c r="D11" s="651">
        <v>5162</v>
      </c>
      <c r="E11" s="651">
        <v>6493.6</v>
      </c>
      <c r="F11" s="651">
        <v>7005.8</v>
      </c>
      <c r="G11" s="651">
        <v>9101</v>
      </c>
      <c r="H11" s="651">
        <v>10581.7</v>
      </c>
      <c r="I11" s="651">
        <v>12129</v>
      </c>
      <c r="J11" s="651">
        <v>13544</v>
      </c>
      <c r="K11" s="651">
        <v>14588</v>
      </c>
      <c r="L11" s="651">
        <v>16108</v>
      </c>
      <c r="M11" s="651">
        <v>18312</v>
      </c>
      <c r="N11" s="652" t="s">
        <v>1381</v>
      </c>
      <c r="O11" s="652">
        <v>24388</v>
      </c>
      <c r="P11" s="653" t="s">
        <v>1382</v>
      </c>
    </row>
    <row r="12" spans="1:16" ht="27">
      <c r="A12" s="654" t="s">
        <v>1383</v>
      </c>
      <c r="B12" s="655">
        <v>16466.3</v>
      </c>
      <c r="C12" s="655">
        <v>19889.599999999999</v>
      </c>
      <c r="D12" s="655">
        <v>23761.7</v>
      </c>
      <c r="E12" s="655">
        <v>24361.5</v>
      </c>
      <c r="F12" s="655">
        <v>20723.599999999999</v>
      </c>
      <c r="G12" s="655">
        <v>18325.2</v>
      </c>
      <c r="H12" s="655">
        <v>15632.9</v>
      </c>
      <c r="I12" s="655">
        <v>16645</v>
      </c>
      <c r="J12" s="655">
        <v>20553</v>
      </c>
      <c r="K12" s="655">
        <v>23867</v>
      </c>
      <c r="L12" s="655">
        <v>15194</v>
      </c>
      <c r="M12" s="655">
        <v>22552</v>
      </c>
      <c r="N12" s="652" t="s">
        <v>1384</v>
      </c>
      <c r="O12" s="652">
        <v>55313</v>
      </c>
      <c r="P12" s="656" t="s">
        <v>1385</v>
      </c>
    </row>
    <row r="13" spans="1:16" ht="27">
      <c r="A13" s="657" t="s">
        <v>1386</v>
      </c>
      <c r="B13" s="655">
        <v>47217.8</v>
      </c>
      <c r="C13" s="655">
        <v>57305</v>
      </c>
      <c r="D13" s="655">
        <v>65105.5</v>
      </c>
      <c r="E13" s="655">
        <v>71328.800000000003</v>
      </c>
      <c r="F13" s="655">
        <v>71739.8</v>
      </c>
      <c r="G13" s="655">
        <v>74444.3</v>
      </c>
      <c r="H13" s="655">
        <v>75438.399999999994</v>
      </c>
      <c r="I13" s="655">
        <v>83932</v>
      </c>
      <c r="J13" s="655">
        <v>96450</v>
      </c>
      <c r="K13" s="655">
        <v>107366</v>
      </c>
      <c r="L13" s="655">
        <v>111235</v>
      </c>
      <c r="M13" s="655">
        <v>140750</v>
      </c>
      <c r="N13" s="652" t="s">
        <v>1387</v>
      </c>
      <c r="O13" s="652">
        <v>193940</v>
      </c>
      <c r="P13" s="658" t="s">
        <v>1388</v>
      </c>
    </row>
    <row r="14" spans="1:16" ht="27">
      <c r="A14" s="640" t="s">
        <v>1389</v>
      </c>
      <c r="B14" s="641">
        <v>908.3</v>
      </c>
      <c r="C14" s="641">
        <v>7081</v>
      </c>
      <c r="D14" s="641">
        <v>19220.099999999999</v>
      </c>
      <c r="E14" s="641">
        <v>19665.2</v>
      </c>
      <c r="F14" s="641">
        <v>10805.5</v>
      </c>
      <c r="G14" s="641">
        <v>7254.3</v>
      </c>
      <c r="H14" s="641">
        <v>5639.8</v>
      </c>
      <c r="I14" s="641">
        <v>7800</v>
      </c>
      <c r="J14" s="641">
        <v>9347</v>
      </c>
      <c r="K14" s="641">
        <v>17784</v>
      </c>
      <c r="L14" s="641">
        <v>27048</v>
      </c>
      <c r="M14" s="641">
        <v>51428</v>
      </c>
      <c r="N14" s="642" t="s">
        <v>1390</v>
      </c>
      <c r="O14" s="641">
        <v>62321</v>
      </c>
      <c r="P14" s="656" t="s">
        <v>1391</v>
      </c>
    </row>
    <row r="15" spans="1:16" ht="27">
      <c r="A15" s="644" t="s">
        <v>1392</v>
      </c>
      <c r="B15" s="645">
        <v>11187.2</v>
      </c>
      <c r="C15" s="645">
        <v>18331</v>
      </c>
      <c r="D15" s="645">
        <v>29075.599999999999</v>
      </c>
      <c r="E15" s="645">
        <v>33258.1</v>
      </c>
      <c r="F15" s="645">
        <v>23843.3</v>
      </c>
      <c r="G15" s="645">
        <v>32323</v>
      </c>
      <c r="H15" s="645">
        <v>33900.6</v>
      </c>
      <c r="I15" s="645">
        <v>38181</v>
      </c>
      <c r="J15" s="645">
        <v>40050</v>
      </c>
      <c r="K15" s="645">
        <v>50236</v>
      </c>
      <c r="L15" s="645">
        <v>65465</v>
      </c>
      <c r="M15" s="645">
        <v>92224</v>
      </c>
      <c r="N15" s="642" t="s">
        <v>1393</v>
      </c>
      <c r="O15" s="645">
        <v>91973</v>
      </c>
      <c r="P15" s="659" t="s">
        <v>1394</v>
      </c>
    </row>
    <row r="16" spans="1:16" ht="27">
      <c r="A16" s="644" t="s">
        <v>1395</v>
      </c>
      <c r="B16" s="645">
        <v>10278.9</v>
      </c>
      <c r="C16" s="645">
        <v>11250.1</v>
      </c>
      <c r="D16" s="645">
        <v>12962.7</v>
      </c>
      <c r="E16" s="645">
        <v>13593</v>
      </c>
      <c r="F16" s="645">
        <v>13037.8</v>
      </c>
      <c r="G16" s="645">
        <v>25068.7</v>
      </c>
      <c r="H16" s="645">
        <v>28260.799999999999</v>
      </c>
      <c r="I16" s="645">
        <v>30381</v>
      </c>
      <c r="J16" s="645">
        <v>30702</v>
      </c>
      <c r="K16" s="645">
        <v>32452</v>
      </c>
      <c r="L16" s="645">
        <v>38416</v>
      </c>
      <c r="M16" s="645">
        <v>40796</v>
      </c>
      <c r="N16" s="642" t="s">
        <v>1396</v>
      </c>
      <c r="O16" s="645">
        <v>29653</v>
      </c>
      <c r="P16" s="659" t="s">
        <v>1397</v>
      </c>
    </row>
    <row r="17" spans="1:16" ht="27">
      <c r="A17" s="640" t="s">
        <v>1398</v>
      </c>
      <c r="B17" s="641">
        <v>46309.5</v>
      </c>
      <c r="C17" s="641">
        <v>50224</v>
      </c>
      <c r="D17" s="641">
        <v>45885.4</v>
      </c>
      <c r="E17" s="641">
        <v>51663.5</v>
      </c>
      <c r="F17" s="641">
        <v>60934.3</v>
      </c>
      <c r="G17" s="641">
        <v>67190</v>
      </c>
      <c r="H17" s="641">
        <v>69798.600000000006</v>
      </c>
      <c r="I17" s="641">
        <v>76132</v>
      </c>
      <c r="J17" s="641">
        <v>87103</v>
      </c>
      <c r="K17" s="641">
        <v>89582</v>
      </c>
      <c r="L17" s="641">
        <v>84186</v>
      </c>
      <c r="M17" s="641">
        <v>89322</v>
      </c>
      <c r="N17" s="642" t="s">
        <v>1399</v>
      </c>
      <c r="O17" s="641">
        <v>131620</v>
      </c>
      <c r="P17" s="656" t="s">
        <v>1400</v>
      </c>
    </row>
    <row r="18" spans="1:16" ht="27">
      <c r="A18" s="644" t="s">
        <v>1401</v>
      </c>
      <c r="B18" s="641">
        <v>28406.5</v>
      </c>
      <c r="C18" s="641">
        <v>31285.200000000001</v>
      </c>
      <c r="D18" s="641">
        <v>35853.699999999997</v>
      </c>
      <c r="E18" s="641">
        <v>39840.400000000001</v>
      </c>
      <c r="F18" s="641">
        <v>44297.7</v>
      </c>
      <c r="G18" s="641">
        <v>51103.8</v>
      </c>
      <c r="H18" s="641">
        <v>55257.5</v>
      </c>
      <c r="I18" s="641">
        <v>59160</v>
      </c>
      <c r="J18" s="641">
        <v>70292</v>
      </c>
      <c r="K18" s="641">
        <v>78807</v>
      </c>
      <c r="L18" s="641">
        <v>80877</v>
      </c>
      <c r="M18" s="641">
        <v>91244</v>
      </c>
      <c r="N18" s="642" t="s">
        <v>1402</v>
      </c>
      <c r="O18" s="645">
        <v>108413</v>
      </c>
      <c r="P18" s="659" t="s">
        <v>1403</v>
      </c>
    </row>
    <row r="19" spans="1:16" ht="27">
      <c r="A19" s="644" t="s">
        <v>1404</v>
      </c>
      <c r="B19" s="641">
        <v>17903</v>
      </c>
      <c r="C19" s="641">
        <v>18938.8</v>
      </c>
      <c r="D19" s="641">
        <v>10031.700000000001</v>
      </c>
      <c r="E19" s="641">
        <v>11823.2</v>
      </c>
      <c r="F19" s="641">
        <v>16635.599999999999</v>
      </c>
      <c r="G19" s="641">
        <v>16086.2</v>
      </c>
      <c r="H19" s="641">
        <v>14541.1</v>
      </c>
      <c r="I19" s="641">
        <v>16972</v>
      </c>
      <c r="J19" s="641">
        <v>16811</v>
      </c>
      <c r="K19" s="641">
        <v>10775</v>
      </c>
      <c r="L19" s="641">
        <v>3310</v>
      </c>
      <c r="M19" s="641">
        <v>1922</v>
      </c>
      <c r="N19" s="642">
        <v>577</v>
      </c>
      <c r="O19" s="645">
        <v>23207</v>
      </c>
      <c r="P19" s="659" t="s">
        <v>1405</v>
      </c>
    </row>
    <row r="20" spans="1:16" ht="27">
      <c r="A20" s="657" t="s">
        <v>1406</v>
      </c>
      <c r="B20" s="655">
        <v>47217.8</v>
      </c>
      <c r="C20" s="655">
        <v>57305</v>
      </c>
      <c r="D20" s="655">
        <v>65105.5</v>
      </c>
      <c r="E20" s="655">
        <v>71328.7</v>
      </c>
      <c r="F20" s="655">
        <v>71739.8</v>
      </c>
      <c r="G20" s="655">
        <v>74444.3</v>
      </c>
      <c r="H20" s="655">
        <v>75438.399999999994</v>
      </c>
      <c r="I20" s="655">
        <v>83932</v>
      </c>
      <c r="J20" s="655">
        <v>96450</v>
      </c>
      <c r="K20" s="655">
        <v>107366</v>
      </c>
      <c r="L20" s="655">
        <v>111235</v>
      </c>
      <c r="M20" s="655">
        <v>140750</v>
      </c>
      <c r="N20" s="652" t="s">
        <v>1387</v>
      </c>
      <c r="O20" s="652">
        <v>193940</v>
      </c>
      <c r="P20" s="660" t="s">
        <v>1407</v>
      </c>
    </row>
    <row r="21" spans="1:16" ht="27">
      <c r="A21" s="627"/>
      <c r="B21" s="634"/>
      <c r="C21" s="634"/>
      <c r="D21" s="634"/>
      <c r="E21" s="634"/>
      <c r="F21" s="634"/>
      <c r="G21" s="634"/>
      <c r="H21" s="634"/>
      <c r="I21" s="634"/>
      <c r="J21" s="634"/>
      <c r="K21" s="634"/>
      <c r="L21" s="634"/>
      <c r="M21" s="634"/>
      <c r="N21" s="634"/>
      <c r="O21" s="634"/>
      <c r="P21" s="632"/>
    </row>
    <row r="22" spans="1:16" ht="26.4">
      <c r="A22" s="547" t="s">
        <v>1408</v>
      </c>
      <c r="B22" s="627"/>
      <c r="C22" s="627"/>
      <c r="D22" s="627"/>
      <c r="E22" s="627"/>
      <c r="F22" s="627"/>
      <c r="G22" s="627"/>
      <c r="H22" s="627"/>
      <c r="I22" s="627"/>
      <c r="J22" s="627"/>
      <c r="K22" s="627"/>
      <c r="L22" s="627"/>
      <c r="M22" s="627"/>
      <c r="N22" s="627"/>
      <c r="O22" s="627"/>
      <c r="P22" s="582" t="s">
        <v>1409</v>
      </c>
    </row>
  </sheetData>
  <mergeCells count="2">
    <mergeCell ref="A4:A5"/>
    <mergeCell ref="P4:P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9A5-F3B5-4AC2-B1FF-D503E6997DB2}">
  <sheetPr>
    <tabColor theme="6"/>
  </sheetPr>
  <dimension ref="A1:P28"/>
  <sheetViews>
    <sheetView topLeftCell="G19" workbookViewId="0">
      <selection activeCell="A3" sqref="A3"/>
    </sheetView>
  </sheetViews>
  <sheetFormatPr baseColWidth="10" defaultRowHeight="14.4"/>
  <cols>
    <col min="1" max="1" width="39.6640625" customWidth="1"/>
    <col min="16" max="16" width="38.6640625" customWidth="1"/>
  </cols>
  <sheetData>
    <row r="1" spans="1:16" ht="27">
      <c r="A1" s="580" t="s">
        <v>1410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61" t="s">
        <v>1411</v>
      </c>
    </row>
    <row r="2" spans="1:16" ht="27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32"/>
    </row>
    <row r="3" spans="1:16" ht="27">
      <c r="A3" s="635" t="s">
        <v>1412</v>
      </c>
      <c r="B3" s="668">
        <v>2010</v>
      </c>
      <c r="C3" s="668">
        <v>2011</v>
      </c>
      <c r="D3" s="668">
        <v>2012</v>
      </c>
      <c r="E3" s="668">
        <v>2013</v>
      </c>
      <c r="F3" s="668">
        <v>2014</v>
      </c>
      <c r="G3" s="668">
        <v>2015</v>
      </c>
      <c r="H3" s="668">
        <v>2016</v>
      </c>
      <c r="I3" s="668">
        <v>2017</v>
      </c>
      <c r="J3" s="668">
        <v>2018</v>
      </c>
      <c r="K3" s="668">
        <v>2019</v>
      </c>
      <c r="L3" s="668">
        <v>2020</v>
      </c>
      <c r="M3" s="668">
        <v>2021</v>
      </c>
      <c r="N3" s="668">
        <v>2022</v>
      </c>
      <c r="O3" s="668">
        <v>2023</v>
      </c>
      <c r="P3" s="637" t="s">
        <v>359</v>
      </c>
    </row>
    <row r="4" spans="1:16" ht="27">
      <c r="A4" s="506"/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9"/>
    </row>
    <row r="5" spans="1:16" ht="27">
      <c r="A5" s="336" t="s">
        <v>1413</v>
      </c>
      <c r="B5" s="669">
        <f t="shared" ref="B5:K5" si="0">SUM(B7:B17)</f>
        <v>25202.800000000003</v>
      </c>
      <c r="C5" s="670">
        <f t="shared" si="0"/>
        <v>27933.1</v>
      </c>
      <c r="D5" s="670">
        <f t="shared" si="0"/>
        <v>31790.800000000003</v>
      </c>
      <c r="E5" s="670">
        <f t="shared" si="0"/>
        <v>37039</v>
      </c>
      <c r="F5" s="670">
        <f t="shared" si="0"/>
        <v>41485.199999999997</v>
      </c>
      <c r="G5" s="670">
        <f t="shared" si="0"/>
        <v>45959.8</v>
      </c>
      <c r="H5" s="670">
        <f t="shared" si="0"/>
        <v>51615.6</v>
      </c>
      <c r="I5" s="670">
        <f t="shared" si="0"/>
        <v>56763.5</v>
      </c>
      <c r="J5" s="670">
        <f t="shared" si="0"/>
        <v>64621</v>
      </c>
      <c r="K5" s="670">
        <f t="shared" si="0"/>
        <v>73644</v>
      </c>
      <c r="L5" s="670">
        <v>75146</v>
      </c>
      <c r="M5" s="670">
        <v>86560</v>
      </c>
      <c r="N5" s="652" t="s">
        <v>1414</v>
      </c>
      <c r="O5" s="652">
        <v>101921</v>
      </c>
      <c r="P5" s="584" t="s">
        <v>1415</v>
      </c>
    </row>
    <row r="6" spans="1:16" ht="27">
      <c r="A6" s="671" t="s">
        <v>1416</v>
      </c>
      <c r="B6" s="67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42" t="s">
        <v>1417</v>
      </c>
      <c r="O6" s="642">
        <v>11953</v>
      </c>
      <c r="P6" s="584" t="s">
        <v>1418</v>
      </c>
    </row>
    <row r="7" spans="1:16" ht="27">
      <c r="A7" s="674" t="s">
        <v>1419</v>
      </c>
      <c r="B7" s="672">
        <v>308.60000000000002</v>
      </c>
      <c r="C7" s="673">
        <v>348.4</v>
      </c>
      <c r="D7" s="673">
        <v>270</v>
      </c>
      <c r="E7" s="673">
        <v>364.6</v>
      </c>
      <c r="F7" s="673">
        <v>340</v>
      </c>
      <c r="G7" s="673">
        <v>343.2</v>
      </c>
      <c r="H7" s="673">
        <v>343.6</v>
      </c>
      <c r="I7" s="673">
        <v>602.1</v>
      </c>
      <c r="J7" s="673">
        <v>593</v>
      </c>
      <c r="K7" s="673">
        <v>831</v>
      </c>
      <c r="L7" s="673">
        <v>806</v>
      </c>
      <c r="M7" s="673">
        <v>1913</v>
      </c>
      <c r="N7" s="642" t="s">
        <v>1420</v>
      </c>
      <c r="O7" s="642" t="s">
        <v>1462</v>
      </c>
      <c r="P7" s="583" t="s">
        <v>1421</v>
      </c>
    </row>
    <row r="8" spans="1:16" ht="27">
      <c r="A8" s="674" t="s">
        <v>1422</v>
      </c>
      <c r="B8" s="672">
        <v>2224.5</v>
      </c>
      <c r="C8" s="673">
        <v>1782.4</v>
      </c>
      <c r="D8" s="673">
        <v>1491.1</v>
      </c>
      <c r="E8" s="673">
        <v>1918.8</v>
      </c>
      <c r="F8" s="673">
        <v>2947.7</v>
      </c>
      <c r="G8" s="673">
        <v>3485.4</v>
      </c>
      <c r="H8" s="673">
        <v>3768.8</v>
      </c>
      <c r="I8" s="673">
        <v>4226.2</v>
      </c>
      <c r="J8" s="673">
        <v>4812</v>
      </c>
      <c r="K8" s="673">
        <v>8065</v>
      </c>
      <c r="L8" s="673">
        <v>8375</v>
      </c>
      <c r="M8" s="673">
        <v>12751</v>
      </c>
      <c r="N8" s="642" t="s">
        <v>1423</v>
      </c>
      <c r="O8" s="642">
        <v>10334.6</v>
      </c>
      <c r="P8" s="583" t="s">
        <v>891</v>
      </c>
    </row>
    <row r="9" spans="1:16" ht="27">
      <c r="A9" s="671" t="s">
        <v>1424</v>
      </c>
      <c r="B9" s="672"/>
      <c r="C9" s="673"/>
      <c r="D9" s="673"/>
      <c r="E9" s="673"/>
      <c r="F9" s="673"/>
      <c r="G9" s="673"/>
      <c r="H9" s="673"/>
      <c r="I9" s="673"/>
      <c r="J9" s="673"/>
      <c r="K9" s="673"/>
      <c r="L9" s="673"/>
      <c r="M9" s="673"/>
      <c r="N9" s="642" t="s">
        <v>1425</v>
      </c>
      <c r="O9" s="642">
        <v>15778</v>
      </c>
      <c r="P9" s="584" t="s">
        <v>1426</v>
      </c>
    </row>
    <row r="10" spans="1:16" ht="27">
      <c r="A10" s="674" t="s">
        <v>1427</v>
      </c>
      <c r="B10" s="672">
        <v>9.8000000000000007</v>
      </c>
      <c r="C10" s="673">
        <v>0.7</v>
      </c>
      <c r="D10" s="673">
        <v>6.5</v>
      </c>
      <c r="E10" s="673">
        <v>101.6</v>
      </c>
      <c r="F10" s="673">
        <v>684.3</v>
      </c>
      <c r="G10" s="673">
        <v>966.8</v>
      </c>
      <c r="H10" s="673">
        <v>995.1</v>
      </c>
      <c r="I10" s="673">
        <v>1128.5999999999999</v>
      </c>
      <c r="J10" s="673">
        <v>1676</v>
      </c>
      <c r="K10" s="673">
        <v>1228</v>
      </c>
      <c r="L10" s="673">
        <v>967</v>
      </c>
      <c r="M10" s="673">
        <v>1223</v>
      </c>
      <c r="N10" s="642" t="s">
        <v>1428</v>
      </c>
      <c r="O10" s="642">
        <v>1506.6</v>
      </c>
      <c r="P10" s="583" t="s">
        <v>1429</v>
      </c>
    </row>
    <row r="11" spans="1:16" ht="27">
      <c r="A11" s="674" t="s">
        <v>1430</v>
      </c>
      <c r="B11" s="672">
        <v>1059.4000000000001</v>
      </c>
      <c r="C11" s="673">
        <v>786.1</v>
      </c>
      <c r="D11" s="673">
        <v>777.6</v>
      </c>
      <c r="E11" s="673">
        <v>1282.7</v>
      </c>
      <c r="F11" s="673">
        <v>1279.8</v>
      </c>
      <c r="G11" s="673">
        <v>2170.4</v>
      </c>
      <c r="H11" s="673">
        <v>2931.8</v>
      </c>
      <c r="I11" s="673">
        <v>3181.3</v>
      </c>
      <c r="J11" s="673">
        <v>4240</v>
      </c>
      <c r="K11" s="673">
        <v>6408</v>
      </c>
      <c r="L11" s="673">
        <v>6148</v>
      </c>
      <c r="M11" s="673">
        <v>5269</v>
      </c>
      <c r="N11" s="642" t="s">
        <v>1431</v>
      </c>
      <c r="O11" s="642">
        <v>5503</v>
      </c>
      <c r="P11" s="583" t="s">
        <v>1432</v>
      </c>
    </row>
    <row r="12" spans="1:16" ht="27">
      <c r="A12" s="674" t="s">
        <v>1433</v>
      </c>
      <c r="B12" s="672">
        <v>2357.8000000000002</v>
      </c>
      <c r="C12" s="673">
        <v>2595.1</v>
      </c>
      <c r="D12" s="673">
        <v>3240.2</v>
      </c>
      <c r="E12" s="673">
        <v>3484.6</v>
      </c>
      <c r="F12" s="673">
        <v>4800.2</v>
      </c>
      <c r="G12" s="673">
        <v>6295.5</v>
      </c>
      <c r="H12" s="673">
        <v>7129.1</v>
      </c>
      <c r="I12" s="673">
        <v>7484.1</v>
      </c>
      <c r="J12" s="673">
        <v>8059</v>
      </c>
      <c r="K12" s="673">
        <v>8843</v>
      </c>
      <c r="L12" s="673">
        <v>9569</v>
      </c>
      <c r="M12" s="673">
        <v>8272</v>
      </c>
      <c r="N12" s="642" t="s">
        <v>1434</v>
      </c>
      <c r="O12" s="642">
        <v>8768</v>
      </c>
      <c r="P12" s="583" t="s">
        <v>1435</v>
      </c>
    </row>
    <row r="13" spans="1:16" ht="27">
      <c r="A13" s="671" t="s">
        <v>1436</v>
      </c>
      <c r="B13" s="672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3"/>
      <c r="N13" s="642" t="s">
        <v>1437</v>
      </c>
      <c r="O13" s="642">
        <v>30799</v>
      </c>
      <c r="P13" s="584" t="s">
        <v>1438</v>
      </c>
    </row>
    <row r="14" spans="1:16" ht="27">
      <c r="A14" s="674" t="s">
        <v>1439</v>
      </c>
      <c r="B14" s="672">
        <v>5925.6</v>
      </c>
      <c r="C14" s="673">
        <v>6378.1</v>
      </c>
      <c r="D14" s="673">
        <v>8663.4</v>
      </c>
      <c r="E14" s="673">
        <v>6538.1</v>
      </c>
      <c r="F14" s="673">
        <v>6421.2</v>
      </c>
      <c r="G14" s="673">
        <v>7930.6</v>
      </c>
      <c r="H14" s="673">
        <v>8104.5</v>
      </c>
      <c r="I14" s="673">
        <v>10305.1</v>
      </c>
      <c r="J14" s="673">
        <v>11713</v>
      </c>
      <c r="K14" s="673">
        <v>11662</v>
      </c>
      <c r="L14" s="673">
        <v>10556</v>
      </c>
      <c r="M14" s="673">
        <v>2325</v>
      </c>
      <c r="N14" s="642" t="s">
        <v>1440</v>
      </c>
      <c r="O14" s="642">
        <v>13661.4</v>
      </c>
      <c r="P14" s="583" t="s">
        <v>1441</v>
      </c>
    </row>
    <row r="15" spans="1:16" ht="27">
      <c r="A15" s="674" t="s">
        <v>1442</v>
      </c>
      <c r="B15" s="672">
        <v>806</v>
      </c>
      <c r="C15" s="673">
        <v>726.4</v>
      </c>
      <c r="D15" s="673">
        <v>858.2</v>
      </c>
      <c r="E15" s="673">
        <v>1292.5</v>
      </c>
      <c r="F15" s="673">
        <v>1161</v>
      </c>
      <c r="G15" s="673">
        <v>1080.9000000000001</v>
      </c>
      <c r="H15" s="673">
        <v>1411.5</v>
      </c>
      <c r="I15" s="673">
        <v>1710</v>
      </c>
      <c r="J15" s="673">
        <v>1898</v>
      </c>
      <c r="K15" s="673">
        <v>1847</v>
      </c>
      <c r="L15" s="673">
        <v>1874</v>
      </c>
      <c r="M15" s="673">
        <v>14214</v>
      </c>
      <c r="N15" s="642" t="s">
        <v>1443</v>
      </c>
      <c r="O15" s="642">
        <v>1780.8</v>
      </c>
      <c r="P15" s="583" t="s">
        <v>1299</v>
      </c>
    </row>
    <row r="16" spans="1:16" ht="27">
      <c r="A16" s="674" t="s">
        <v>1444</v>
      </c>
      <c r="B16" s="672">
        <v>4645.6000000000004</v>
      </c>
      <c r="C16" s="673">
        <v>4270.7</v>
      </c>
      <c r="D16" s="673">
        <v>4161.2</v>
      </c>
      <c r="E16" s="673">
        <v>4593.8999999999996</v>
      </c>
      <c r="F16" s="673">
        <v>4327.8</v>
      </c>
      <c r="G16" s="673">
        <v>6776.7</v>
      </c>
      <c r="H16" s="673">
        <v>9612.7999999999993</v>
      </c>
      <c r="I16" s="673">
        <v>9546.4</v>
      </c>
      <c r="J16" s="673">
        <v>11223</v>
      </c>
      <c r="K16" s="673">
        <v>9770</v>
      </c>
      <c r="L16" s="673">
        <v>9892</v>
      </c>
      <c r="M16" s="673">
        <v>12827</v>
      </c>
      <c r="N16" s="642" t="s">
        <v>1445</v>
      </c>
      <c r="O16" s="642">
        <v>153556.5</v>
      </c>
      <c r="P16" s="583" t="s">
        <v>1311</v>
      </c>
    </row>
    <row r="17" spans="1:16" ht="27">
      <c r="A17" s="671" t="s">
        <v>280</v>
      </c>
      <c r="B17" s="672">
        <v>7865.5</v>
      </c>
      <c r="C17" s="673">
        <v>11045.2</v>
      </c>
      <c r="D17" s="673">
        <v>12322.6</v>
      </c>
      <c r="E17" s="673">
        <v>17462.2</v>
      </c>
      <c r="F17" s="673">
        <v>19523.2</v>
      </c>
      <c r="G17" s="673">
        <v>16910.3</v>
      </c>
      <c r="H17" s="673">
        <v>17318.400000000001</v>
      </c>
      <c r="I17" s="673">
        <v>18579.7</v>
      </c>
      <c r="J17" s="673">
        <v>20407</v>
      </c>
      <c r="K17" s="673">
        <v>24990</v>
      </c>
      <c r="L17" s="673">
        <v>26960</v>
      </c>
      <c r="M17" s="673">
        <v>27737</v>
      </c>
      <c r="N17" s="642" t="s">
        <v>1446</v>
      </c>
      <c r="O17" s="642">
        <v>43392.1</v>
      </c>
      <c r="P17" s="584" t="s">
        <v>1447</v>
      </c>
    </row>
    <row r="18" spans="1:16" ht="26.4">
      <c r="A18" s="662" t="s">
        <v>1448</v>
      </c>
      <c r="B18" s="579"/>
      <c r="C18" s="579"/>
      <c r="D18" s="579"/>
      <c r="E18" s="579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63" t="s">
        <v>1449</v>
      </c>
    </row>
    <row r="19" spans="1:16" ht="27">
      <c r="A19" s="627"/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32"/>
    </row>
    <row r="20" spans="1:16" ht="27">
      <c r="A20" s="627"/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32"/>
    </row>
    <row r="21" spans="1:16" ht="27">
      <c r="A21" s="664" t="s">
        <v>1450</v>
      </c>
      <c r="B21" s="627"/>
      <c r="C21" s="665"/>
      <c r="D21" s="665"/>
      <c r="E21" s="665"/>
      <c r="F21" s="665"/>
      <c r="G21" s="665"/>
      <c r="H21" s="665"/>
      <c r="I21" s="665"/>
      <c r="J21" s="665"/>
      <c r="K21" s="665"/>
      <c r="L21" s="665"/>
      <c r="M21" s="665"/>
      <c r="N21" s="665"/>
      <c r="O21" s="665"/>
      <c r="P21" s="666" t="s">
        <v>1451</v>
      </c>
    </row>
    <row r="22" spans="1:16" ht="27">
      <c r="A22" s="665"/>
      <c r="B22" s="665"/>
      <c r="C22" s="665"/>
      <c r="D22" s="665"/>
      <c r="E22" s="665"/>
      <c r="F22" s="665"/>
      <c r="G22" s="665"/>
      <c r="H22" s="665"/>
      <c r="I22" s="665"/>
      <c r="J22" s="665"/>
      <c r="K22" s="665"/>
      <c r="L22" s="665"/>
      <c r="M22" s="665"/>
      <c r="N22" s="665"/>
      <c r="O22" s="665"/>
      <c r="P22" s="667"/>
    </row>
    <row r="23" spans="1:16" ht="27">
      <c r="A23" s="635" t="s">
        <v>1452</v>
      </c>
      <c r="B23" s="668">
        <v>2010</v>
      </c>
      <c r="C23" s="668">
        <v>2011</v>
      </c>
      <c r="D23" s="668">
        <v>2012</v>
      </c>
      <c r="E23" s="668">
        <v>2013</v>
      </c>
      <c r="F23" s="668">
        <v>2014</v>
      </c>
      <c r="G23" s="668">
        <v>2015</v>
      </c>
      <c r="H23" s="668">
        <v>2016</v>
      </c>
      <c r="I23" s="668">
        <v>2017</v>
      </c>
      <c r="J23" s="668">
        <v>2018</v>
      </c>
      <c r="K23" s="668">
        <v>2019</v>
      </c>
      <c r="L23" s="668">
        <v>2020</v>
      </c>
      <c r="M23" s="668">
        <v>2021</v>
      </c>
      <c r="N23" s="668">
        <v>2022</v>
      </c>
      <c r="O23" s="668">
        <v>2023</v>
      </c>
      <c r="P23" s="637" t="s">
        <v>1453</v>
      </c>
    </row>
    <row r="24" spans="1:16" ht="27">
      <c r="A24" s="506" t="s">
        <v>1454</v>
      </c>
      <c r="B24" s="640">
        <v>8.5</v>
      </c>
      <c r="C24" s="640">
        <v>6.3</v>
      </c>
      <c r="D24" s="640">
        <v>4.03</v>
      </c>
      <c r="E24" s="640">
        <v>3.5</v>
      </c>
      <c r="F24" s="640">
        <v>3.4</v>
      </c>
      <c r="G24" s="640">
        <v>3.85</v>
      </c>
      <c r="H24" s="640">
        <v>3.8</v>
      </c>
      <c r="I24" s="640">
        <v>4.7</v>
      </c>
      <c r="J24" s="640">
        <v>4.7</v>
      </c>
      <c r="K24" s="640">
        <v>4.7</v>
      </c>
      <c r="L24" s="675">
        <v>4.3324999999999996</v>
      </c>
      <c r="M24" s="675">
        <v>2.1074999999999999</v>
      </c>
      <c r="N24" s="640">
        <v>2.2999999999999998</v>
      </c>
      <c r="O24" s="640">
        <v>2.2999999999999998</v>
      </c>
      <c r="P24" s="509" t="s">
        <v>1455</v>
      </c>
    </row>
    <row r="25" spans="1:16" ht="27">
      <c r="A25" s="506" t="s">
        <v>1456</v>
      </c>
      <c r="B25" s="640">
        <v>8</v>
      </c>
      <c r="C25" s="640">
        <v>8</v>
      </c>
      <c r="D25" s="640">
        <v>5.03</v>
      </c>
      <c r="E25" s="640">
        <v>4.5</v>
      </c>
      <c r="F25" s="640">
        <v>4.4000000000000004</v>
      </c>
      <c r="G25" s="640">
        <v>4.8</v>
      </c>
      <c r="H25" s="640">
        <v>5.5</v>
      </c>
      <c r="I25" s="640">
        <v>5.6</v>
      </c>
      <c r="J25" s="640">
        <v>5.6</v>
      </c>
      <c r="K25" s="676" t="s">
        <v>13</v>
      </c>
      <c r="L25" s="676" t="s">
        <v>13</v>
      </c>
      <c r="M25" s="676" t="s">
        <v>13</v>
      </c>
      <c r="N25" s="640"/>
      <c r="O25" s="640"/>
      <c r="P25" s="509" t="s">
        <v>1457</v>
      </c>
    </row>
    <row r="26" spans="1:16" ht="27">
      <c r="A26" s="506" t="s">
        <v>1458</v>
      </c>
      <c r="B26" s="640">
        <v>17</v>
      </c>
      <c r="C26" s="640">
        <v>17</v>
      </c>
      <c r="D26" s="640">
        <v>17</v>
      </c>
      <c r="E26" s="640">
        <v>17</v>
      </c>
      <c r="F26" s="640">
        <v>17</v>
      </c>
      <c r="G26" s="640">
        <v>17</v>
      </c>
      <c r="H26" s="640">
        <v>17</v>
      </c>
      <c r="I26" s="640">
        <v>17</v>
      </c>
      <c r="J26" s="640">
        <v>14.5</v>
      </c>
      <c r="K26" s="640">
        <v>14.5</v>
      </c>
      <c r="L26" s="640">
        <v>13</v>
      </c>
      <c r="M26" s="640">
        <v>13</v>
      </c>
      <c r="N26" s="640">
        <v>13</v>
      </c>
      <c r="O26" s="640">
        <v>13</v>
      </c>
      <c r="P26" s="509" t="s">
        <v>1459</v>
      </c>
    </row>
    <row r="27" spans="1:16" ht="27">
      <c r="A27" s="506" t="s">
        <v>1460</v>
      </c>
      <c r="B27" s="640">
        <v>9</v>
      </c>
      <c r="C27" s="640">
        <v>9</v>
      </c>
      <c r="D27" s="640">
        <v>9</v>
      </c>
      <c r="E27" s="640">
        <v>9</v>
      </c>
      <c r="F27" s="640">
        <v>9</v>
      </c>
      <c r="G27" s="640">
        <v>9</v>
      </c>
      <c r="H27" s="640">
        <v>9</v>
      </c>
      <c r="I27" s="640">
        <v>9</v>
      </c>
      <c r="J27" s="640">
        <v>6.5</v>
      </c>
      <c r="K27" s="640">
        <v>6.5</v>
      </c>
      <c r="L27" s="640">
        <v>5</v>
      </c>
      <c r="M27" s="640">
        <v>5</v>
      </c>
      <c r="N27" s="640">
        <v>6.25</v>
      </c>
      <c r="O27" s="640">
        <v>6.25</v>
      </c>
      <c r="P27" s="509" t="s">
        <v>1461</v>
      </c>
    </row>
    <row r="28" spans="1:16" ht="26.4">
      <c r="A28" s="662" t="s">
        <v>1448</v>
      </c>
      <c r="B28" s="627"/>
      <c r="C28" s="627"/>
      <c r="D28" s="627"/>
      <c r="E28" s="627"/>
      <c r="F28" s="627"/>
      <c r="G28" s="627"/>
      <c r="H28" s="627"/>
      <c r="I28" s="627"/>
      <c r="J28" s="627"/>
      <c r="K28" s="627"/>
      <c r="L28" s="627"/>
      <c r="M28" s="627"/>
      <c r="N28" s="627"/>
      <c r="O28" s="627"/>
      <c r="P28" s="663" t="s">
        <v>1449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39A5-300F-4EBF-8132-AE67F637C9D9}">
  <sheetPr>
    <tabColor theme="0"/>
  </sheetPr>
  <dimension ref="A1:G9"/>
  <sheetViews>
    <sheetView workbookViewId="0">
      <selection activeCell="J8" sqref="J8"/>
    </sheetView>
  </sheetViews>
  <sheetFormatPr baseColWidth="10" defaultRowHeight="14.4"/>
  <sheetData>
    <row r="1" spans="1:7" ht="43.2">
      <c r="A1" s="860" t="s">
        <v>1463</v>
      </c>
      <c r="B1" s="860"/>
      <c r="C1" s="860"/>
      <c r="D1" s="860"/>
      <c r="E1" s="860"/>
      <c r="F1" s="860"/>
      <c r="G1" s="860"/>
    </row>
    <row r="2" spans="1:7" ht="15.6">
      <c r="A2" s="586"/>
      <c r="B2" s="586"/>
      <c r="C2" s="586"/>
      <c r="D2" s="586"/>
      <c r="E2" s="586"/>
      <c r="F2" s="586"/>
      <c r="G2" s="586"/>
    </row>
    <row r="3" spans="1:7" ht="45">
      <c r="A3" s="859" t="s">
        <v>1464</v>
      </c>
      <c r="B3" s="859"/>
      <c r="C3" s="859"/>
      <c r="D3" s="859"/>
      <c r="E3" s="859"/>
      <c r="F3" s="859"/>
      <c r="G3" s="859"/>
    </row>
    <row r="4" spans="1:7" ht="16.2">
      <c r="A4" s="587"/>
      <c r="B4" s="587"/>
      <c r="C4" s="587"/>
      <c r="D4" s="587"/>
      <c r="E4" s="587"/>
      <c r="F4" s="587"/>
      <c r="G4" s="587"/>
    </row>
    <row r="5" spans="1:7" ht="16.2">
      <c r="A5" s="587"/>
      <c r="B5" s="587"/>
      <c r="C5" s="587"/>
      <c r="D5" s="587"/>
      <c r="E5" s="587"/>
      <c r="F5" s="587"/>
      <c r="G5" s="587"/>
    </row>
    <row r="6" spans="1:7" ht="30">
      <c r="A6" s="858" t="s">
        <v>1465</v>
      </c>
      <c r="B6" s="858"/>
      <c r="C6" s="858"/>
      <c r="D6" s="858"/>
      <c r="E6" s="858"/>
      <c r="F6" s="858"/>
      <c r="G6" s="858"/>
    </row>
    <row r="7" spans="1:7" ht="16.2">
      <c r="A7" s="587"/>
      <c r="B7" s="587"/>
      <c r="C7" s="587"/>
      <c r="D7" s="587"/>
      <c r="E7" s="587"/>
      <c r="F7" s="587"/>
      <c r="G7" s="587"/>
    </row>
    <row r="8" spans="1:7" ht="45">
      <c r="A8" s="859" t="s">
        <v>1466</v>
      </c>
      <c r="B8" s="859"/>
      <c r="C8" s="859"/>
      <c r="D8" s="859"/>
      <c r="E8" s="859"/>
      <c r="F8" s="859"/>
      <c r="G8" s="859"/>
    </row>
    <row r="9" spans="1:7" ht="43.2">
      <c r="A9" s="860"/>
      <c r="B9" s="860"/>
      <c r="C9" s="860"/>
      <c r="D9" s="860"/>
      <c r="E9" s="860"/>
      <c r="F9" s="860"/>
      <c r="G9" s="860"/>
    </row>
  </sheetData>
  <mergeCells count="5">
    <mergeCell ref="A1:G1"/>
    <mergeCell ref="A3:G3"/>
    <mergeCell ref="A6:G6"/>
    <mergeCell ref="A8:G8"/>
    <mergeCell ref="A9:G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2:AF47"/>
  <sheetViews>
    <sheetView topLeftCell="A12" zoomScale="46" workbookViewId="0">
      <selection activeCell="H39" sqref="H39"/>
    </sheetView>
  </sheetViews>
  <sheetFormatPr baseColWidth="10" defaultRowHeight="14.4"/>
  <cols>
    <col min="1" max="1" width="22.88671875" customWidth="1"/>
    <col min="2" max="23" width="11.6640625" bestFit="1" customWidth="1"/>
    <col min="24" max="29" width="12.21875" bestFit="1" customWidth="1"/>
    <col min="30" max="30" width="11.6640625" bestFit="1" customWidth="1"/>
    <col min="31" max="31" width="28.109375" customWidth="1"/>
    <col min="32" max="32" width="24.5546875" customWidth="1"/>
  </cols>
  <sheetData>
    <row r="2" spans="1:32">
      <c r="AF2" t="s">
        <v>320</v>
      </c>
    </row>
    <row r="3" spans="1:32">
      <c r="A3" t="s">
        <v>321</v>
      </c>
    </row>
    <row r="4" spans="1:32">
      <c r="A4" t="s">
        <v>322</v>
      </c>
      <c r="AE4" t="s">
        <v>323</v>
      </c>
    </row>
    <row r="5" spans="1:32" ht="26.4">
      <c r="A5" s="679" t="s">
        <v>324</v>
      </c>
      <c r="B5" s="680">
        <v>1995</v>
      </c>
      <c r="C5" s="680">
        <v>1996</v>
      </c>
      <c r="D5" s="680">
        <v>1997</v>
      </c>
      <c r="E5" s="680">
        <v>1998</v>
      </c>
      <c r="F5" s="680">
        <v>1999</v>
      </c>
      <c r="G5" s="680">
        <v>2000</v>
      </c>
      <c r="H5" s="680">
        <v>2001</v>
      </c>
      <c r="I5" s="680">
        <v>2002</v>
      </c>
      <c r="J5" s="680">
        <v>2003</v>
      </c>
      <c r="K5" s="680">
        <v>2004</v>
      </c>
      <c r="L5" s="680">
        <v>2005</v>
      </c>
      <c r="M5" s="680">
        <v>2006</v>
      </c>
      <c r="N5" s="680">
        <v>2007</v>
      </c>
      <c r="O5" s="680">
        <v>2008</v>
      </c>
      <c r="P5" s="680">
        <v>2009</v>
      </c>
      <c r="Q5" s="680">
        <v>2010</v>
      </c>
      <c r="R5" s="680">
        <v>2011</v>
      </c>
      <c r="S5" s="680">
        <v>2012</v>
      </c>
      <c r="T5" s="680">
        <v>2013</v>
      </c>
      <c r="U5" s="680">
        <v>2014</v>
      </c>
      <c r="V5" s="680">
        <v>2015</v>
      </c>
      <c r="W5" s="680">
        <v>2016</v>
      </c>
      <c r="X5" s="680">
        <v>2017</v>
      </c>
      <c r="Y5" s="680">
        <v>2018</v>
      </c>
      <c r="Z5" s="680">
        <v>2019</v>
      </c>
      <c r="AA5" s="680">
        <v>2020</v>
      </c>
      <c r="AB5" s="680">
        <v>2021</v>
      </c>
      <c r="AC5" s="680">
        <v>2022</v>
      </c>
      <c r="AD5" s="680">
        <v>2023</v>
      </c>
      <c r="AE5" s="679" t="s">
        <v>325</v>
      </c>
    </row>
    <row r="6" spans="1:32" ht="26.4">
      <c r="A6" s="533" t="s">
        <v>163</v>
      </c>
      <c r="B6" s="533">
        <v>12542.700999999999</v>
      </c>
      <c r="C6" s="533">
        <v>15210.868</v>
      </c>
      <c r="D6" s="533">
        <v>15394.989</v>
      </c>
      <c r="E6" s="533">
        <v>16924.671999999999</v>
      </c>
      <c r="F6" s="533">
        <v>17175.072</v>
      </c>
      <c r="G6" s="533">
        <v>17656.378000000001</v>
      </c>
      <c r="H6" s="533">
        <v>19159.621999999999</v>
      </c>
      <c r="I6" s="533">
        <v>19984.865000000002</v>
      </c>
      <c r="J6" s="533">
        <v>23474.528999999999</v>
      </c>
      <c r="K6" s="533">
        <v>25359.954000000002</v>
      </c>
      <c r="L6" s="533">
        <v>27920.207300000002</v>
      </c>
      <c r="M6" s="533">
        <v>28304.763800000001</v>
      </c>
      <c r="N6" s="533">
        <v>29354.408899999999</v>
      </c>
      <c r="O6" s="533">
        <v>34905.288999999997</v>
      </c>
      <c r="P6" s="533">
        <v>37170</v>
      </c>
      <c r="Q6" s="533">
        <v>38316</v>
      </c>
      <c r="R6" s="533">
        <v>38350</v>
      </c>
      <c r="S6" s="533">
        <v>38320</v>
      </c>
      <c r="T6" s="533">
        <v>45980</v>
      </c>
      <c r="U6" s="533">
        <v>49420</v>
      </c>
      <c r="V6" s="533">
        <v>51080</v>
      </c>
      <c r="W6" s="533">
        <v>63170</v>
      </c>
      <c r="X6" s="533">
        <v>63770</v>
      </c>
      <c r="Y6" s="533">
        <v>74486.936000000002</v>
      </c>
      <c r="Z6" s="533">
        <v>78787.208000000013</v>
      </c>
      <c r="AA6" s="533">
        <v>79930</v>
      </c>
      <c r="AB6" s="533">
        <v>79260</v>
      </c>
      <c r="AC6" s="533">
        <v>108509</v>
      </c>
      <c r="AD6" s="533" t="s">
        <v>1469</v>
      </c>
      <c r="AE6" s="677" t="s">
        <v>244</v>
      </c>
    </row>
    <row r="7" spans="1:32" ht="26.4">
      <c r="A7" s="533" t="s">
        <v>165</v>
      </c>
      <c r="B7" s="533">
        <v>12157.8</v>
      </c>
      <c r="C7" s="533">
        <v>13706.358</v>
      </c>
      <c r="D7" s="533">
        <v>14688.395</v>
      </c>
      <c r="E7" s="533">
        <v>16028.65</v>
      </c>
      <c r="F7" s="533">
        <v>15897.695</v>
      </c>
      <c r="G7" s="533">
        <v>17705.069</v>
      </c>
      <c r="H7" s="533">
        <v>18000.440999999999</v>
      </c>
      <c r="I7" s="533">
        <v>18672.873</v>
      </c>
      <c r="J7" s="533">
        <v>20950.562999999998</v>
      </c>
      <c r="K7" s="533">
        <v>24119.5033</v>
      </c>
      <c r="L7" s="533">
        <v>25154.659199999998</v>
      </c>
      <c r="M7" s="533">
        <v>27114.953600000001</v>
      </c>
      <c r="N7" s="533">
        <v>27533.825799999999</v>
      </c>
      <c r="O7" s="533">
        <v>34899.671000000002</v>
      </c>
      <c r="P7" s="533">
        <v>33182</v>
      </c>
      <c r="Q7" s="533">
        <v>35893</v>
      </c>
      <c r="R7" s="533">
        <v>34880</v>
      </c>
      <c r="S7" s="533">
        <v>35890</v>
      </c>
      <c r="T7" s="533">
        <v>43470</v>
      </c>
      <c r="U7" s="533">
        <v>46290</v>
      </c>
      <c r="V7" s="533">
        <v>47380</v>
      </c>
      <c r="W7" s="533">
        <v>60000</v>
      </c>
      <c r="X7" s="533">
        <v>58420</v>
      </c>
      <c r="Y7" s="533">
        <v>65606.703999999998</v>
      </c>
      <c r="Z7" s="533">
        <v>76316.675000000003</v>
      </c>
      <c r="AA7" s="533">
        <v>86630</v>
      </c>
      <c r="AB7" s="533">
        <v>68780</v>
      </c>
      <c r="AC7" s="533">
        <v>101151</v>
      </c>
      <c r="AD7" s="533" t="s">
        <v>1470</v>
      </c>
      <c r="AE7" s="677" t="s">
        <v>245</v>
      </c>
    </row>
    <row r="8" spans="1:32" ht="26.4">
      <c r="A8" s="533" t="s">
        <v>167</v>
      </c>
      <c r="B8" s="533">
        <v>12652.34</v>
      </c>
      <c r="C8" s="533">
        <v>15435.253000000001</v>
      </c>
      <c r="D8" s="533">
        <v>16224.079</v>
      </c>
      <c r="E8" s="533">
        <v>18308.618999999999</v>
      </c>
      <c r="F8" s="533">
        <v>17801.563999999998</v>
      </c>
      <c r="G8" s="533">
        <v>19182.407999999999</v>
      </c>
      <c r="H8" s="533">
        <v>19973.769</v>
      </c>
      <c r="I8" s="533">
        <v>21086.841</v>
      </c>
      <c r="J8" s="533">
        <v>25095.080999999998</v>
      </c>
      <c r="K8" s="533">
        <v>26944.33</v>
      </c>
      <c r="L8" s="533">
        <v>30185.0311</v>
      </c>
      <c r="M8" s="533">
        <v>31497.375900000003</v>
      </c>
      <c r="N8" s="533">
        <v>31811.630399999998</v>
      </c>
      <c r="O8" s="533">
        <v>40142.892999999996</v>
      </c>
      <c r="P8" s="533">
        <v>37723</v>
      </c>
      <c r="Q8" s="533">
        <v>43051</v>
      </c>
      <c r="R8" s="533">
        <v>40420</v>
      </c>
      <c r="S8" s="533">
        <v>43040</v>
      </c>
      <c r="T8" s="533">
        <v>51690</v>
      </c>
      <c r="U8" s="533">
        <v>52940</v>
      </c>
      <c r="V8" s="533">
        <v>55510</v>
      </c>
      <c r="W8" s="533">
        <v>64200</v>
      </c>
      <c r="X8" s="533">
        <v>73240</v>
      </c>
      <c r="Y8" s="533">
        <v>101878.405</v>
      </c>
      <c r="Z8" s="533">
        <v>89368.03899999999</v>
      </c>
      <c r="AA8" s="533">
        <v>94150</v>
      </c>
      <c r="AB8" s="533">
        <v>85570</v>
      </c>
      <c r="AC8" s="533">
        <v>117576</v>
      </c>
      <c r="AD8" s="533" t="s">
        <v>1471</v>
      </c>
      <c r="AE8" s="677" t="s">
        <v>246</v>
      </c>
    </row>
    <row r="9" spans="1:32" ht="26.4">
      <c r="A9" s="533" t="s">
        <v>169</v>
      </c>
      <c r="B9" s="533">
        <v>12436.418</v>
      </c>
      <c r="C9" s="533">
        <v>15895.254000000001</v>
      </c>
      <c r="D9" s="533">
        <v>15648.609</v>
      </c>
      <c r="E9" s="533">
        <v>17212.316999999999</v>
      </c>
      <c r="F9" s="533">
        <v>18065.379000000001</v>
      </c>
      <c r="G9" s="533">
        <v>19179.403999999999</v>
      </c>
      <c r="H9" s="533">
        <v>20211.652999999998</v>
      </c>
      <c r="I9" s="533">
        <v>21004.335999999999</v>
      </c>
      <c r="J9" s="533">
        <v>25487.773000000001</v>
      </c>
      <c r="K9" s="533">
        <v>26613.3089</v>
      </c>
      <c r="L9" s="533">
        <v>30248.5226</v>
      </c>
      <c r="M9" s="533">
        <v>31704.912100000001</v>
      </c>
      <c r="N9" s="533">
        <v>33316.754999999997</v>
      </c>
      <c r="O9" s="533">
        <v>39976.262999999999</v>
      </c>
      <c r="P9" s="533">
        <v>38795</v>
      </c>
      <c r="Q9" s="533">
        <v>41347</v>
      </c>
      <c r="R9" s="533">
        <v>42080</v>
      </c>
      <c r="S9" s="533">
        <v>41350</v>
      </c>
      <c r="T9" s="533">
        <v>50100</v>
      </c>
      <c r="U9" s="533">
        <v>56360</v>
      </c>
      <c r="V9" s="533">
        <v>59650</v>
      </c>
      <c r="W9" s="533">
        <v>70490</v>
      </c>
      <c r="X9" s="533">
        <v>81120</v>
      </c>
      <c r="Y9" s="533">
        <v>105339.038</v>
      </c>
      <c r="Z9" s="533">
        <v>90168.305999999997</v>
      </c>
      <c r="AA9" s="533">
        <v>100210</v>
      </c>
      <c r="AB9" s="533">
        <v>91690</v>
      </c>
      <c r="AC9" s="533">
        <v>129708</v>
      </c>
      <c r="AD9" s="533" t="s">
        <v>1472</v>
      </c>
      <c r="AE9" s="677" t="s">
        <v>247</v>
      </c>
    </row>
    <row r="10" spans="1:32" ht="26.4">
      <c r="A10" s="533" t="s">
        <v>171</v>
      </c>
      <c r="B10" s="533">
        <v>13414.221</v>
      </c>
      <c r="C10" s="533">
        <v>15970.764999999999</v>
      </c>
      <c r="D10" s="533">
        <v>17656.637999999999</v>
      </c>
      <c r="E10" s="533">
        <v>18812.956999999999</v>
      </c>
      <c r="F10" s="533">
        <v>19274.495999999999</v>
      </c>
      <c r="G10" s="533">
        <v>19550.195</v>
      </c>
      <c r="H10" s="533">
        <v>21058.769</v>
      </c>
      <c r="I10" s="533">
        <v>23362.206999999999</v>
      </c>
      <c r="J10" s="533">
        <v>27297.967000000001</v>
      </c>
      <c r="K10" s="533">
        <v>28663.933800000003</v>
      </c>
      <c r="L10" s="533">
        <v>34944.093700000005</v>
      </c>
      <c r="M10" s="533">
        <v>33804.156999999999</v>
      </c>
      <c r="N10" s="533">
        <v>36510.347000000002</v>
      </c>
      <c r="O10" s="533">
        <v>41412.21</v>
      </c>
      <c r="P10" s="533">
        <v>42803</v>
      </c>
      <c r="Q10" s="533">
        <v>44834</v>
      </c>
      <c r="R10" s="533">
        <v>43790</v>
      </c>
      <c r="S10" s="533">
        <v>44830</v>
      </c>
      <c r="T10" s="533">
        <v>58090</v>
      </c>
      <c r="U10" s="533">
        <v>56990</v>
      </c>
      <c r="V10" s="533">
        <v>64290</v>
      </c>
      <c r="W10" s="533">
        <v>71400</v>
      </c>
      <c r="X10" s="533">
        <v>93340</v>
      </c>
      <c r="Y10" s="533">
        <v>119799.23599999999</v>
      </c>
      <c r="Z10" s="533">
        <v>112023.444</v>
      </c>
      <c r="AA10" s="533">
        <v>111090</v>
      </c>
      <c r="AB10" s="533">
        <v>89810</v>
      </c>
      <c r="AC10" s="533">
        <v>138145</v>
      </c>
      <c r="AD10" s="533" t="s">
        <v>1473</v>
      </c>
      <c r="AE10" s="677" t="s">
        <v>172</v>
      </c>
    </row>
    <row r="11" spans="1:32" ht="26.4">
      <c r="A11" s="533" t="s">
        <v>173</v>
      </c>
      <c r="B11" s="533">
        <v>13862.699000000001</v>
      </c>
      <c r="C11" s="533">
        <v>15439.628000000001</v>
      </c>
      <c r="D11" s="533">
        <v>18261.271000000001</v>
      </c>
      <c r="E11" s="533">
        <v>19200.163</v>
      </c>
      <c r="F11" s="533">
        <v>19990.613000000001</v>
      </c>
      <c r="G11" s="533">
        <v>19774.983</v>
      </c>
      <c r="H11" s="533">
        <v>22201.812000000002</v>
      </c>
      <c r="I11" s="533">
        <v>23850.877</v>
      </c>
      <c r="J11" s="533">
        <v>26665.1495</v>
      </c>
      <c r="K11" s="533">
        <v>29304.209300000002</v>
      </c>
      <c r="L11" s="533">
        <v>34605.426299999999</v>
      </c>
      <c r="M11" s="533">
        <v>35383.83</v>
      </c>
      <c r="N11" s="533">
        <v>36231.406999999999</v>
      </c>
      <c r="O11" s="533">
        <v>43355.987999999998</v>
      </c>
      <c r="P11" s="533">
        <v>44406</v>
      </c>
      <c r="Q11" s="533">
        <v>46331</v>
      </c>
      <c r="R11" s="533">
        <v>44370</v>
      </c>
      <c r="S11" s="533">
        <v>46330</v>
      </c>
      <c r="T11" s="533">
        <v>57190</v>
      </c>
      <c r="U11" s="533">
        <v>64130</v>
      </c>
      <c r="V11" s="533">
        <v>70870</v>
      </c>
      <c r="W11" s="533">
        <v>83060</v>
      </c>
      <c r="X11" s="533">
        <v>98160</v>
      </c>
      <c r="Y11" s="533">
        <v>124833.24</v>
      </c>
      <c r="Z11" s="533">
        <v>111394.735</v>
      </c>
      <c r="AA11" s="533">
        <v>110840</v>
      </c>
      <c r="AB11" s="533">
        <v>103690</v>
      </c>
      <c r="AC11" s="533">
        <v>146811</v>
      </c>
      <c r="AD11" s="533" t="s">
        <v>1474</v>
      </c>
      <c r="AE11" s="677" t="s">
        <v>248</v>
      </c>
    </row>
    <row r="12" spans="1:32" ht="26.4">
      <c r="A12" s="533" t="s">
        <v>175</v>
      </c>
      <c r="B12" s="533">
        <v>15149.905000000001</v>
      </c>
      <c r="C12" s="533">
        <v>17540.422999999999</v>
      </c>
      <c r="D12" s="533">
        <v>18243.895</v>
      </c>
      <c r="E12" s="533">
        <v>18418.281999999999</v>
      </c>
      <c r="F12" s="533">
        <v>20921.2</v>
      </c>
      <c r="G12" s="533">
        <v>21213.571</v>
      </c>
      <c r="H12" s="533">
        <v>24358.844000000001</v>
      </c>
      <c r="I12" s="533">
        <v>25171.109</v>
      </c>
      <c r="J12" s="533">
        <v>29379.121999999999</v>
      </c>
      <c r="K12" s="533">
        <v>30853.215100000001</v>
      </c>
      <c r="L12" s="533">
        <v>34919.674299999999</v>
      </c>
      <c r="M12" s="533">
        <v>37339.801299999999</v>
      </c>
      <c r="N12" s="533">
        <v>37736.894</v>
      </c>
      <c r="O12" s="533">
        <v>45299.62</v>
      </c>
      <c r="P12" s="533">
        <v>45794</v>
      </c>
      <c r="Q12" s="533">
        <v>48786</v>
      </c>
      <c r="R12" s="533">
        <v>48430</v>
      </c>
      <c r="S12" s="533">
        <v>48790</v>
      </c>
      <c r="T12" s="533">
        <v>68180</v>
      </c>
      <c r="U12" s="533">
        <v>70520</v>
      </c>
      <c r="V12" s="533" t="s">
        <v>13</v>
      </c>
      <c r="W12" s="533">
        <v>78460</v>
      </c>
      <c r="X12" s="533">
        <v>105010</v>
      </c>
      <c r="Y12" s="533">
        <v>121932.29800000001</v>
      </c>
      <c r="Z12" s="533">
        <v>118586.86199999999</v>
      </c>
      <c r="AA12" s="533">
        <v>122780</v>
      </c>
      <c r="AB12" s="533">
        <v>104680</v>
      </c>
      <c r="AC12" s="533">
        <v>147009</v>
      </c>
      <c r="AD12" s="533" t="s">
        <v>1475</v>
      </c>
      <c r="AE12" s="677" t="s">
        <v>249</v>
      </c>
    </row>
    <row r="13" spans="1:32" ht="26.4">
      <c r="A13" s="533" t="s">
        <v>177</v>
      </c>
      <c r="B13" s="533">
        <v>15207.45</v>
      </c>
      <c r="C13" s="533">
        <v>16620.447</v>
      </c>
      <c r="D13" s="533">
        <v>18156.177</v>
      </c>
      <c r="E13" s="533">
        <v>19582.684000000001</v>
      </c>
      <c r="F13" s="533">
        <v>20948.998</v>
      </c>
      <c r="G13" s="533">
        <v>20286.767</v>
      </c>
      <c r="H13" s="533">
        <v>24362.916000000001</v>
      </c>
      <c r="I13" s="533">
        <v>25482.222000000002</v>
      </c>
      <c r="J13" s="533">
        <v>29083.705000000002</v>
      </c>
      <c r="K13" s="533">
        <v>31661.2988</v>
      </c>
      <c r="L13" s="533">
        <v>33627.923000000003</v>
      </c>
      <c r="M13" s="533">
        <v>36879.091</v>
      </c>
      <c r="N13" s="533">
        <v>38419.678999999996</v>
      </c>
      <c r="O13" s="533">
        <v>43323.728000000003</v>
      </c>
      <c r="P13" s="533">
        <v>46014</v>
      </c>
      <c r="Q13" s="533">
        <v>51088</v>
      </c>
      <c r="R13" s="533">
        <v>54730</v>
      </c>
      <c r="S13" s="533">
        <v>51090</v>
      </c>
      <c r="T13" s="533">
        <v>65860</v>
      </c>
      <c r="U13" s="533">
        <v>67720</v>
      </c>
      <c r="V13" s="533" t="s">
        <v>13</v>
      </c>
      <c r="W13" s="533">
        <v>81410</v>
      </c>
      <c r="X13" s="533">
        <v>100970</v>
      </c>
      <c r="Y13" s="533">
        <v>116866.0416</v>
      </c>
      <c r="Z13" s="533">
        <v>112881.579</v>
      </c>
      <c r="AA13" s="533">
        <v>120050</v>
      </c>
      <c r="AB13" s="533">
        <v>107390</v>
      </c>
      <c r="AC13" s="533">
        <v>147031</v>
      </c>
      <c r="AD13" s="533" t="s">
        <v>1476</v>
      </c>
      <c r="AE13" s="677" t="s">
        <v>250</v>
      </c>
    </row>
    <row r="14" spans="1:32" ht="26.4">
      <c r="A14" s="533" t="s">
        <v>179</v>
      </c>
      <c r="B14" s="533">
        <v>16018.424000000001</v>
      </c>
      <c r="C14" s="533">
        <v>15157.885</v>
      </c>
      <c r="D14" s="533">
        <v>17161.555</v>
      </c>
      <c r="E14" s="533">
        <v>18483.563999999998</v>
      </c>
      <c r="F14" s="533">
        <v>19534.824000000001</v>
      </c>
      <c r="G14" s="533">
        <v>19669.45</v>
      </c>
      <c r="H14" s="533">
        <v>22791.023000000001</v>
      </c>
      <c r="I14" s="533">
        <v>25178.258999999998</v>
      </c>
      <c r="J14" s="533">
        <v>28503.991999999998</v>
      </c>
      <c r="K14" s="533">
        <v>30510.213</v>
      </c>
      <c r="L14" s="533">
        <v>32561.835999999999</v>
      </c>
      <c r="M14" s="533">
        <v>37315.964</v>
      </c>
      <c r="N14" s="533">
        <v>41952.311000000002</v>
      </c>
      <c r="O14" s="533">
        <v>47508.985999999997</v>
      </c>
      <c r="P14" s="533">
        <v>38274</v>
      </c>
      <c r="Q14" s="533">
        <v>49794</v>
      </c>
      <c r="R14" s="533">
        <v>52600</v>
      </c>
      <c r="S14" s="533">
        <v>49780</v>
      </c>
      <c r="T14" s="533">
        <v>61760</v>
      </c>
      <c r="U14" s="533">
        <v>66280</v>
      </c>
      <c r="V14" s="533" t="s">
        <v>13</v>
      </c>
      <c r="W14" s="533">
        <v>80760</v>
      </c>
      <c r="X14" s="533">
        <v>92480</v>
      </c>
      <c r="Y14" s="533">
        <v>112765.79599999999</v>
      </c>
      <c r="Z14" s="533">
        <v>111242.239</v>
      </c>
      <c r="AA14" s="533">
        <v>126800</v>
      </c>
      <c r="AB14" s="533">
        <v>113150</v>
      </c>
      <c r="AC14" s="533">
        <v>144640</v>
      </c>
      <c r="AD14" s="533" t="s">
        <v>1477</v>
      </c>
      <c r="AE14" s="677" t="s">
        <v>180</v>
      </c>
    </row>
    <row r="15" spans="1:32" ht="21.6">
      <c r="A15" s="533" t="s">
        <v>181</v>
      </c>
      <c r="B15" s="533">
        <v>16620.07</v>
      </c>
      <c r="C15" s="533">
        <v>16246.782999999999</v>
      </c>
      <c r="D15" s="533">
        <v>17265.788</v>
      </c>
      <c r="E15" s="533">
        <v>18987.303</v>
      </c>
      <c r="F15" s="533">
        <v>19704.758999999998</v>
      </c>
      <c r="G15" s="533">
        <v>19785.171999999999</v>
      </c>
      <c r="H15" s="533">
        <v>23729.53</v>
      </c>
      <c r="I15" s="533">
        <v>25815.383000000002</v>
      </c>
      <c r="J15" s="533">
        <v>28754.096000000001</v>
      </c>
      <c r="K15" s="533">
        <v>31630.886600000002</v>
      </c>
      <c r="L15" s="533">
        <v>37797.662899999996</v>
      </c>
      <c r="M15" s="533">
        <v>38315.964399999997</v>
      </c>
      <c r="N15" s="533">
        <v>41222.853000000003</v>
      </c>
      <c r="O15" s="533">
        <v>42777.563000000002</v>
      </c>
      <c r="P15" s="533">
        <v>40628</v>
      </c>
      <c r="Q15" s="533">
        <v>47171</v>
      </c>
      <c r="R15" s="533">
        <v>54500</v>
      </c>
      <c r="S15" s="533">
        <v>41170</v>
      </c>
      <c r="T15" s="533">
        <v>62520</v>
      </c>
      <c r="U15" s="533">
        <v>67340</v>
      </c>
      <c r="V15" s="533" t="s">
        <v>13</v>
      </c>
      <c r="W15" s="533">
        <v>78970</v>
      </c>
      <c r="X15" s="533">
        <v>101280</v>
      </c>
      <c r="Y15" s="533">
        <v>14779.896000000001</v>
      </c>
      <c r="Z15" s="533">
        <v>112790</v>
      </c>
      <c r="AA15" s="533">
        <v>110020</v>
      </c>
      <c r="AB15" s="533">
        <v>118159</v>
      </c>
      <c r="AC15" s="533">
        <v>148455</v>
      </c>
      <c r="AD15" s="533">
        <v>178104</v>
      </c>
      <c r="AE15" s="677" t="s">
        <v>182</v>
      </c>
    </row>
    <row r="16" spans="1:32" ht="21.6">
      <c r="A16" s="533" t="s">
        <v>183</v>
      </c>
      <c r="B16" s="533">
        <v>15707.234</v>
      </c>
      <c r="C16" s="533">
        <v>15100.555</v>
      </c>
      <c r="D16" s="533">
        <v>17248.13</v>
      </c>
      <c r="E16" s="533">
        <v>18037.850999999999</v>
      </c>
      <c r="F16" s="533">
        <v>18324.145</v>
      </c>
      <c r="G16" s="533">
        <v>19977.367999999999</v>
      </c>
      <c r="H16" s="533">
        <v>21564.249</v>
      </c>
      <c r="I16" s="533">
        <v>23755.615000000002</v>
      </c>
      <c r="J16" s="533">
        <v>26969.502</v>
      </c>
      <c r="K16" s="533">
        <v>28164.736499999999</v>
      </c>
      <c r="L16" s="533">
        <v>30517.584800000001</v>
      </c>
      <c r="M16" s="533">
        <v>34057.822999999997</v>
      </c>
      <c r="N16" s="533">
        <v>36393.593000000001</v>
      </c>
      <c r="O16" s="533">
        <v>37541.605000000003</v>
      </c>
      <c r="P16" s="533">
        <v>33620</v>
      </c>
      <c r="Q16" s="533">
        <v>41250</v>
      </c>
      <c r="R16" s="533">
        <v>42370</v>
      </c>
      <c r="S16" s="533">
        <v>41250</v>
      </c>
      <c r="T16" s="533">
        <v>50470</v>
      </c>
      <c r="U16" s="533">
        <v>55530</v>
      </c>
      <c r="V16" s="533" t="s">
        <v>13</v>
      </c>
      <c r="W16" s="533">
        <v>71530</v>
      </c>
      <c r="X16" s="533">
        <v>85390</v>
      </c>
      <c r="Y16" s="533">
        <v>81356.256999999998</v>
      </c>
      <c r="Z16" s="533">
        <v>100760</v>
      </c>
      <c r="AA16" s="533">
        <v>91460</v>
      </c>
      <c r="AB16" s="533">
        <v>99963</v>
      </c>
      <c r="AC16" s="533">
        <v>126725</v>
      </c>
      <c r="AD16" s="533">
        <v>148849</v>
      </c>
      <c r="AE16" s="677" t="s">
        <v>184</v>
      </c>
    </row>
    <row r="17" spans="1:32" ht="21.6">
      <c r="A17" s="533" t="s">
        <v>185</v>
      </c>
      <c r="B17" s="533">
        <v>14027.709000000001</v>
      </c>
      <c r="C17" s="533">
        <v>14908.275</v>
      </c>
      <c r="D17" s="533">
        <v>16605.618999999999</v>
      </c>
      <c r="E17" s="533">
        <v>17806.66</v>
      </c>
      <c r="F17" s="533">
        <v>19028.61</v>
      </c>
      <c r="G17" s="533">
        <v>20261</v>
      </c>
      <c r="H17" s="533">
        <v>21854.631000000001</v>
      </c>
      <c r="I17" s="533">
        <v>22990.269</v>
      </c>
      <c r="J17" s="533">
        <v>26338.683499999999</v>
      </c>
      <c r="K17" s="533">
        <v>28365.331100000003</v>
      </c>
      <c r="L17" s="533">
        <v>30667.308000000001</v>
      </c>
      <c r="M17" s="533">
        <v>30028.074000000001</v>
      </c>
      <c r="N17" s="533">
        <v>33435.828000000001</v>
      </c>
      <c r="O17" s="533">
        <v>35746.06</v>
      </c>
      <c r="P17" s="533">
        <v>31547</v>
      </c>
      <c r="Q17" s="533">
        <v>39262</v>
      </c>
      <c r="R17" s="533">
        <v>41420</v>
      </c>
      <c r="S17" s="533">
        <v>39260</v>
      </c>
      <c r="T17" s="533">
        <v>50680</v>
      </c>
      <c r="U17" s="533">
        <v>54200</v>
      </c>
      <c r="V17" s="533"/>
      <c r="W17" s="533">
        <v>66410</v>
      </c>
      <c r="X17" s="533">
        <v>73120</v>
      </c>
      <c r="Y17" s="533">
        <v>83311.532000000007</v>
      </c>
      <c r="Z17" s="533">
        <v>86906</v>
      </c>
      <c r="AA17" s="533">
        <v>84580</v>
      </c>
      <c r="AB17" s="533">
        <v>91893</v>
      </c>
      <c r="AC17" s="533">
        <v>118959</v>
      </c>
      <c r="AD17" s="533">
        <v>130148</v>
      </c>
      <c r="AE17" s="677" t="s">
        <v>186</v>
      </c>
    </row>
    <row r="18" spans="1:32" ht="21.6">
      <c r="A18" s="533" t="s">
        <v>48</v>
      </c>
      <c r="B18" s="678">
        <v>169796.97099999999</v>
      </c>
      <c r="C18" s="678">
        <v>187232.49399999998</v>
      </c>
      <c r="D18" s="678">
        <v>202555.14500000002</v>
      </c>
      <c r="E18" s="678">
        <v>217803.72200000001</v>
      </c>
      <c r="F18" s="678">
        <v>226667.35499999998</v>
      </c>
      <c r="G18" s="678">
        <v>234241.76499999998</v>
      </c>
      <c r="H18" s="678">
        <v>259267.25899999999</v>
      </c>
      <c r="I18" s="678">
        <v>276354.85599999997</v>
      </c>
      <c r="J18" s="678">
        <v>318000.16299999994</v>
      </c>
      <c r="K18" s="678">
        <v>342190.9204</v>
      </c>
      <c r="L18" s="678">
        <v>383149.92920000001</v>
      </c>
      <c r="M18" s="678">
        <v>401746.71009999997</v>
      </c>
      <c r="N18" s="678">
        <v>423919.53209999995</v>
      </c>
      <c r="O18" s="678">
        <v>486889.87599999993</v>
      </c>
      <c r="P18" s="678">
        <v>469956</v>
      </c>
      <c r="Q18" s="678">
        <v>527123</v>
      </c>
      <c r="R18" s="678">
        <v>537940</v>
      </c>
      <c r="S18" s="678">
        <v>521100</v>
      </c>
      <c r="T18" s="678">
        <v>665990</v>
      </c>
      <c r="U18" s="678">
        <v>707720</v>
      </c>
      <c r="V18" s="678">
        <v>348780</v>
      </c>
      <c r="W18" s="678">
        <v>869860</v>
      </c>
      <c r="X18" s="678">
        <v>1026300</v>
      </c>
      <c r="Y18" s="678">
        <v>1122955.3796000001</v>
      </c>
      <c r="Z18" s="678">
        <v>1201225.0870000001</v>
      </c>
      <c r="AA18" s="678">
        <v>1238540</v>
      </c>
      <c r="AB18" s="678">
        <v>1179619</v>
      </c>
      <c r="AC18" s="678">
        <v>1574720</v>
      </c>
      <c r="AD18" s="678" t="s">
        <v>1468</v>
      </c>
      <c r="AE18" s="677" t="s">
        <v>326</v>
      </c>
    </row>
    <row r="20" spans="1:32">
      <c r="A20" t="s">
        <v>327</v>
      </c>
      <c r="AF20" t="s">
        <v>328</v>
      </c>
    </row>
    <row r="23" spans="1:32">
      <c r="AE23" t="s">
        <v>329</v>
      </c>
    </row>
    <row r="24" spans="1:32">
      <c r="A24" t="s">
        <v>330</v>
      </c>
    </row>
    <row r="25" spans="1:32">
      <c r="A25" t="s">
        <v>322</v>
      </c>
      <c r="AE25" t="s">
        <v>331</v>
      </c>
    </row>
    <row r="26" spans="1:32" ht="26.4">
      <c r="A26" s="679" t="s">
        <v>332</v>
      </c>
      <c r="B26" s="679">
        <v>1995</v>
      </c>
      <c r="C26" s="679">
        <v>1996</v>
      </c>
      <c r="D26" s="679">
        <v>1997</v>
      </c>
      <c r="E26" s="679">
        <v>1998</v>
      </c>
      <c r="F26" s="679">
        <v>1999</v>
      </c>
      <c r="G26" s="679">
        <v>2000</v>
      </c>
      <c r="H26" s="679">
        <v>2001</v>
      </c>
      <c r="I26" s="679">
        <v>2002</v>
      </c>
      <c r="J26" s="679">
        <v>2003</v>
      </c>
      <c r="K26" s="679">
        <v>2004</v>
      </c>
      <c r="L26" s="679">
        <v>2005</v>
      </c>
      <c r="M26" s="679">
        <v>2006</v>
      </c>
      <c r="N26" s="679">
        <v>2007</v>
      </c>
      <c r="O26" s="679">
        <v>2008</v>
      </c>
      <c r="P26" s="679">
        <v>2009</v>
      </c>
      <c r="Q26" s="679">
        <v>2010</v>
      </c>
      <c r="R26" s="679">
        <v>2011</v>
      </c>
      <c r="S26" s="679">
        <v>2012</v>
      </c>
      <c r="T26" s="679">
        <v>2013</v>
      </c>
      <c r="U26" s="679">
        <v>2014</v>
      </c>
      <c r="V26" s="679">
        <v>2015</v>
      </c>
      <c r="W26" s="679">
        <v>2016</v>
      </c>
      <c r="X26" s="679">
        <v>2017</v>
      </c>
      <c r="Y26" s="679">
        <v>2018</v>
      </c>
      <c r="Z26" s="679">
        <v>2019</v>
      </c>
      <c r="AA26" s="679">
        <v>2020</v>
      </c>
      <c r="AB26" s="679">
        <v>2021</v>
      </c>
      <c r="AC26" s="679">
        <v>2022</v>
      </c>
      <c r="AD26" s="679">
        <v>2023</v>
      </c>
      <c r="AE26" s="679" t="s">
        <v>333</v>
      </c>
    </row>
    <row r="27" spans="1:32" ht="21.6">
      <c r="A27" s="533" t="s">
        <v>334</v>
      </c>
      <c r="B27" s="533">
        <v>101566</v>
      </c>
      <c r="C27" s="533">
        <v>112374</v>
      </c>
      <c r="D27" s="533">
        <v>128090</v>
      </c>
      <c r="E27" s="533">
        <v>137336</v>
      </c>
      <c r="F27" s="533">
        <v>140668</v>
      </c>
      <c r="G27" s="533">
        <v>153764</v>
      </c>
      <c r="H27" s="533">
        <v>176508</v>
      </c>
      <c r="I27" s="533">
        <v>181486</v>
      </c>
      <c r="J27" s="533">
        <v>224327</v>
      </c>
      <c r="K27" s="533">
        <v>243057.83640000003</v>
      </c>
      <c r="L27" s="533">
        <v>278109.92420000001</v>
      </c>
      <c r="M27" s="533">
        <v>295793.98210000002</v>
      </c>
      <c r="N27" s="533">
        <v>309512.00810000004</v>
      </c>
      <c r="O27" s="533">
        <v>358094.75400000002</v>
      </c>
      <c r="P27" s="533">
        <v>351912</v>
      </c>
      <c r="Q27" s="533">
        <v>396769</v>
      </c>
      <c r="R27" s="533">
        <v>386083</v>
      </c>
      <c r="S27" s="533">
        <v>435722</v>
      </c>
      <c r="T27" s="533">
        <v>467118</v>
      </c>
      <c r="U27" s="533">
        <v>489233</v>
      </c>
      <c r="V27" s="533">
        <v>534779</v>
      </c>
      <c r="W27" s="533">
        <v>607457</v>
      </c>
      <c r="X27" s="533">
        <v>696035</v>
      </c>
      <c r="Y27" s="533">
        <v>805282</v>
      </c>
      <c r="Z27" s="533">
        <v>826618</v>
      </c>
      <c r="AA27" s="533">
        <v>918885</v>
      </c>
      <c r="AB27" s="533">
        <v>987812</v>
      </c>
      <c r="AC27" s="533">
        <v>1238007</v>
      </c>
      <c r="AD27" s="533">
        <v>1292309</v>
      </c>
      <c r="AE27" s="533" t="s">
        <v>335</v>
      </c>
    </row>
    <row r="28" spans="1:32" ht="21.6">
      <c r="A28" s="533" t="s">
        <v>336</v>
      </c>
      <c r="B28" s="533">
        <v>56663</v>
      </c>
      <c r="C28" s="533">
        <v>56689</v>
      </c>
      <c r="D28" s="533">
        <v>53668</v>
      </c>
      <c r="E28" s="533">
        <v>51885</v>
      </c>
      <c r="F28" s="533">
        <v>55186</v>
      </c>
      <c r="G28" s="533">
        <v>50338</v>
      </c>
      <c r="H28" s="533">
        <v>50929</v>
      </c>
      <c r="I28" s="533">
        <v>53690</v>
      </c>
      <c r="J28" s="533">
        <v>54392</v>
      </c>
      <c r="K28" s="533">
        <v>56437</v>
      </c>
      <c r="L28" s="533">
        <v>57518.2</v>
      </c>
      <c r="M28" s="533">
        <v>37654.633999999998</v>
      </c>
      <c r="N28" s="533">
        <v>60079.766000000003</v>
      </c>
      <c r="O28" s="533">
        <v>68110.054000000004</v>
      </c>
      <c r="P28" s="533">
        <v>66588</v>
      </c>
      <c r="Q28" s="533">
        <v>66113</v>
      </c>
      <c r="R28" s="533">
        <v>63905</v>
      </c>
      <c r="S28" s="533">
        <v>69030</v>
      </c>
      <c r="T28" s="533">
        <v>81919</v>
      </c>
      <c r="U28" s="533">
        <v>89984</v>
      </c>
      <c r="V28" s="533">
        <v>94263</v>
      </c>
      <c r="W28" s="533">
        <v>110698</v>
      </c>
      <c r="X28" s="533">
        <v>112630.8</v>
      </c>
      <c r="Y28" s="533">
        <v>129520</v>
      </c>
      <c r="Z28" s="533">
        <v>129094</v>
      </c>
      <c r="AA28" s="533">
        <v>153948</v>
      </c>
      <c r="AB28" s="533">
        <v>146530</v>
      </c>
      <c r="AC28" s="533">
        <v>69683</v>
      </c>
      <c r="AD28" s="533">
        <v>30913</v>
      </c>
      <c r="AE28" s="533" t="s">
        <v>154</v>
      </c>
    </row>
    <row r="29" spans="1:32" ht="21.6">
      <c r="A29" s="533" t="s">
        <v>337</v>
      </c>
      <c r="B29" s="533">
        <v>9753</v>
      </c>
      <c r="C29" s="533">
        <v>16590</v>
      </c>
      <c r="D29" s="533">
        <v>17671</v>
      </c>
      <c r="E29" s="533">
        <v>20550</v>
      </c>
      <c r="F29" s="533">
        <v>19801</v>
      </c>
      <c r="G29" s="533">
        <v>23091</v>
      </c>
      <c r="H29" s="533">
        <v>24932</v>
      </c>
      <c r="I29" s="533">
        <v>28796</v>
      </c>
      <c r="J29" s="533">
        <v>33275</v>
      </c>
      <c r="K29" s="533">
        <v>36480.041000000085</v>
      </c>
      <c r="L29" s="533">
        <v>39838.868000000075</v>
      </c>
      <c r="M29" s="533">
        <v>60640.188400000043</v>
      </c>
      <c r="N29" s="533">
        <v>45722.431000000041</v>
      </c>
      <c r="O29" s="533">
        <v>50831.569000000018</v>
      </c>
      <c r="P29" s="533">
        <v>57231</v>
      </c>
      <c r="Q29" s="533">
        <v>65026</v>
      </c>
      <c r="R29" s="533">
        <v>74700</v>
      </c>
      <c r="S29" s="533">
        <v>81502</v>
      </c>
      <c r="T29" s="533">
        <v>92523</v>
      </c>
      <c r="U29" s="533">
        <v>108130</v>
      </c>
      <c r="V29" s="533">
        <v>120443</v>
      </c>
      <c r="W29" s="533">
        <v>144179</v>
      </c>
      <c r="X29" s="533">
        <v>171411.6</v>
      </c>
      <c r="Y29" s="533">
        <v>185831</v>
      </c>
      <c r="Z29" s="533">
        <v>245513</v>
      </c>
      <c r="AA29" s="533">
        <v>233067</v>
      </c>
      <c r="AB29" s="533">
        <v>45277</v>
      </c>
      <c r="AC29" s="533">
        <v>267043</v>
      </c>
      <c r="AD29" s="533">
        <v>450615</v>
      </c>
      <c r="AE29" s="533" t="s">
        <v>56</v>
      </c>
    </row>
    <row r="30" spans="1:32" ht="21.6">
      <c r="A30" s="533" t="s">
        <v>338</v>
      </c>
      <c r="B30" s="533">
        <v>167982</v>
      </c>
      <c r="C30" s="533">
        <v>185653</v>
      </c>
      <c r="D30" s="533">
        <v>199429</v>
      </c>
      <c r="E30" s="533">
        <v>209771</v>
      </c>
      <c r="F30" s="533">
        <v>215655</v>
      </c>
      <c r="G30" s="533">
        <v>227193</v>
      </c>
      <c r="H30" s="533">
        <v>252369</v>
      </c>
      <c r="I30" s="533">
        <v>263972</v>
      </c>
      <c r="J30" s="533">
        <v>311994</v>
      </c>
      <c r="K30" s="533">
        <v>335974.87740000011</v>
      </c>
      <c r="L30" s="533">
        <v>375466.9922000001</v>
      </c>
      <c r="M30" s="533">
        <v>394088.80450000009</v>
      </c>
      <c r="N30" s="533">
        <v>415314.20510000008</v>
      </c>
      <c r="O30" s="533">
        <v>477036.37700000004</v>
      </c>
      <c r="P30" s="533">
        <v>475731</v>
      </c>
      <c r="Q30" s="533">
        <v>527908</v>
      </c>
      <c r="R30" s="533">
        <v>524688</v>
      </c>
      <c r="S30" s="533">
        <v>586254</v>
      </c>
      <c r="T30" s="533">
        <v>641560</v>
      </c>
      <c r="U30" s="533">
        <v>687347</v>
      </c>
      <c r="V30" s="533">
        <v>749485</v>
      </c>
      <c r="W30" s="533">
        <v>862334</v>
      </c>
      <c r="X30" s="533">
        <v>980077.4</v>
      </c>
      <c r="Y30" s="533">
        <v>1120633</v>
      </c>
      <c r="Z30" s="533">
        <v>1201225</v>
      </c>
      <c r="AA30" s="533">
        <v>1305900</v>
      </c>
      <c r="AB30" s="533">
        <v>1179619</v>
      </c>
      <c r="AC30" s="533">
        <v>1574733</v>
      </c>
      <c r="AD30" s="533" t="s">
        <v>1468</v>
      </c>
      <c r="AE30" s="533" t="s">
        <v>339</v>
      </c>
    </row>
    <row r="31" spans="1:32" ht="21.6">
      <c r="A31" s="533" t="s">
        <v>340</v>
      </c>
      <c r="B31" s="533">
        <v>53</v>
      </c>
      <c r="C31" s="533">
        <v>61</v>
      </c>
      <c r="D31" s="533">
        <v>61</v>
      </c>
      <c r="E31" s="533">
        <v>63</v>
      </c>
      <c r="F31" s="533">
        <v>63</v>
      </c>
      <c r="G31" s="533">
        <v>63</v>
      </c>
      <c r="H31" s="533">
        <v>63</v>
      </c>
      <c r="I31" s="533">
        <v>73</v>
      </c>
      <c r="J31" s="533">
        <v>75</v>
      </c>
      <c r="K31" s="533">
        <v>75</v>
      </c>
      <c r="L31" s="533">
        <v>75</v>
      </c>
      <c r="M31" s="533">
        <v>86</v>
      </c>
      <c r="N31" s="533">
        <v>86</v>
      </c>
      <c r="O31" s="533">
        <v>86</v>
      </c>
      <c r="P31" s="533">
        <v>96</v>
      </c>
      <c r="Q31" s="533">
        <v>126</v>
      </c>
      <c r="R31" s="533">
        <v>130</v>
      </c>
      <c r="S31" s="533">
        <v>165</v>
      </c>
      <c r="T31" s="533">
        <v>170</v>
      </c>
      <c r="U31" s="533">
        <v>173</v>
      </c>
      <c r="V31" s="533"/>
      <c r="W31" s="533"/>
      <c r="X31" s="533"/>
      <c r="Y31" s="533"/>
      <c r="Z31" s="533"/>
      <c r="AA31" s="533"/>
      <c r="AB31" s="533"/>
      <c r="AC31" s="533"/>
      <c r="AD31" s="533"/>
      <c r="AE31" s="533" t="s">
        <v>341</v>
      </c>
    </row>
    <row r="33" spans="1:31">
      <c r="A33" t="s">
        <v>327</v>
      </c>
      <c r="AE33" t="s">
        <v>342</v>
      </c>
    </row>
    <row r="34" spans="1:31">
      <c r="A34" t="s">
        <v>343</v>
      </c>
      <c r="AE34" t="s">
        <v>344</v>
      </c>
    </row>
    <row r="37" spans="1:31">
      <c r="AE37" t="s">
        <v>345</v>
      </c>
    </row>
    <row r="38" spans="1:31" ht="26.4">
      <c r="A38" s="773" t="s">
        <v>346</v>
      </c>
    </row>
    <row r="39" spans="1:31">
      <c r="A39" t="s">
        <v>347</v>
      </c>
      <c r="AE39" t="s">
        <v>348</v>
      </c>
    </row>
    <row r="40" spans="1:31" ht="26.4">
      <c r="A40" s="679" t="s">
        <v>332</v>
      </c>
      <c r="B40" s="679">
        <v>1995</v>
      </c>
      <c r="C40" s="679">
        <v>1996</v>
      </c>
      <c r="D40" s="679">
        <v>1997</v>
      </c>
      <c r="E40" s="679">
        <v>1998</v>
      </c>
      <c r="F40" s="679">
        <v>1999</v>
      </c>
      <c r="G40" s="679">
        <v>2000</v>
      </c>
      <c r="H40" s="679">
        <v>2001</v>
      </c>
      <c r="I40" s="679">
        <v>2002</v>
      </c>
      <c r="J40" s="679">
        <v>2003</v>
      </c>
      <c r="K40" s="679">
        <v>2004</v>
      </c>
      <c r="L40" s="679">
        <v>2005</v>
      </c>
      <c r="M40" s="679">
        <v>2006</v>
      </c>
      <c r="N40" s="679">
        <v>2007</v>
      </c>
      <c r="O40" s="679">
        <v>2008</v>
      </c>
      <c r="P40" s="679">
        <v>2009</v>
      </c>
      <c r="Q40" s="679">
        <v>2010</v>
      </c>
      <c r="R40" s="679">
        <v>2011</v>
      </c>
      <c r="S40" s="679">
        <v>2012</v>
      </c>
      <c r="T40" s="679">
        <v>2013</v>
      </c>
      <c r="U40" s="679">
        <v>2014</v>
      </c>
      <c r="V40" s="679">
        <v>2015</v>
      </c>
      <c r="W40" s="679">
        <v>2016</v>
      </c>
      <c r="X40" s="679">
        <v>2017</v>
      </c>
      <c r="Y40" s="679">
        <v>2018</v>
      </c>
      <c r="Z40" s="679">
        <v>2019</v>
      </c>
      <c r="AA40" s="680">
        <v>2020</v>
      </c>
      <c r="AB40" s="680">
        <v>2021</v>
      </c>
      <c r="AC40" s="681">
        <v>2022</v>
      </c>
      <c r="AD40" s="681">
        <v>2023</v>
      </c>
      <c r="AE40" s="679" t="s">
        <v>333</v>
      </c>
    </row>
    <row r="41" spans="1:31" ht="21.6">
      <c r="A41" s="533" t="s">
        <v>334</v>
      </c>
      <c r="B41" s="533">
        <v>12660</v>
      </c>
      <c r="C41" s="533">
        <v>11546</v>
      </c>
      <c r="D41" s="533">
        <v>13701</v>
      </c>
      <c r="E41" s="533">
        <v>13328</v>
      </c>
      <c r="F41" s="533">
        <v>13210</v>
      </c>
      <c r="G41" s="533">
        <v>14015.808000000001</v>
      </c>
      <c r="H41" s="533">
        <v>14552.596</v>
      </c>
      <c r="I41" s="533">
        <v>14605.254999999999</v>
      </c>
      <c r="J41" s="533">
        <v>15396.085999999999</v>
      </c>
      <c r="K41" s="533">
        <v>16578.667000000001</v>
      </c>
      <c r="L41" s="533">
        <v>16703.400000000001</v>
      </c>
      <c r="M41" s="533">
        <v>17300</v>
      </c>
      <c r="N41" s="533">
        <v>18503</v>
      </c>
      <c r="O41" s="533">
        <v>21226.281600000002</v>
      </c>
      <c r="P41" s="533">
        <v>21207.088</v>
      </c>
      <c r="Q41" s="533">
        <v>21054</v>
      </c>
      <c r="R41" s="533">
        <v>31134</v>
      </c>
      <c r="S41" s="533">
        <v>32921</v>
      </c>
      <c r="T41" s="533">
        <v>33692</v>
      </c>
      <c r="U41" s="533">
        <v>35958</v>
      </c>
      <c r="V41" s="533">
        <v>37679</v>
      </c>
      <c r="W41" s="533">
        <v>40210</v>
      </c>
      <c r="X41" s="533">
        <v>40761</v>
      </c>
      <c r="Y41" s="533">
        <v>40238</v>
      </c>
      <c r="Z41" s="533" t="s">
        <v>13</v>
      </c>
      <c r="AA41" s="533" t="s">
        <v>13</v>
      </c>
      <c r="AB41" s="533"/>
      <c r="AC41" s="203"/>
      <c r="AD41" s="203"/>
      <c r="AE41" s="533" t="s">
        <v>335</v>
      </c>
    </row>
    <row r="42" spans="1:31" ht="21.6">
      <c r="A42" s="533" t="s">
        <v>336</v>
      </c>
      <c r="B42" s="533">
        <v>2154</v>
      </c>
      <c r="C42" s="533">
        <v>2154</v>
      </c>
      <c r="D42" s="533">
        <v>2029</v>
      </c>
      <c r="E42" s="533">
        <v>1986</v>
      </c>
      <c r="F42" s="533">
        <v>1986</v>
      </c>
      <c r="G42" s="533">
        <v>1976.1020000000001</v>
      </c>
      <c r="H42" s="533">
        <v>1896.808</v>
      </c>
      <c r="I42" s="533">
        <v>2666.8220000000001</v>
      </c>
      <c r="J42" s="533">
        <v>3122.212</v>
      </c>
      <c r="K42" s="533">
        <v>3302.0709999999999</v>
      </c>
      <c r="L42" s="533">
        <v>3668.1970000000001</v>
      </c>
      <c r="M42" s="533">
        <v>3945</v>
      </c>
      <c r="N42" s="533">
        <v>3949</v>
      </c>
      <c r="O42" s="533">
        <v>4147.6055999999999</v>
      </c>
      <c r="P42" s="533">
        <v>4954.5110000000004</v>
      </c>
      <c r="Q42" s="533">
        <v>4316</v>
      </c>
      <c r="R42" s="533">
        <v>4689</v>
      </c>
      <c r="S42" s="533">
        <v>4587</v>
      </c>
      <c r="T42" s="533">
        <v>4786</v>
      </c>
      <c r="U42" s="533">
        <v>5313</v>
      </c>
      <c r="V42" s="533">
        <v>6248</v>
      </c>
      <c r="W42" s="533">
        <v>5972</v>
      </c>
      <c r="X42" s="533">
        <v>6644</v>
      </c>
      <c r="Y42" s="533">
        <v>6652</v>
      </c>
      <c r="Z42" s="533" t="s">
        <v>13</v>
      </c>
      <c r="AA42" s="533" t="s">
        <v>13</v>
      </c>
      <c r="AB42" s="533"/>
      <c r="AC42" s="203"/>
      <c r="AD42" s="203"/>
      <c r="AE42" s="533" t="s">
        <v>154</v>
      </c>
    </row>
    <row r="43" spans="1:31" ht="21.6">
      <c r="A43" s="533" t="s">
        <v>349</v>
      </c>
      <c r="B43" s="533">
        <v>1354</v>
      </c>
      <c r="C43" s="533">
        <v>1426</v>
      </c>
      <c r="D43" s="533">
        <v>1692</v>
      </c>
      <c r="E43" s="533">
        <v>1862</v>
      </c>
      <c r="F43" s="533">
        <v>1993</v>
      </c>
      <c r="G43" s="533">
        <v>2348.0000000000018</v>
      </c>
      <c r="H43" s="533">
        <v>2318</v>
      </c>
      <c r="I43" s="533">
        <v>2494</v>
      </c>
      <c r="J43" s="533">
        <v>3087.107</v>
      </c>
      <c r="K43" s="533">
        <v>3807.2439999999988</v>
      </c>
      <c r="L43" s="533">
        <v>4198.775999999998</v>
      </c>
      <c r="M43" s="533">
        <v>4574</v>
      </c>
      <c r="N43" s="533">
        <v>5587</v>
      </c>
      <c r="O43" s="533">
        <v>5927.3592399900008</v>
      </c>
      <c r="P43" s="533">
        <v>6017.3209999999963</v>
      </c>
      <c r="Q43" s="533">
        <v>5404</v>
      </c>
      <c r="R43" s="533">
        <v>6900</v>
      </c>
      <c r="S43" s="533">
        <v>7608</v>
      </c>
      <c r="T43" s="533">
        <v>8883</v>
      </c>
      <c r="U43" s="533">
        <v>8503</v>
      </c>
      <c r="V43" s="533">
        <v>13141</v>
      </c>
      <c r="W43" s="533">
        <v>13849</v>
      </c>
      <c r="X43" s="533">
        <v>14517</v>
      </c>
      <c r="Y43" s="533">
        <v>15981</v>
      </c>
      <c r="Z43" s="533" t="s">
        <v>13</v>
      </c>
      <c r="AA43" s="533" t="s">
        <v>13</v>
      </c>
      <c r="AB43" s="533"/>
      <c r="AC43" s="203"/>
      <c r="AD43" s="203"/>
      <c r="AE43" s="533" t="s">
        <v>56</v>
      </c>
    </row>
    <row r="44" spans="1:31" ht="21.6">
      <c r="A44" s="533" t="s">
        <v>338</v>
      </c>
      <c r="B44" s="533">
        <v>16168</v>
      </c>
      <c r="C44" s="533">
        <v>15126</v>
      </c>
      <c r="D44" s="533">
        <v>17422</v>
      </c>
      <c r="E44" s="533">
        <v>17176</v>
      </c>
      <c r="F44" s="533">
        <v>17189</v>
      </c>
      <c r="G44" s="533">
        <v>18339.910000000003</v>
      </c>
      <c r="H44" s="533">
        <v>18767.403999999999</v>
      </c>
      <c r="I44" s="533">
        <v>19766.076999999997</v>
      </c>
      <c r="J44" s="533">
        <v>21605.404999999999</v>
      </c>
      <c r="K44" s="533">
        <v>23687.982</v>
      </c>
      <c r="L44" s="533">
        <v>24570.373</v>
      </c>
      <c r="M44" s="533">
        <v>25819</v>
      </c>
      <c r="N44" s="533">
        <v>28039</v>
      </c>
      <c r="O44" s="533">
        <v>31301.246439990002</v>
      </c>
      <c r="P44" s="533">
        <v>32178.92</v>
      </c>
      <c r="Q44" s="533">
        <v>30774</v>
      </c>
      <c r="R44" s="533">
        <v>42723</v>
      </c>
      <c r="S44" s="533">
        <v>45116</v>
      </c>
      <c r="T44" s="533">
        <v>47361</v>
      </c>
      <c r="U44" s="533">
        <v>49774</v>
      </c>
      <c r="V44" s="533">
        <v>57068</v>
      </c>
      <c r="W44" s="533">
        <v>60031</v>
      </c>
      <c r="X44" s="533">
        <v>61922</v>
      </c>
      <c r="Y44" s="533">
        <v>62871</v>
      </c>
      <c r="Z44" s="533">
        <v>70527.839000000007</v>
      </c>
      <c r="AA44" s="533">
        <v>74100</v>
      </c>
      <c r="AB44" s="682" t="s">
        <v>1478</v>
      </c>
      <c r="AC44" s="682">
        <v>83451</v>
      </c>
      <c r="AD44" s="682" t="s">
        <v>1479</v>
      </c>
      <c r="AE44" s="533" t="s">
        <v>350</v>
      </c>
    </row>
    <row r="47" spans="1:31">
      <c r="A47" t="s">
        <v>351</v>
      </c>
      <c r="AE47" t="s">
        <v>352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4057-5A28-4D50-B0B4-E61CC3D0A484}">
  <sheetPr>
    <tabColor rgb="FF92D050"/>
  </sheetPr>
  <dimension ref="A1:O76"/>
  <sheetViews>
    <sheetView topLeftCell="A63" workbookViewId="0">
      <selection activeCell="O8" sqref="O8"/>
    </sheetView>
  </sheetViews>
  <sheetFormatPr baseColWidth="10" defaultRowHeight="27"/>
  <cols>
    <col min="1" max="1" width="23.33203125" style="722" customWidth="1"/>
    <col min="2" max="2" width="9.88671875" style="722" customWidth="1"/>
    <col min="3" max="14" width="9.6640625" style="722" customWidth="1"/>
    <col min="15" max="15" width="23" style="724" customWidth="1"/>
  </cols>
  <sheetData>
    <row r="1" spans="1:15" ht="27.6" thickBot="1">
      <c r="A1" s="683" t="s">
        <v>1480</v>
      </c>
      <c r="B1" s="683"/>
      <c r="C1" s="447"/>
      <c r="D1" s="447"/>
      <c r="E1" s="447"/>
      <c r="F1" s="447"/>
      <c r="G1" s="447"/>
      <c r="H1" s="684"/>
      <c r="I1" s="684"/>
      <c r="J1" s="684"/>
      <c r="K1" s="685"/>
      <c r="L1" s="685"/>
      <c r="M1" s="685"/>
      <c r="N1" s="685"/>
      <c r="O1" s="686" t="s">
        <v>1481</v>
      </c>
    </row>
    <row r="2" spans="1:15">
      <c r="A2" s="687" t="s">
        <v>1482</v>
      </c>
      <c r="B2" s="688" t="s">
        <v>163</v>
      </c>
      <c r="C2" s="688" t="s">
        <v>165</v>
      </c>
      <c r="D2" s="689" t="s">
        <v>167</v>
      </c>
      <c r="E2" s="688" t="s">
        <v>169</v>
      </c>
      <c r="F2" s="689" t="s">
        <v>171</v>
      </c>
      <c r="G2" s="688" t="s">
        <v>173</v>
      </c>
      <c r="H2" s="689" t="s">
        <v>175</v>
      </c>
      <c r="I2" s="688" t="s">
        <v>177</v>
      </c>
      <c r="J2" s="689" t="s">
        <v>772</v>
      </c>
      <c r="K2" s="688" t="s">
        <v>181</v>
      </c>
      <c r="L2" s="688" t="s">
        <v>773</v>
      </c>
      <c r="M2" s="688" t="s">
        <v>774</v>
      </c>
      <c r="N2" s="688" t="s">
        <v>48</v>
      </c>
      <c r="O2" s="690" t="s">
        <v>1483</v>
      </c>
    </row>
    <row r="3" spans="1:15">
      <c r="A3" s="691" t="s">
        <v>1484</v>
      </c>
      <c r="B3" s="692" t="s">
        <v>244</v>
      </c>
      <c r="C3" s="692" t="s">
        <v>245</v>
      </c>
      <c r="D3" s="693" t="s">
        <v>246</v>
      </c>
      <c r="E3" s="692" t="s">
        <v>247</v>
      </c>
      <c r="F3" s="693" t="s">
        <v>172</v>
      </c>
      <c r="G3" s="692" t="s">
        <v>248</v>
      </c>
      <c r="H3" s="693" t="s">
        <v>249</v>
      </c>
      <c r="I3" s="692" t="s">
        <v>250</v>
      </c>
      <c r="J3" s="693" t="s">
        <v>180</v>
      </c>
      <c r="K3" s="692" t="s">
        <v>182</v>
      </c>
      <c r="L3" s="692" t="s">
        <v>1485</v>
      </c>
      <c r="M3" s="692" t="s">
        <v>186</v>
      </c>
      <c r="N3" s="694" t="s">
        <v>4</v>
      </c>
      <c r="O3" s="695" t="s">
        <v>1486</v>
      </c>
    </row>
    <row r="4" spans="1:15">
      <c r="A4" s="696"/>
      <c r="B4" s="697"/>
      <c r="C4" s="698"/>
      <c r="D4" s="698"/>
      <c r="E4" s="698"/>
      <c r="F4" s="698"/>
      <c r="G4" s="698"/>
      <c r="H4" s="698"/>
      <c r="I4" s="698"/>
      <c r="J4" s="698"/>
      <c r="K4" s="697"/>
      <c r="L4" s="699"/>
      <c r="M4" s="699"/>
      <c r="N4" s="699"/>
      <c r="O4" s="700"/>
    </row>
    <row r="5" spans="1:15">
      <c r="A5" s="701">
        <v>2010</v>
      </c>
      <c r="B5" s="702"/>
      <c r="C5" s="702"/>
      <c r="D5" s="702"/>
      <c r="E5" s="702"/>
      <c r="F5" s="702"/>
      <c r="G5" s="702"/>
      <c r="H5" s="702"/>
      <c r="I5" s="702"/>
      <c r="J5" s="702"/>
      <c r="K5" s="702"/>
      <c r="L5" s="702"/>
      <c r="M5" s="702"/>
      <c r="N5" s="703"/>
      <c r="O5" s="704">
        <v>2010</v>
      </c>
    </row>
    <row r="6" spans="1:15">
      <c r="A6" s="705" t="s">
        <v>1487</v>
      </c>
      <c r="B6" s="702">
        <f t="shared" ref="B6:N6" si="0">B7+B8</f>
        <v>27.56</v>
      </c>
      <c r="C6" s="702">
        <f t="shared" si="0"/>
        <v>26.49</v>
      </c>
      <c r="D6" s="702">
        <f t="shared" si="0"/>
        <v>29.020000000000003</v>
      </c>
      <c r="E6" s="702">
        <f t="shared" si="0"/>
        <v>28.59</v>
      </c>
      <c r="F6" s="702">
        <f t="shared" si="0"/>
        <v>30.53</v>
      </c>
      <c r="G6" s="702">
        <f t="shared" si="0"/>
        <v>30.650000000000002</v>
      </c>
      <c r="H6" s="702">
        <f t="shared" si="0"/>
        <v>33.380000000000003</v>
      </c>
      <c r="I6" s="702">
        <f t="shared" si="0"/>
        <v>31.88</v>
      </c>
      <c r="J6" s="702">
        <f t="shared" si="0"/>
        <v>34.4</v>
      </c>
      <c r="K6" s="702">
        <f t="shared" si="0"/>
        <v>34.32</v>
      </c>
      <c r="L6" s="702">
        <f t="shared" si="0"/>
        <v>31.78</v>
      </c>
      <c r="M6" s="702">
        <f t="shared" si="0"/>
        <v>29.21</v>
      </c>
      <c r="N6" s="702">
        <f t="shared" si="0"/>
        <v>367.81000000000006</v>
      </c>
      <c r="O6" s="706" t="s">
        <v>1488</v>
      </c>
    </row>
    <row r="7" spans="1:15">
      <c r="A7" s="707" t="s">
        <v>1489</v>
      </c>
      <c r="B7" s="702">
        <v>11.69</v>
      </c>
      <c r="C7" s="702">
        <v>10.62</v>
      </c>
      <c r="D7" s="702">
        <v>12.42</v>
      </c>
      <c r="E7" s="702">
        <v>12.36</v>
      </c>
      <c r="F7" s="702">
        <v>12.31</v>
      </c>
      <c r="G7" s="702">
        <v>13.14</v>
      </c>
      <c r="H7" s="702">
        <v>13.9</v>
      </c>
      <c r="I7" s="702">
        <v>13.93</v>
      </c>
      <c r="J7" s="702">
        <v>13.03</v>
      </c>
      <c r="K7" s="702">
        <v>13.81</v>
      </c>
      <c r="L7" s="702">
        <v>11.39</v>
      </c>
      <c r="M7" s="702">
        <v>11.55</v>
      </c>
      <c r="N7" s="703">
        <f>SUM(B7:M7)</f>
        <v>150.15000000000003</v>
      </c>
      <c r="O7" s="708" t="s">
        <v>1490</v>
      </c>
    </row>
    <row r="8" spans="1:15">
      <c r="A8" s="707" t="s">
        <v>1491</v>
      </c>
      <c r="B8" s="702">
        <v>15.87</v>
      </c>
      <c r="C8" s="702">
        <v>15.87</v>
      </c>
      <c r="D8" s="702">
        <v>16.600000000000001</v>
      </c>
      <c r="E8" s="702">
        <v>16.23</v>
      </c>
      <c r="F8" s="702">
        <v>18.22</v>
      </c>
      <c r="G8" s="702">
        <v>17.510000000000002</v>
      </c>
      <c r="H8" s="702">
        <v>19.48</v>
      </c>
      <c r="I8" s="702">
        <v>17.95</v>
      </c>
      <c r="J8" s="702">
        <v>21.37</v>
      </c>
      <c r="K8" s="702">
        <v>20.51</v>
      </c>
      <c r="L8" s="702">
        <v>20.39</v>
      </c>
      <c r="M8" s="702">
        <v>17.66</v>
      </c>
      <c r="N8" s="703">
        <f>SUM(B8:M8)</f>
        <v>217.66</v>
      </c>
      <c r="O8" s="708" t="s">
        <v>1467</v>
      </c>
    </row>
    <row r="9" spans="1:15">
      <c r="A9" s="705" t="s">
        <v>361</v>
      </c>
      <c r="B9" s="702"/>
      <c r="C9" s="702"/>
      <c r="D9" s="702"/>
      <c r="E9" s="702"/>
      <c r="F9" s="702"/>
      <c r="G9" s="702"/>
      <c r="H9" s="702"/>
      <c r="I9" s="702"/>
      <c r="J9" s="702"/>
      <c r="K9" s="702"/>
      <c r="L9" s="702"/>
      <c r="M9" s="702"/>
      <c r="N9" s="703"/>
      <c r="O9" s="706" t="s">
        <v>1492</v>
      </c>
    </row>
    <row r="10" spans="1:15">
      <c r="A10" s="701">
        <v>2011</v>
      </c>
      <c r="B10" s="702"/>
      <c r="C10" s="702"/>
      <c r="D10" s="702"/>
      <c r="E10" s="702"/>
      <c r="F10" s="702"/>
      <c r="G10" s="702"/>
      <c r="H10" s="702"/>
      <c r="I10" s="702"/>
      <c r="J10" s="702"/>
      <c r="K10" s="702"/>
      <c r="L10" s="702"/>
      <c r="M10" s="702"/>
      <c r="N10" s="703"/>
      <c r="O10" s="704">
        <v>2011</v>
      </c>
    </row>
    <row r="11" spans="1:15">
      <c r="A11" s="705" t="s">
        <v>1487</v>
      </c>
      <c r="B11" s="702">
        <f t="shared" ref="B11:N11" si="1">B12+B13</f>
        <v>28.962266</v>
      </c>
      <c r="C11" s="702">
        <f t="shared" si="1"/>
        <v>27.000819</v>
      </c>
      <c r="D11" s="702">
        <f t="shared" si="1"/>
        <v>27.778886</v>
      </c>
      <c r="E11" s="702">
        <f t="shared" si="1"/>
        <v>28.556232999999999</v>
      </c>
      <c r="F11" s="702">
        <f t="shared" si="1"/>
        <v>31.731293000000001</v>
      </c>
      <c r="G11" s="702">
        <f t="shared" si="1"/>
        <v>32.273873999999999</v>
      </c>
      <c r="H11" s="702">
        <f t="shared" si="1"/>
        <v>34.098295999999998</v>
      </c>
      <c r="I11" s="702">
        <f t="shared" si="1"/>
        <v>35.673062000000002</v>
      </c>
      <c r="J11" s="702">
        <f t="shared" si="1"/>
        <v>37.773808000000002</v>
      </c>
      <c r="K11" s="702">
        <f t="shared" si="1"/>
        <v>38.053284000000005</v>
      </c>
      <c r="L11" s="702">
        <f t="shared" si="1"/>
        <v>35.198143000000002</v>
      </c>
      <c r="M11" s="702">
        <f t="shared" si="1"/>
        <v>32.341873</v>
      </c>
      <c r="N11" s="702">
        <f t="shared" si="1"/>
        <v>389.44183700000002</v>
      </c>
      <c r="O11" s="706" t="s">
        <v>1488</v>
      </c>
    </row>
    <row r="12" spans="1:15">
      <c r="A12" s="707" t="s">
        <v>1489</v>
      </c>
      <c r="B12" s="702">
        <v>11.530495999999999</v>
      </c>
      <c r="C12" s="702">
        <v>10.06372</v>
      </c>
      <c r="D12" s="702">
        <v>11.388043</v>
      </c>
      <c r="E12" s="702">
        <v>11.538045</v>
      </c>
      <c r="F12" s="702">
        <v>11.622147</v>
      </c>
      <c r="G12" s="702">
        <v>11.670529</v>
      </c>
      <c r="H12" s="702">
        <v>12.920170000000001</v>
      </c>
      <c r="I12" s="702">
        <v>12.941926</v>
      </c>
      <c r="J12" s="702">
        <v>12.318263</v>
      </c>
      <c r="K12" s="702">
        <v>13.940662</v>
      </c>
      <c r="L12" s="702">
        <v>11.34775</v>
      </c>
      <c r="M12" s="702">
        <v>11.490831999999999</v>
      </c>
      <c r="N12" s="703">
        <f>SUM(B12:M12)</f>
        <v>142.772583</v>
      </c>
      <c r="O12" s="708" t="s">
        <v>1490</v>
      </c>
    </row>
    <row r="13" spans="1:15">
      <c r="A13" s="707" t="s">
        <v>1491</v>
      </c>
      <c r="B13" s="702">
        <v>17.43177</v>
      </c>
      <c r="C13" s="702">
        <v>16.937099</v>
      </c>
      <c r="D13" s="702">
        <v>16.390843</v>
      </c>
      <c r="E13" s="702">
        <v>17.018187999999999</v>
      </c>
      <c r="F13" s="702">
        <v>20.109145999999999</v>
      </c>
      <c r="G13" s="702">
        <v>20.603345000000001</v>
      </c>
      <c r="H13" s="702">
        <v>21.178125999999999</v>
      </c>
      <c r="I13" s="702">
        <v>22.731135999999999</v>
      </c>
      <c r="J13" s="702">
        <v>25.455545000000001</v>
      </c>
      <c r="K13" s="702">
        <v>24.112622000000002</v>
      </c>
      <c r="L13" s="702">
        <v>23.850393</v>
      </c>
      <c r="M13" s="702">
        <v>20.851040999999999</v>
      </c>
      <c r="N13" s="703">
        <f>SUM(B13:M13)</f>
        <v>246.66925400000002</v>
      </c>
      <c r="O13" s="708" t="s">
        <v>1467</v>
      </c>
    </row>
    <row r="14" spans="1:15">
      <c r="A14" s="705" t="s">
        <v>361</v>
      </c>
      <c r="B14" s="702"/>
      <c r="C14" s="702"/>
      <c r="D14" s="702"/>
      <c r="E14" s="702"/>
      <c r="F14" s="702"/>
      <c r="G14" s="702"/>
      <c r="H14" s="702"/>
      <c r="I14" s="702"/>
      <c r="J14" s="702"/>
      <c r="K14" s="702"/>
      <c r="L14" s="702"/>
      <c r="M14" s="702"/>
      <c r="N14" s="703"/>
      <c r="O14" s="706" t="s">
        <v>1492</v>
      </c>
    </row>
    <row r="15" spans="1:15">
      <c r="A15" s="701">
        <v>2012</v>
      </c>
      <c r="B15" s="702"/>
      <c r="C15" s="702"/>
      <c r="D15" s="702"/>
      <c r="E15" s="702"/>
      <c r="F15" s="702"/>
      <c r="G15" s="702"/>
      <c r="H15" s="702"/>
      <c r="I15" s="702"/>
      <c r="J15" s="702"/>
      <c r="K15" s="702"/>
      <c r="L15" s="702"/>
      <c r="M15" s="702"/>
      <c r="N15" s="703"/>
      <c r="O15" s="704">
        <v>2012</v>
      </c>
    </row>
    <row r="16" spans="1:15">
      <c r="A16" s="705" t="s">
        <v>1487</v>
      </c>
      <c r="B16" s="702">
        <f t="shared" ref="B16:N16" si="2">B17+B18</f>
        <v>32.642611000000002</v>
      </c>
      <c r="C16" s="702">
        <f t="shared" si="2"/>
        <v>29.617159999999998</v>
      </c>
      <c r="D16" s="702">
        <f t="shared" si="2"/>
        <v>33.007513000000003</v>
      </c>
      <c r="E16" s="702">
        <f t="shared" si="2"/>
        <v>33.377443999999997</v>
      </c>
      <c r="F16" s="702">
        <f t="shared" si="2"/>
        <v>36.991635000000002</v>
      </c>
      <c r="G16" s="702">
        <f t="shared" si="2"/>
        <v>37.653072999999999</v>
      </c>
      <c r="H16" s="702">
        <f t="shared" si="2"/>
        <v>38.276786000000001</v>
      </c>
      <c r="I16" s="702">
        <f t="shared" si="2"/>
        <v>40.459499000000001</v>
      </c>
      <c r="J16" s="702">
        <f t="shared" si="2"/>
        <v>45.019773999999998</v>
      </c>
      <c r="K16" s="702">
        <f t="shared" si="2"/>
        <v>42.454625</v>
      </c>
      <c r="L16" s="702">
        <f t="shared" si="2"/>
        <v>40.242615999999998</v>
      </c>
      <c r="M16" s="702">
        <f t="shared" si="2"/>
        <v>37.353225999999999</v>
      </c>
      <c r="N16" s="702">
        <f t="shared" si="2"/>
        <v>447.09596199999999</v>
      </c>
      <c r="O16" s="706" t="s">
        <v>1488</v>
      </c>
    </row>
    <row r="17" spans="1:15">
      <c r="A17" s="707" t="s">
        <v>1489</v>
      </c>
      <c r="B17" s="702">
        <v>11.991391</v>
      </c>
      <c r="C17" s="702">
        <v>11.236603000000001</v>
      </c>
      <c r="D17" s="702">
        <v>12.892932999999999</v>
      </c>
      <c r="E17" s="702">
        <v>13.268062</v>
      </c>
      <c r="F17" s="702">
        <v>14.471064999999999</v>
      </c>
      <c r="G17" s="702">
        <v>13.849515</v>
      </c>
      <c r="H17" s="702">
        <v>14.528527</v>
      </c>
      <c r="I17" s="702">
        <v>13.509491000000001</v>
      </c>
      <c r="J17" s="702">
        <v>14.609195</v>
      </c>
      <c r="K17" s="702">
        <v>14.17221</v>
      </c>
      <c r="L17" s="702">
        <v>12.830463</v>
      </c>
      <c r="M17" s="702">
        <v>10.501341999999999</v>
      </c>
      <c r="N17" s="703">
        <f>SUM(B17:M17)</f>
        <v>157.86079699999999</v>
      </c>
      <c r="O17" s="708" t="s">
        <v>1490</v>
      </c>
    </row>
    <row r="18" spans="1:15">
      <c r="A18" s="707" t="s">
        <v>1491</v>
      </c>
      <c r="B18" s="702">
        <v>20.651219999999999</v>
      </c>
      <c r="C18" s="702">
        <v>18.380557</v>
      </c>
      <c r="D18" s="702">
        <v>20.11458</v>
      </c>
      <c r="E18" s="702">
        <v>20.109382</v>
      </c>
      <c r="F18" s="702">
        <v>22.520569999999999</v>
      </c>
      <c r="G18" s="702">
        <v>23.803557999999999</v>
      </c>
      <c r="H18" s="702">
        <v>23.748259000000001</v>
      </c>
      <c r="I18" s="702">
        <v>26.950008</v>
      </c>
      <c r="J18" s="702">
        <v>30.410578999999998</v>
      </c>
      <c r="K18" s="702">
        <v>28.282415</v>
      </c>
      <c r="L18" s="702">
        <v>27.412153</v>
      </c>
      <c r="M18" s="702">
        <v>26.851883999999998</v>
      </c>
      <c r="N18" s="703">
        <f>SUM(B18:M18)</f>
        <v>289.23516499999999</v>
      </c>
      <c r="O18" s="708" t="s">
        <v>1467</v>
      </c>
    </row>
    <row r="19" spans="1:15">
      <c r="A19" s="705" t="s">
        <v>361</v>
      </c>
      <c r="B19" s="702">
        <v>27.186</v>
      </c>
      <c r="C19" s="702">
        <v>24.536000000000001</v>
      </c>
      <c r="D19" s="702">
        <v>27.300999999999998</v>
      </c>
      <c r="E19" s="702">
        <v>26.635000000000002</v>
      </c>
      <c r="F19" s="702">
        <v>25.483000000000001</v>
      </c>
      <c r="G19" s="702">
        <v>25.77</v>
      </c>
      <c r="H19" s="702">
        <v>28.934999999999999</v>
      </c>
      <c r="I19" s="702">
        <v>28.853000000000002</v>
      </c>
      <c r="J19" s="702">
        <v>27.446999999999999</v>
      </c>
      <c r="K19" s="702">
        <v>27.414999999999999</v>
      </c>
      <c r="L19" s="702">
        <v>26.811</v>
      </c>
      <c r="M19" s="702">
        <v>27.013000000000002</v>
      </c>
      <c r="N19" s="703">
        <f>SUM(B19:M19)</f>
        <v>323.38499999999999</v>
      </c>
      <c r="O19" s="706" t="s">
        <v>1492</v>
      </c>
    </row>
    <row r="20" spans="1:15">
      <c r="A20" s="701">
        <v>2013</v>
      </c>
      <c r="B20" s="702"/>
      <c r="C20" s="702"/>
      <c r="D20" s="702"/>
      <c r="E20" s="702"/>
      <c r="F20" s="702"/>
      <c r="G20" s="702"/>
      <c r="H20" s="702"/>
      <c r="I20" s="702"/>
      <c r="J20" s="702"/>
      <c r="K20" s="702"/>
      <c r="L20" s="702"/>
      <c r="M20" s="702"/>
      <c r="N20" s="703"/>
      <c r="O20" s="704">
        <v>2013</v>
      </c>
    </row>
    <row r="21" spans="1:15">
      <c r="A21" s="705" t="s">
        <v>1487</v>
      </c>
      <c r="B21" s="702">
        <f t="shared" ref="B21:N21" si="3">B22+B23</f>
        <v>35.92</v>
      </c>
      <c r="C21" s="702">
        <f t="shared" si="3"/>
        <v>33.6</v>
      </c>
      <c r="D21" s="702">
        <f t="shared" si="3"/>
        <v>36.26</v>
      </c>
      <c r="E21" s="702">
        <f t="shared" si="3"/>
        <v>36.9</v>
      </c>
      <c r="F21" s="702">
        <f t="shared" si="3"/>
        <v>39.89</v>
      </c>
      <c r="G21" s="702">
        <f t="shared" si="3"/>
        <v>41.78</v>
      </c>
      <c r="H21" s="702">
        <f t="shared" si="3"/>
        <v>45.7</v>
      </c>
      <c r="I21" s="702">
        <f t="shared" si="3"/>
        <v>46.230000000000004</v>
      </c>
      <c r="J21" s="702">
        <f t="shared" si="3"/>
        <v>48.43</v>
      </c>
      <c r="K21" s="702">
        <f t="shared" si="3"/>
        <v>44.57</v>
      </c>
      <c r="L21" s="702">
        <f t="shared" si="3"/>
        <v>44.659145000000002</v>
      </c>
      <c r="M21" s="702">
        <f t="shared" si="3"/>
        <v>40.428162999999998</v>
      </c>
      <c r="N21" s="702">
        <f t="shared" si="3"/>
        <v>494.36730799999998</v>
      </c>
      <c r="O21" s="706" t="s">
        <v>1488</v>
      </c>
    </row>
    <row r="22" spans="1:15">
      <c r="A22" s="707" t="s">
        <v>1489</v>
      </c>
      <c r="B22" s="702">
        <v>13.01</v>
      </c>
      <c r="C22" s="702">
        <v>11.5</v>
      </c>
      <c r="D22" s="702">
        <v>13.33</v>
      </c>
      <c r="E22" s="702">
        <v>13.88</v>
      </c>
      <c r="F22" s="702">
        <v>15.27</v>
      </c>
      <c r="G22" s="702">
        <v>15.17</v>
      </c>
      <c r="H22" s="702">
        <v>17.89</v>
      </c>
      <c r="I22" s="702">
        <v>16.87</v>
      </c>
      <c r="J22" s="702">
        <v>17.059999999999999</v>
      </c>
      <c r="K22" s="702">
        <v>16.55</v>
      </c>
      <c r="L22" s="702">
        <v>14.615</v>
      </c>
      <c r="M22" s="702">
        <v>14.401999999999999</v>
      </c>
      <c r="N22" s="703">
        <f>SUM(B22:M22)</f>
        <v>179.547</v>
      </c>
      <c r="O22" s="708" t="s">
        <v>1490</v>
      </c>
    </row>
    <row r="23" spans="1:15">
      <c r="A23" s="707" t="s">
        <v>1491</v>
      </c>
      <c r="B23" s="702">
        <v>22.91</v>
      </c>
      <c r="C23" s="702">
        <v>22.1</v>
      </c>
      <c r="D23" s="702">
        <v>22.93</v>
      </c>
      <c r="E23" s="702">
        <v>23.02</v>
      </c>
      <c r="F23" s="702">
        <v>24.62</v>
      </c>
      <c r="G23" s="702">
        <v>26.61</v>
      </c>
      <c r="H23" s="702">
        <v>27.81</v>
      </c>
      <c r="I23" s="702">
        <v>29.36</v>
      </c>
      <c r="J23" s="702">
        <v>31.37</v>
      </c>
      <c r="K23" s="702">
        <v>28.02</v>
      </c>
      <c r="L23" s="702">
        <v>30.044145</v>
      </c>
      <c r="M23" s="702">
        <v>26.026163</v>
      </c>
      <c r="N23" s="703">
        <f>SUM(B23:M23)</f>
        <v>314.82030800000001</v>
      </c>
      <c r="O23" s="708" t="s">
        <v>1467</v>
      </c>
    </row>
    <row r="24" spans="1:15">
      <c r="A24" s="705" t="s">
        <v>361</v>
      </c>
      <c r="B24" s="702">
        <v>26.863</v>
      </c>
      <c r="C24" s="702">
        <v>24.376999999999999</v>
      </c>
      <c r="D24" s="702">
        <v>28.335000000000001</v>
      </c>
      <c r="E24" s="702">
        <v>26.687999999999999</v>
      </c>
      <c r="F24" s="702">
        <v>26.869</v>
      </c>
      <c r="G24" s="702">
        <v>26.190999999999999</v>
      </c>
      <c r="H24" s="702">
        <v>29.954999999999998</v>
      </c>
      <c r="I24" s="702">
        <v>28.937000000000001</v>
      </c>
      <c r="J24" s="702">
        <v>27.129000000000001</v>
      </c>
      <c r="K24" s="702">
        <v>26.323</v>
      </c>
      <c r="L24" s="702">
        <v>26.173999999999999</v>
      </c>
      <c r="M24" s="702" t="s">
        <v>298</v>
      </c>
      <c r="N24" s="703">
        <f>SUM(B24:M24)</f>
        <v>297.84100000000001</v>
      </c>
      <c r="O24" s="706" t="s">
        <v>1492</v>
      </c>
    </row>
    <row r="25" spans="1:15">
      <c r="A25" s="701">
        <v>2014</v>
      </c>
      <c r="B25" s="702"/>
      <c r="C25" s="702"/>
      <c r="D25" s="702"/>
      <c r="E25" s="702"/>
      <c r="F25" s="702"/>
      <c r="G25" s="702"/>
      <c r="H25" s="702"/>
      <c r="I25" s="702"/>
      <c r="J25" s="702"/>
      <c r="K25" s="702"/>
      <c r="L25" s="702"/>
      <c r="M25" s="702"/>
      <c r="N25" s="703"/>
      <c r="O25" s="704">
        <v>2014</v>
      </c>
    </row>
    <row r="26" spans="1:15">
      <c r="A26" s="705" t="s">
        <v>1487</v>
      </c>
      <c r="B26" s="702">
        <f t="shared" ref="B26:M26" si="4">B27+B28</f>
        <v>38.776265000000002</v>
      </c>
      <c r="C26" s="702">
        <f t="shared" si="4"/>
        <v>37.282239000000004</v>
      </c>
      <c r="D26" s="702">
        <f t="shared" si="4"/>
        <v>34.699810999999997</v>
      </c>
      <c r="E26" s="702">
        <f t="shared" si="4"/>
        <v>37.501634000000003</v>
      </c>
      <c r="F26" s="702">
        <f t="shared" si="4"/>
        <v>42</v>
      </c>
      <c r="G26" s="702">
        <f t="shared" si="4"/>
        <v>40.96</v>
      </c>
      <c r="H26" s="702">
        <f t="shared" si="4"/>
        <v>45.95</v>
      </c>
      <c r="I26" s="702">
        <f t="shared" si="4"/>
        <v>52.099999999999994</v>
      </c>
      <c r="J26" s="702">
        <f t="shared" si="4"/>
        <v>48.55</v>
      </c>
      <c r="K26" s="702">
        <f t="shared" si="4"/>
        <v>49.58</v>
      </c>
      <c r="L26" s="702">
        <f t="shared" si="4"/>
        <v>46.75</v>
      </c>
      <c r="M26" s="702">
        <f t="shared" si="4"/>
        <v>47.040000000000006</v>
      </c>
      <c r="N26" s="703">
        <f>SUM(B26:M26)</f>
        <v>521.18994899999996</v>
      </c>
      <c r="O26" s="706" t="s">
        <v>1488</v>
      </c>
    </row>
    <row r="27" spans="1:15">
      <c r="A27" s="707" t="s">
        <v>1489</v>
      </c>
      <c r="B27" s="702">
        <v>14.397</v>
      </c>
      <c r="C27" s="702">
        <v>12.540239</v>
      </c>
      <c r="D27" s="702">
        <v>14.761982</v>
      </c>
      <c r="E27" s="702">
        <v>14.491633999999999</v>
      </c>
      <c r="F27" s="702">
        <v>16.36</v>
      </c>
      <c r="G27" s="702">
        <v>14.87</v>
      </c>
      <c r="H27" s="702">
        <v>15.4</v>
      </c>
      <c r="I27" s="702">
        <v>17.84</v>
      </c>
      <c r="J27" s="702">
        <v>15.73</v>
      </c>
      <c r="K27" s="702">
        <v>16.91</v>
      </c>
      <c r="L27" s="702">
        <v>15.83</v>
      </c>
      <c r="M27" s="702">
        <v>16.760000000000002</v>
      </c>
      <c r="N27" s="703">
        <f>SUM(B27:M27)</f>
        <v>185.89085499999999</v>
      </c>
      <c r="O27" s="708" t="s">
        <v>1490</v>
      </c>
    </row>
    <row r="28" spans="1:15">
      <c r="A28" s="707" t="s">
        <v>1491</v>
      </c>
      <c r="B28" s="702">
        <v>24.379265</v>
      </c>
      <c r="C28" s="702">
        <v>24.742000000000001</v>
      </c>
      <c r="D28" s="702">
        <v>19.937829000000001</v>
      </c>
      <c r="E28" s="702">
        <v>23.01</v>
      </c>
      <c r="F28" s="702">
        <v>25.64</v>
      </c>
      <c r="G28" s="702">
        <v>26.09</v>
      </c>
      <c r="H28" s="702">
        <v>30.55</v>
      </c>
      <c r="I28" s="702">
        <v>34.26</v>
      </c>
      <c r="J28" s="702">
        <v>32.82</v>
      </c>
      <c r="K28" s="702">
        <v>32.67</v>
      </c>
      <c r="L28" s="702">
        <v>30.92</v>
      </c>
      <c r="M28" s="702">
        <v>30.28</v>
      </c>
      <c r="N28" s="703">
        <f>SUM(B28:M28)</f>
        <v>335.29909399999997</v>
      </c>
      <c r="O28" s="708" t="s">
        <v>1467</v>
      </c>
    </row>
    <row r="29" spans="1:15">
      <c r="A29" s="705" t="s">
        <v>361</v>
      </c>
      <c r="B29" s="702" t="s">
        <v>298</v>
      </c>
      <c r="C29" s="702" t="s">
        <v>298</v>
      </c>
      <c r="D29" s="702" t="s">
        <v>298</v>
      </c>
      <c r="E29" s="702" t="s">
        <v>298</v>
      </c>
      <c r="F29" s="702" t="s">
        <v>298</v>
      </c>
      <c r="G29" s="702" t="s">
        <v>298</v>
      </c>
      <c r="H29" s="702" t="s">
        <v>298</v>
      </c>
      <c r="I29" s="702" t="s">
        <v>298</v>
      </c>
      <c r="J29" s="702" t="s">
        <v>298</v>
      </c>
      <c r="K29" s="702" t="s">
        <v>298</v>
      </c>
      <c r="L29" s="702" t="s">
        <v>298</v>
      </c>
      <c r="M29" s="702" t="s">
        <v>298</v>
      </c>
      <c r="N29" s="702" t="s">
        <v>298</v>
      </c>
      <c r="O29" s="706" t="s">
        <v>1492</v>
      </c>
    </row>
    <row r="30" spans="1:15">
      <c r="A30" s="701">
        <v>2015</v>
      </c>
      <c r="B30" s="702"/>
      <c r="C30" s="702"/>
      <c r="D30" s="702"/>
      <c r="E30" s="702"/>
      <c r="F30" s="702"/>
      <c r="G30" s="702"/>
      <c r="H30" s="702"/>
      <c r="I30" s="702"/>
      <c r="J30" s="702"/>
      <c r="K30" s="702"/>
      <c r="L30" s="702"/>
      <c r="M30" s="702"/>
      <c r="N30" s="709"/>
      <c r="O30" s="704">
        <v>2015</v>
      </c>
    </row>
    <row r="31" spans="1:15">
      <c r="A31" s="705" t="s">
        <v>1487</v>
      </c>
      <c r="B31" s="702">
        <f t="shared" ref="B31:M31" si="5">B32+B33</f>
        <v>40.86</v>
      </c>
      <c r="C31" s="702">
        <f t="shared" si="5"/>
        <v>37.979999999999997</v>
      </c>
      <c r="D31" s="702">
        <f t="shared" si="5"/>
        <v>38.879999999999995</v>
      </c>
      <c r="E31" s="702">
        <f t="shared" si="5"/>
        <v>41.569999999999993</v>
      </c>
      <c r="F31" s="702">
        <f t="shared" si="5"/>
        <v>44.260000000000005</v>
      </c>
      <c r="G31" s="702">
        <f t="shared" si="5"/>
        <v>44.67</v>
      </c>
      <c r="H31" s="702">
        <f t="shared" si="5"/>
        <v>47.8</v>
      </c>
      <c r="I31" s="702">
        <f t="shared" si="5"/>
        <v>49.55</v>
      </c>
      <c r="J31" s="702">
        <f t="shared" si="5"/>
        <v>49.57</v>
      </c>
      <c r="K31" s="702">
        <f t="shared" si="5"/>
        <v>47.239999999999995</v>
      </c>
      <c r="L31" s="702">
        <f t="shared" si="5"/>
        <v>47.65</v>
      </c>
      <c r="M31" s="702">
        <f t="shared" si="5"/>
        <v>50.75</v>
      </c>
      <c r="N31" s="703">
        <f>SUM(B31:M31)</f>
        <v>540.78</v>
      </c>
      <c r="O31" s="706" t="s">
        <v>1488</v>
      </c>
    </row>
    <row r="32" spans="1:15">
      <c r="A32" s="707" t="s">
        <v>1489</v>
      </c>
      <c r="B32" s="702">
        <v>14.83</v>
      </c>
      <c r="C32" s="702">
        <v>13.76</v>
      </c>
      <c r="D32" s="702">
        <v>16.3</v>
      </c>
      <c r="E32" s="702">
        <v>16.079999999999998</v>
      </c>
      <c r="F32" s="702">
        <v>17.09</v>
      </c>
      <c r="G32" s="702">
        <v>16.940000000000001</v>
      </c>
      <c r="H32" s="702">
        <v>16.11</v>
      </c>
      <c r="I32" s="702">
        <v>16.190000000000001</v>
      </c>
      <c r="J32" s="702">
        <v>16.18</v>
      </c>
      <c r="K32" s="702">
        <v>17.7</v>
      </c>
      <c r="L32" s="702">
        <v>15.97</v>
      </c>
      <c r="M32" s="702">
        <v>22.36</v>
      </c>
      <c r="N32" s="703">
        <f>SUM(B32:M32)</f>
        <v>199.51</v>
      </c>
      <c r="O32" s="708" t="s">
        <v>1490</v>
      </c>
    </row>
    <row r="33" spans="1:15">
      <c r="A33" s="707" t="s">
        <v>1491</v>
      </c>
      <c r="B33" s="702">
        <v>26.03</v>
      </c>
      <c r="C33" s="702">
        <v>24.22</v>
      </c>
      <c r="D33" s="702">
        <v>22.58</v>
      </c>
      <c r="E33" s="702">
        <v>25.49</v>
      </c>
      <c r="F33" s="702">
        <v>27.17</v>
      </c>
      <c r="G33" s="702">
        <v>27.73</v>
      </c>
      <c r="H33" s="702">
        <v>31.69</v>
      </c>
      <c r="I33" s="702">
        <v>33.36</v>
      </c>
      <c r="J33" s="702">
        <v>33.39</v>
      </c>
      <c r="K33" s="702">
        <v>29.54</v>
      </c>
      <c r="L33" s="702">
        <v>31.68</v>
      </c>
      <c r="M33" s="702">
        <v>28.39</v>
      </c>
      <c r="N33" s="703">
        <f>SUM(B33:M33)</f>
        <v>341.27</v>
      </c>
      <c r="O33" s="708" t="s">
        <v>1467</v>
      </c>
    </row>
    <row r="34" spans="1:15">
      <c r="A34" s="705" t="s">
        <v>361</v>
      </c>
      <c r="B34" s="702">
        <v>24.611999999999998</v>
      </c>
      <c r="C34" s="702">
        <v>21.088000000000001</v>
      </c>
      <c r="D34" s="702">
        <v>22.024999999999999</v>
      </c>
      <c r="E34" s="702">
        <v>25.823</v>
      </c>
      <c r="F34" s="702">
        <v>27.463000000000001</v>
      </c>
      <c r="G34" s="702">
        <v>28.248000000000001</v>
      </c>
      <c r="H34" s="702">
        <v>30.164000000000001</v>
      </c>
      <c r="I34" s="702">
        <v>27.545999999999999</v>
      </c>
      <c r="J34" s="702">
        <v>26.370999999999999</v>
      </c>
      <c r="K34" s="702">
        <v>25.186</v>
      </c>
      <c r="L34" s="702">
        <v>27.146000000000001</v>
      </c>
      <c r="M34" s="702">
        <v>28.262</v>
      </c>
      <c r="N34" s="703">
        <f>SUM(B34:M34)</f>
        <v>313.93400000000003</v>
      </c>
      <c r="O34" s="706" t="s">
        <v>1492</v>
      </c>
    </row>
    <row r="35" spans="1:15">
      <c r="A35" s="701">
        <v>2016</v>
      </c>
      <c r="B35" s="702"/>
      <c r="C35" s="702"/>
      <c r="D35" s="702"/>
      <c r="E35" s="702"/>
      <c r="F35" s="702"/>
      <c r="G35" s="702"/>
      <c r="H35" s="702"/>
      <c r="I35" s="702"/>
      <c r="J35" s="702"/>
      <c r="K35" s="702"/>
      <c r="L35" s="702"/>
      <c r="M35" s="702"/>
      <c r="N35" s="709"/>
      <c r="O35" s="704">
        <v>2016</v>
      </c>
    </row>
    <row r="36" spans="1:15">
      <c r="A36" s="705" t="s">
        <v>1487</v>
      </c>
      <c r="B36" s="702">
        <f t="shared" ref="B36:M36" si="6">B37+B38</f>
        <v>44.27</v>
      </c>
      <c r="C36" s="702">
        <f t="shared" si="6"/>
        <v>43.08</v>
      </c>
      <c r="D36" s="702">
        <f t="shared" si="6"/>
        <v>44.989999999999995</v>
      </c>
      <c r="E36" s="702">
        <f t="shared" si="6"/>
        <v>43.69</v>
      </c>
      <c r="F36" s="702">
        <f t="shared" si="6"/>
        <v>46.22</v>
      </c>
      <c r="G36" s="702">
        <f t="shared" si="6"/>
        <v>48.69</v>
      </c>
      <c r="H36" s="702">
        <f t="shared" si="6"/>
        <v>51.12</v>
      </c>
      <c r="I36" s="702">
        <f t="shared" si="6"/>
        <v>52.6</v>
      </c>
      <c r="J36" s="702">
        <f t="shared" si="6"/>
        <v>53.16</v>
      </c>
      <c r="K36" s="702">
        <f t="shared" si="6"/>
        <v>53.67</v>
      </c>
      <c r="L36" s="702">
        <f t="shared" si="6"/>
        <v>57.510000000000005</v>
      </c>
      <c r="M36" s="702">
        <f t="shared" si="6"/>
        <v>44.95</v>
      </c>
      <c r="N36" s="703">
        <f>SUM(B36:M36)</f>
        <v>583.95000000000005</v>
      </c>
      <c r="O36" s="706" t="s">
        <v>1488</v>
      </c>
    </row>
    <row r="37" spans="1:15">
      <c r="A37" s="707" t="s">
        <v>1489</v>
      </c>
      <c r="B37" s="702">
        <v>16.760000000000002</v>
      </c>
      <c r="C37" s="702">
        <v>16.75</v>
      </c>
      <c r="D37" s="702">
        <v>18.29</v>
      </c>
      <c r="E37" s="702">
        <v>17.82</v>
      </c>
      <c r="F37" s="702">
        <v>18.78</v>
      </c>
      <c r="G37" s="702">
        <v>20.22</v>
      </c>
      <c r="H37" s="702">
        <v>19.29</v>
      </c>
      <c r="I37" s="702">
        <v>22.12</v>
      </c>
      <c r="J37" s="702">
        <v>20.5</v>
      </c>
      <c r="K37" s="702">
        <v>22.06</v>
      </c>
      <c r="L37" s="702">
        <v>24.48</v>
      </c>
      <c r="M37" s="702">
        <v>15.86</v>
      </c>
      <c r="N37" s="703">
        <f>SUM(B37:M37)</f>
        <v>232.93</v>
      </c>
      <c r="O37" s="708" t="s">
        <v>1490</v>
      </c>
    </row>
    <row r="38" spans="1:15">
      <c r="A38" s="707" t="s">
        <v>1491</v>
      </c>
      <c r="B38" s="702">
        <v>27.51</v>
      </c>
      <c r="C38" s="702">
        <v>26.33</v>
      </c>
      <c r="D38" s="702">
        <v>26.7</v>
      </c>
      <c r="E38" s="702">
        <v>25.87</v>
      </c>
      <c r="F38" s="702">
        <v>27.44</v>
      </c>
      <c r="G38" s="702">
        <v>28.47</v>
      </c>
      <c r="H38" s="702">
        <v>31.83</v>
      </c>
      <c r="I38" s="702">
        <v>30.48</v>
      </c>
      <c r="J38" s="702">
        <v>32.659999999999997</v>
      </c>
      <c r="K38" s="702">
        <v>31.61</v>
      </c>
      <c r="L38" s="702">
        <v>33.03</v>
      </c>
      <c r="M38" s="702">
        <v>29.09</v>
      </c>
      <c r="N38" s="703">
        <f>SUM(B38:M38)</f>
        <v>351.02000000000004</v>
      </c>
      <c r="O38" s="708" t="s">
        <v>1467</v>
      </c>
    </row>
    <row r="39" spans="1:15">
      <c r="A39" s="705" t="s">
        <v>361</v>
      </c>
      <c r="B39" s="702">
        <v>28.791</v>
      </c>
      <c r="C39" s="702">
        <v>27.385000000000002</v>
      </c>
      <c r="D39" s="702">
        <v>28.641999999999999</v>
      </c>
      <c r="E39" s="702">
        <v>29.146000000000001</v>
      </c>
      <c r="F39" s="702">
        <v>30.992000000000001</v>
      </c>
      <c r="G39" s="702">
        <v>31.852</v>
      </c>
      <c r="H39" s="702">
        <v>33.47</v>
      </c>
      <c r="I39" s="702">
        <v>33.366999999999997</v>
      </c>
      <c r="J39" s="702">
        <v>29.356999999999999</v>
      </c>
      <c r="K39" s="702">
        <v>29.574000000000002</v>
      </c>
      <c r="L39" s="702">
        <v>27.873000000000001</v>
      </c>
      <c r="M39" s="702">
        <v>29.274999999999999</v>
      </c>
      <c r="N39" s="703">
        <f>SUM(B39:M39)</f>
        <v>359.72399999999993</v>
      </c>
      <c r="O39" s="706" t="s">
        <v>1492</v>
      </c>
    </row>
    <row r="40" spans="1:15">
      <c r="A40" s="701">
        <v>2017</v>
      </c>
      <c r="B40" s="702"/>
      <c r="C40" s="702"/>
      <c r="D40" s="702"/>
      <c r="E40" s="702"/>
      <c r="F40" s="702"/>
      <c r="G40" s="702"/>
      <c r="H40" s="702"/>
      <c r="I40" s="702"/>
      <c r="J40" s="702"/>
      <c r="K40" s="702"/>
      <c r="L40" s="702"/>
      <c r="M40" s="702"/>
      <c r="N40" s="709"/>
      <c r="O40" s="704">
        <v>2017</v>
      </c>
    </row>
    <row r="41" spans="1:15">
      <c r="A41" s="705" t="s">
        <v>1487</v>
      </c>
      <c r="B41" s="702">
        <f t="shared" ref="B41:M41" si="7">B42+B43</f>
        <v>47.36</v>
      </c>
      <c r="C41" s="702">
        <f t="shared" si="7"/>
        <v>43.07</v>
      </c>
      <c r="D41" s="702">
        <f t="shared" si="7"/>
        <v>47.64</v>
      </c>
      <c r="E41" s="702">
        <f t="shared" si="7"/>
        <v>48.68</v>
      </c>
      <c r="F41" s="702">
        <f t="shared" si="7"/>
        <v>51.94</v>
      </c>
      <c r="G41" s="702">
        <f t="shared" si="7"/>
        <v>52.870000000000005</v>
      </c>
      <c r="H41" s="702">
        <f t="shared" si="7"/>
        <v>59.629999999999995</v>
      </c>
      <c r="I41" s="702">
        <f t="shared" si="7"/>
        <v>57.9</v>
      </c>
      <c r="J41" s="702">
        <f t="shared" si="7"/>
        <v>59.39</v>
      </c>
      <c r="K41" s="702">
        <f t="shared" si="7"/>
        <v>59.300000000000004</v>
      </c>
      <c r="L41" s="702">
        <f t="shared" si="7"/>
        <v>58.459999999999994</v>
      </c>
      <c r="M41" s="702">
        <f t="shared" si="7"/>
        <v>52.67</v>
      </c>
      <c r="N41" s="703">
        <f>SUM(B41:M41)</f>
        <v>638.91</v>
      </c>
      <c r="O41" s="706" t="s">
        <v>1488</v>
      </c>
    </row>
    <row r="42" spans="1:15">
      <c r="A42" s="707" t="s">
        <v>1489</v>
      </c>
      <c r="B42" s="702">
        <v>19</v>
      </c>
      <c r="C42" s="702">
        <v>17.5</v>
      </c>
      <c r="D42" s="702">
        <v>20.13</v>
      </c>
      <c r="E42" s="702">
        <v>20.86</v>
      </c>
      <c r="F42" s="702">
        <v>21.3</v>
      </c>
      <c r="G42" s="702">
        <v>20.27</v>
      </c>
      <c r="H42" s="702">
        <v>23.55</v>
      </c>
      <c r="I42" s="702">
        <v>24.42</v>
      </c>
      <c r="J42" s="702">
        <v>22.13</v>
      </c>
      <c r="K42" s="702">
        <v>25.42</v>
      </c>
      <c r="L42" s="702">
        <v>22.73</v>
      </c>
      <c r="M42" s="702">
        <v>21.01</v>
      </c>
      <c r="N42" s="703">
        <f>SUM(B42:M42)</f>
        <v>258.32</v>
      </c>
      <c r="O42" s="708" t="s">
        <v>1490</v>
      </c>
    </row>
    <row r="43" spans="1:15">
      <c r="A43" s="707" t="s">
        <v>1491</v>
      </c>
      <c r="B43" s="702">
        <v>28.36</v>
      </c>
      <c r="C43" s="702">
        <v>25.57</v>
      </c>
      <c r="D43" s="702">
        <v>27.51</v>
      </c>
      <c r="E43" s="702">
        <v>27.82</v>
      </c>
      <c r="F43" s="702">
        <v>30.64</v>
      </c>
      <c r="G43" s="702">
        <v>32.6</v>
      </c>
      <c r="H43" s="702">
        <v>36.08</v>
      </c>
      <c r="I43" s="702">
        <v>33.479999999999997</v>
      </c>
      <c r="J43" s="702">
        <v>37.26</v>
      </c>
      <c r="K43" s="702">
        <v>33.880000000000003</v>
      </c>
      <c r="L43" s="702">
        <v>35.729999999999997</v>
      </c>
      <c r="M43" s="702">
        <v>31.66</v>
      </c>
      <c r="N43" s="703">
        <f>SUM(B43:M43)</f>
        <v>380.59000000000003</v>
      </c>
      <c r="O43" s="708" t="s">
        <v>1467</v>
      </c>
    </row>
    <row r="44" spans="1:15">
      <c r="A44" s="705" t="s">
        <v>361</v>
      </c>
      <c r="B44" s="702">
        <v>29.64</v>
      </c>
      <c r="C44" s="702">
        <v>25.547999999999998</v>
      </c>
      <c r="D44" s="702">
        <v>28.126000000000001</v>
      </c>
      <c r="E44" s="702">
        <v>26.815999999999999</v>
      </c>
      <c r="F44" s="702">
        <v>29.302</v>
      </c>
      <c r="G44" s="702">
        <v>28.611999999999998</v>
      </c>
      <c r="H44" s="702">
        <v>30.274000000000001</v>
      </c>
      <c r="I44" s="702">
        <v>29.965</v>
      </c>
      <c r="J44" s="702">
        <v>27.795000000000002</v>
      </c>
      <c r="K44" s="702">
        <v>29.312000000000001</v>
      </c>
      <c r="L44" s="702">
        <v>28.486999999999998</v>
      </c>
      <c r="M44" s="702">
        <v>28.965</v>
      </c>
      <c r="N44" s="703">
        <f>SUM(B44:M44)</f>
        <v>342.84200000000004</v>
      </c>
      <c r="O44" s="706" t="s">
        <v>1492</v>
      </c>
    </row>
    <row r="45" spans="1:15">
      <c r="A45" s="701">
        <v>2018</v>
      </c>
      <c r="B45" s="70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3"/>
      <c r="O45" s="704">
        <v>2018</v>
      </c>
    </row>
    <row r="46" spans="1:15">
      <c r="A46" s="705" t="s">
        <v>1487</v>
      </c>
      <c r="B46" s="702">
        <f t="shared" ref="B46:M46" si="8">B47+B48</f>
        <v>50.909492999999998</v>
      </c>
      <c r="C46" s="702">
        <f t="shared" si="8"/>
        <v>45.283179000000004</v>
      </c>
      <c r="D46" s="702">
        <f t="shared" si="8"/>
        <v>52.618143000000003</v>
      </c>
      <c r="E46" s="702">
        <f t="shared" si="8"/>
        <v>50.173375</v>
      </c>
      <c r="F46" s="702">
        <f t="shared" si="8"/>
        <v>56.850127000000001</v>
      </c>
      <c r="G46" s="702">
        <f t="shared" si="8"/>
        <v>55.508507999999999</v>
      </c>
      <c r="H46" s="702">
        <f t="shared" si="8"/>
        <v>64.727322999999998</v>
      </c>
      <c r="I46" s="702">
        <f t="shared" si="8"/>
        <v>60.835591999999998</v>
      </c>
      <c r="J46" s="702">
        <f t="shared" si="8"/>
        <v>64.184961999999999</v>
      </c>
      <c r="K46" s="702">
        <f t="shared" si="8"/>
        <v>62.745885999999999</v>
      </c>
      <c r="L46" s="702">
        <f t="shared" si="8"/>
        <v>61.403745999999998</v>
      </c>
      <c r="M46" s="702">
        <f t="shared" si="8"/>
        <v>55.902889999999999</v>
      </c>
      <c r="N46" s="703">
        <f>SUM(B46:M46)</f>
        <v>681.14322399999992</v>
      </c>
      <c r="O46" s="706" t="s">
        <v>1488</v>
      </c>
    </row>
    <row r="47" spans="1:15">
      <c r="A47" s="707" t="s">
        <v>1489</v>
      </c>
      <c r="B47" s="702">
        <v>21.742815</v>
      </c>
      <c r="C47" s="702">
        <v>19.721406999999999</v>
      </c>
      <c r="D47" s="702">
        <v>23.972013</v>
      </c>
      <c r="E47" s="702">
        <v>22.924356</v>
      </c>
      <c r="F47" s="702">
        <v>25.430498</v>
      </c>
      <c r="G47" s="702">
        <v>25.205925000000001</v>
      </c>
      <c r="H47" s="702">
        <v>28.393853</v>
      </c>
      <c r="I47" s="702">
        <v>26.949359000000001</v>
      </c>
      <c r="J47" s="702">
        <v>26.624580000000002</v>
      </c>
      <c r="K47" s="702">
        <v>26.616115000000001</v>
      </c>
      <c r="L47" s="702">
        <v>23.951229000000001</v>
      </c>
      <c r="M47" s="702">
        <v>24.682385</v>
      </c>
      <c r="N47" s="703">
        <f>SUM(B47:M47)</f>
        <v>296.21453500000007</v>
      </c>
      <c r="O47" s="708" t="s">
        <v>1490</v>
      </c>
    </row>
    <row r="48" spans="1:15">
      <c r="A48" s="707" t="s">
        <v>1491</v>
      </c>
      <c r="B48" s="702">
        <v>29.166678000000001</v>
      </c>
      <c r="C48" s="702">
        <v>25.561772000000001</v>
      </c>
      <c r="D48" s="702">
        <v>28.646129999999999</v>
      </c>
      <c r="E48" s="702">
        <v>27.249019000000001</v>
      </c>
      <c r="F48" s="702">
        <v>31.419629</v>
      </c>
      <c r="G48" s="702">
        <v>30.302582999999998</v>
      </c>
      <c r="H48" s="702">
        <v>36.333469999999998</v>
      </c>
      <c r="I48" s="702">
        <v>33.886232999999997</v>
      </c>
      <c r="J48" s="702">
        <v>37.560381999999997</v>
      </c>
      <c r="K48" s="702">
        <v>36.129770999999998</v>
      </c>
      <c r="L48" s="702">
        <v>37.452517</v>
      </c>
      <c r="M48" s="702">
        <v>31.220504999999999</v>
      </c>
      <c r="N48" s="703">
        <f>SUM(B48:M48)</f>
        <v>384.92868900000002</v>
      </c>
      <c r="O48" s="708" t="s">
        <v>1467</v>
      </c>
    </row>
    <row r="49" spans="1:15">
      <c r="A49" s="705" t="s">
        <v>361</v>
      </c>
      <c r="B49" s="702">
        <v>28.475999999999999</v>
      </c>
      <c r="C49" s="702">
        <v>26.018000000000001</v>
      </c>
      <c r="D49" s="702">
        <v>28.08</v>
      </c>
      <c r="E49" s="702">
        <v>28.074000000000002</v>
      </c>
      <c r="F49" s="702">
        <v>29.870999999999999</v>
      </c>
      <c r="G49" s="702">
        <v>30.715</v>
      </c>
      <c r="H49" s="702">
        <v>31.972000000000001</v>
      </c>
      <c r="I49" s="702">
        <v>28.247</v>
      </c>
      <c r="J49" s="702">
        <v>26.007999999999999</v>
      </c>
      <c r="K49" s="702">
        <v>28.498000000000001</v>
      </c>
      <c r="L49" s="702">
        <v>26.722999999999999</v>
      </c>
      <c r="M49" s="702">
        <v>28.774999999999999</v>
      </c>
      <c r="N49" s="703">
        <f>SUM(B49:M49)</f>
        <v>341.45699999999999</v>
      </c>
      <c r="O49" s="706" t="s">
        <v>1492</v>
      </c>
    </row>
    <row r="50" spans="1:15" ht="26.4">
      <c r="A50" s="701">
        <v>2019</v>
      </c>
      <c r="B50" s="702"/>
      <c r="C50" s="702"/>
      <c r="D50" s="702"/>
      <c r="E50" s="702"/>
      <c r="F50" s="702"/>
      <c r="G50" s="702"/>
      <c r="H50" s="702"/>
      <c r="I50" s="702"/>
      <c r="J50" s="702"/>
      <c r="K50" s="702"/>
      <c r="L50" s="702"/>
      <c r="M50" s="702"/>
      <c r="N50" s="703"/>
      <c r="O50" s="710">
        <v>2019</v>
      </c>
    </row>
    <row r="51" spans="1:15">
      <c r="A51" s="705" t="s">
        <v>1487</v>
      </c>
      <c r="B51" s="702">
        <f>B52+B53</f>
        <v>56.7</v>
      </c>
      <c r="C51" s="702">
        <f t="shared" ref="C51:M51" si="9">C52+C53</f>
        <v>51.879999999999995</v>
      </c>
      <c r="D51" s="702">
        <f t="shared" si="9"/>
        <v>54.92</v>
      </c>
      <c r="E51" s="702">
        <f t="shared" si="9"/>
        <v>53.57</v>
      </c>
      <c r="F51" s="702">
        <f t="shared" si="9"/>
        <v>74.289999999999992</v>
      </c>
      <c r="G51" s="702">
        <f t="shared" si="9"/>
        <v>55.5</v>
      </c>
      <c r="H51" s="702">
        <f t="shared" si="9"/>
        <v>71.06</v>
      </c>
      <c r="I51" s="702">
        <f t="shared" si="9"/>
        <v>60.81</v>
      </c>
      <c r="J51" s="702">
        <f t="shared" si="9"/>
        <v>66.62</v>
      </c>
      <c r="K51" s="702">
        <f t="shared" si="9"/>
        <v>72.009999999999991</v>
      </c>
      <c r="L51" s="702">
        <f t="shared" si="9"/>
        <v>51.25</v>
      </c>
      <c r="M51" s="702">
        <f t="shared" si="9"/>
        <v>59.039999999999992</v>
      </c>
      <c r="N51" s="703">
        <f>SUM(B51:M51)</f>
        <v>727.65</v>
      </c>
      <c r="O51" s="711" t="s">
        <v>1488</v>
      </c>
    </row>
    <row r="52" spans="1:15">
      <c r="A52" s="707" t="s">
        <v>1489</v>
      </c>
      <c r="B52" s="702">
        <v>24.14</v>
      </c>
      <c r="C52" s="702">
        <v>23.08</v>
      </c>
      <c r="D52" s="702">
        <v>26.12</v>
      </c>
      <c r="E52" s="702">
        <v>25.53</v>
      </c>
      <c r="F52" s="702">
        <v>41.87</v>
      </c>
      <c r="G52" s="702">
        <v>25.19</v>
      </c>
      <c r="H52" s="702">
        <v>32.39</v>
      </c>
      <c r="I52" s="702">
        <v>26.48</v>
      </c>
      <c r="J52" s="702">
        <v>28.32</v>
      </c>
      <c r="K52" s="702">
        <v>34.22</v>
      </c>
      <c r="L52" s="702">
        <v>25.2</v>
      </c>
      <c r="M52" s="702">
        <v>26.99</v>
      </c>
      <c r="N52" s="703">
        <f>SUM(B52:M52)</f>
        <v>339.53</v>
      </c>
      <c r="O52" s="708" t="s">
        <v>1490</v>
      </c>
    </row>
    <row r="53" spans="1:15">
      <c r="A53" s="707" t="s">
        <v>1491</v>
      </c>
      <c r="B53" s="702">
        <v>32.56</v>
      </c>
      <c r="C53" s="702">
        <v>28.8</v>
      </c>
      <c r="D53" s="702">
        <v>28.8</v>
      </c>
      <c r="E53" s="702">
        <v>28.04</v>
      </c>
      <c r="F53" s="702">
        <v>32.42</v>
      </c>
      <c r="G53" s="702">
        <v>30.31</v>
      </c>
      <c r="H53" s="702">
        <v>38.67</v>
      </c>
      <c r="I53" s="702">
        <v>34.33</v>
      </c>
      <c r="J53" s="702">
        <v>38.299999999999997</v>
      </c>
      <c r="K53" s="702">
        <v>37.79</v>
      </c>
      <c r="L53" s="702">
        <v>26.05</v>
      </c>
      <c r="M53" s="702">
        <v>32.049999999999997</v>
      </c>
      <c r="N53" s="703">
        <f>SUM(B53:M53)</f>
        <v>388.12000000000006</v>
      </c>
      <c r="O53" s="708" t="s">
        <v>1467</v>
      </c>
    </row>
    <row r="54" spans="1:15">
      <c r="A54" s="705" t="s">
        <v>361</v>
      </c>
      <c r="B54" s="702">
        <v>28.145</v>
      </c>
      <c r="C54" s="702">
        <v>27.094999999999999</v>
      </c>
      <c r="D54" s="702">
        <v>30.302</v>
      </c>
      <c r="E54" s="702">
        <v>28.251000000000001</v>
      </c>
      <c r="F54" s="702">
        <v>30.93</v>
      </c>
      <c r="G54" s="702">
        <v>32.07</v>
      </c>
      <c r="H54" s="702">
        <v>32.326000000000001</v>
      </c>
      <c r="I54" s="702">
        <v>34.091000000000001</v>
      </c>
      <c r="J54" s="702">
        <v>32.468000000000004</v>
      </c>
      <c r="K54" s="702">
        <v>33.137</v>
      </c>
      <c r="L54" s="702">
        <v>30.370999999999999</v>
      </c>
      <c r="M54" s="702">
        <v>32.509</v>
      </c>
      <c r="N54" s="703">
        <f>SUM(B54:M54)</f>
        <v>371.69499999999999</v>
      </c>
      <c r="O54" s="706" t="s">
        <v>1492</v>
      </c>
    </row>
    <row r="55" spans="1:15" ht="26.4">
      <c r="A55" s="701">
        <v>2020</v>
      </c>
      <c r="B55" s="702"/>
      <c r="C55" s="702"/>
      <c r="D55" s="702"/>
      <c r="E55" s="702"/>
      <c r="F55" s="702"/>
      <c r="G55" s="702"/>
      <c r="H55" s="702"/>
      <c r="I55" s="702"/>
      <c r="J55" s="702"/>
      <c r="K55" s="702"/>
      <c r="L55" s="702"/>
      <c r="M55" s="702"/>
      <c r="N55" s="703"/>
      <c r="O55" s="710">
        <v>2020</v>
      </c>
    </row>
    <row r="56" spans="1:15">
      <c r="A56" s="705" t="s">
        <v>1487</v>
      </c>
      <c r="B56" s="702">
        <f>B57+B58</f>
        <v>59.97</v>
      </c>
      <c r="C56" s="702">
        <f t="shared" ref="C56:M56" si="10">C57+C58</f>
        <v>59.430000000000007</v>
      </c>
      <c r="D56" s="702">
        <f t="shared" si="10"/>
        <v>62.81</v>
      </c>
      <c r="E56" s="702">
        <f t="shared" si="10"/>
        <v>63.81</v>
      </c>
      <c r="F56" s="702">
        <f t="shared" si="10"/>
        <v>67.099999999999994</v>
      </c>
      <c r="G56" s="702">
        <f t="shared" si="10"/>
        <v>62.33</v>
      </c>
      <c r="H56" s="702">
        <f t="shared" si="10"/>
        <v>72.849999999999994</v>
      </c>
      <c r="I56" s="702">
        <f t="shared" si="10"/>
        <v>71.13</v>
      </c>
      <c r="J56" s="702">
        <f t="shared" si="10"/>
        <v>79.069999999999993</v>
      </c>
      <c r="K56" s="702">
        <f t="shared" si="10"/>
        <v>76.56</v>
      </c>
      <c r="L56" s="702">
        <f t="shared" si="10"/>
        <v>72.510000000000005</v>
      </c>
      <c r="M56" s="702">
        <f t="shared" si="10"/>
        <v>62.5</v>
      </c>
      <c r="N56" s="703">
        <f>SUM(B56:M56)</f>
        <v>810.06999999999994</v>
      </c>
      <c r="O56" s="706" t="s">
        <v>1488</v>
      </c>
    </row>
    <row r="57" spans="1:15">
      <c r="A57" s="707" t="s">
        <v>1489</v>
      </c>
      <c r="B57" s="702">
        <f>'[38]Table 2'!$D$14</f>
        <v>25.55</v>
      </c>
      <c r="C57" s="702">
        <v>29.17</v>
      </c>
      <c r="D57" s="702">
        <v>30.26</v>
      </c>
      <c r="E57" s="702">
        <v>28.96</v>
      </c>
      <c r="F57" s="702">
        <v>28.47</v>
      </c>
      <c r="G57" s="702">
        <v>29.42</v>
      </c>
      <c r="H57" s="702">
        <v>33.700000000000003</v>
      </c>
      <c r="I57" s="702">
        <v>31.89</v>
      </c>
      <c r="J57" s="702">
        <v>33.65</v>
      </c>
      <c r="K57" s="702">
        <v>34.81</v>
      </c>
      <c r="L57" s="702">
        <v>31.95</v>
      </c>
      <c r="M57" s="702">
        <v>30.09</v>
      </c>
      <c r="N57" s="703">
        <f>SUM(B57:M57)</f>
        <v>367.9199999999999</v>
      </c>
      <c r="O57" s="708" t="s">
        <v>1490</v>
      </c>
    </row>
    <row r="58" spans="1:15">
      <c r="A58" s="707" t="s">
        <v>1491</v>
      </c>
      <c r="B58" s="702">
        <f>'[38]Table 2'!$C$14</f>
        <v>34.42</v>
      </c>
      <c r="C58" s="702">
        <v>30.26</v>
      </c>
      <c r="D58" s="702">
        <v>32.549999999999997</v>
      </c>
      <c r="E58" s="702">
        <v>34.85</v>
      </c>
      <c r="F58" s="702">
        <v>38.630000000000003</v>
      </c>
      <c r="G58" s="702">
        <v>32.909999999999997</v>
      </c>
      <c r="H58" s="702">
        <v>39.15</v>
      </c>
      <c r="I58" s="702">
        <v>39.24</v>
      </c>
      <c r="J58" s="702">
        <v>45.42</v>
      </c>
      <c r="K58" s="702">
        <v>41.75</v>
      </c>
      <c r="L58" s="702">
        <v>40.56</v>
      </c>
      <c r="M58" s="702">
        <v>32.409999999999997</v>
      </c>
      <c r="N58" s="703">
        <f>SUM(B58:M58)</f>
        <v>442.15</v>
      </c>
      <c r="O58" s="708" t="s">
        <v>1467</v>
      </c>
    </row>
    <row r="59" spans="1:15">
      <c r="A59" s="705" t="s">
        <v>361</v>
      </c>
      <c r="B59" s="702">
        <v>29.835999999999999</v>
      </c>
      <c r="C59" s="702">
        <v>27.863</v>
      </c>
      <c r="D59" s="702">
        <v>30.751000000000001</v>
      </c>
      <c r="E59" s="702">
        <v>30.262</v>
      </c>
      <c r="F59" s="702">
        <v>33.22</v>
      </c>
      <c r="G59" s="702">
        <v>32.872</v>
      </c>
      <c r="H59" s="702">
        <v>34.57</v>
      </c>
      <c r="I59" s="702">
        <v>34.090000000000003</v>
      </c>
      <c r="J59" s="702">
        <v>33.625999999999998</v>
      </c>
      <c r="K59" s="702">
        <v>31.826000000000001</v>
      </c>
      <c r="L59" s="702">
        <v>30.581</v>
      </c>
      <c r="M59" s="702">
        <v>30.094999999999999</v>
      </c>
      <c r="N59" s="703">
        <v>379.59199999999998</v>
      </c>
      <c r="O59" s="706" t="s">
        <v>1492</v>
      </c>
    </row>
    <row r="60" spans="1:15" ht="30">
      <c r="A60" s="712">
        <v>2021</v>
      </c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4"/>
      <c r="O60" s="715">
        <v>2021</v>
      </c>
    </row>
    <row r="61" spans="1:15">
      <c r="A61" s="705" t="s">
        <v>1487</v>
      </c>
      <c r="B61" s="702">
        <f>B62+B63</f>
        <v>72.3</v>
      </c>
      <c r="C61" s="702">
        <f t="shared" ref="C61:M61" si="11">C62+C63</f>
        <v>54.08</v>
      </c>
      <c r="D61" s="702">
        <f t="shared" si="11"/>
        <v>64.760000000000005</v>
      </c>
      <c r="E61" s="702">
        <f t="shared" si="11"/>
        <v>60.83</v>
      </c>
      <c r="F61" s="702">
        <f t="shared" si="11"/>
        <v>67.11</v>
      </c>
      <c r="G61" s="702">
        <f t="shared" si="11"/>
        <v>70.53</v>
      </c>
      <c r="H61" s="702">
        <f t="shared" si="11"/>
        <v>79.72999999999999</v>
      </c>
      <c r="I61" s="702">
        <f t="shared" si="11"/>
        <v>76.259999999999991</v>
      </c>
      <c r="J61" s="702">
        <f t="shared" si="11"/>
        <v>79.69</v>
      </c>
      <c r="K61" s="702">
        <f t="shared" si="11"/>
        <v>78.551706999999993</v>
      </c>
      <c r="L61" s="702">
        <f t="shared" si="11"/>
        <v>84.855387000000007</v>
      </c>
      <c r="M61" s="702">
        <f t="shared" si="11"/>
        <v>82.147940000000006</v>
      </c>
      <c r="N61" s="703">
        <f>SUM(B61:M61)</f>
        <v>870.84503399999994</v>
      </c>
      <c r="O61" s="706" t="s">
        <v>1488</v>
      </c>
    </row>
    <row r="62" spans="1:15">
      <c r="A62" s="707" t="s">
        <v>1489</v>
      </c>
      <c r="B62" s="702">
        <v>35.04</v>
      </c>
      <c r="C62" s="702">
        <v>27.04</v>
      </c>
      <c r="D62" s="702">
        <v>32.340000000000003</v>
      </c>
      <c r="E62" s="702">
        <v>29.57</v>
      </c>
      <c r="F62" s="702">
        <v>30.7</v>
      </c>
      <c r="G62" s="702">
        <v>33.869999999999997</v>
      </c>
      <c r="H62" s="702">
        <v>38.93</v>
      </c>
      <c r="I62" s="702">
        <v>34.18</v>
      </c>
      <c r="J62" s="702">
        <v>35.57</v>
      </c>
      <c r="K62" s="702">
        <v>37.178049000000001</v>
      </c>
      <c r="L62" s="702">
        <v>36.092072000000002</v>
      </c>
      <c r="M62" s="702">
        <v>36.306246000000002</v>
      </c>
      <c r="N62" s="703">
        <f>SUM(B62:M62)</f>
        <v>406.81636700000001</v>
      </c>
      <c r="O62" s="708" t="s">
        <v>1490</v>
      </c>
    </row>
    <row r="63" spans="1:15">
      <c r="A63" s="707" t="s">
        <v>1491</v>
      </c>
      <c r="B63" s="702">
        <v>37.26</v>
      </c>
      <c r="C63" s="702">
        <v>27.04</v>
      </c>
      <c r="D63" s="702">
        <v>32.42</v>
      </c>
      <c r="E63" s="702">
        <v>31.26</v>
      </c>
      <c r="F63" s="702">
        <v>36.409999999999997</v>
      </c>
      <c r="G63" s="702">
        <v>36.659999999999997</v>
      </c>
      <c r="H63" s="702">
        <v>40.799999999999997</v>
      </c>
      <c r="I63" s="702">
        <v>42.08</v>
      </c>
      <c r="J63" s="702">
        <v>44.12</v>
      </c>
      <c r="K63" s="702">
        <v>41.373657999999999</v>
      </c>
      <c r="L63" s="702">
        <v>48.763314999999999</v>
      </c>
      <c r="M63" s="702">
        <v>45.841693999999997</v>
      </c>
      <c r="N63" s="703">
        <f>SUM(B63:M63)</f>
        <v>464.02866699999993</v>
      </c>
      <c r="O63" s="708" t="s">
        <v>1467</v>
      </c>
    </row>
    <row r="64" spans="1:15">
      <c r="A64" s="705" t="s">
        <v>361</v>
      </c>
      <c r="B64" s="702">
        <v>27.227</v>
      </c>
      <c r="C64" s="702">
        <v>27.483000000000001</v>
      </c>
      <c r="D64" s="702">
        <v>31.728000000000002</v>
      </c>
      <c r="E64" s="702">
        <v>30.388999999999999</v>
      </c>
      <c r="F64" s="702">
        <v>31.555</v>
      </c>
      <c r="G64" s="702">
        <v>32.987000000000002</v>
      </c>
      <c r="H64" s="702">
        <v>36.898000000000003</v>
      </c>
      <c r="I64" s="702">
        <v>37.933</v>
      </c>
      <c r="J64" s="702">
        <v>36.654000000000003</v>
      </c>
      <c r="K64" s="702">
        <v>32.609000000000002</v>
      </c>
      <c r="L64" s="702">
        <v>29.149000000000001</v>
      </c>
      <c r="M64" s="702">
        <v>29.468</v>
      </c>
      <c r="N64" s="703">
        <v>383.07900000000001</v>
      </c>
      <c r="O64" s="706" t="s">
        <v>1492</v>
      </c>
    </row>
    <row r="65" spans="1:15" ht="30">
      <c r="A65" s="712">
        <v>2022</v>
      </c>
      <c r="B65" s="713"/>
      <c r="C65" s="713"/>
      <c r="D65" s="713"/>
      <c r="E65" s="713"/>
      <c r="F65" s="713"/>
      <c r="G65" s="713"/>
      <c r="H65" s="713"/>
      <c r="I65" s="713"/>
      <c r="J65" s="713"/>
      <c r="K65" s="713"/>
      <c r="L65" s="713"/>
      <c r="M65" s="713"/>
      <c r="N65" s="714"/>
      <c r="O65" s="715"/>
    </row>
    <row r="66" spans="1:15">
      <c r="A66" s="705" t="s">
        <v>1487</v>
      </c>
      <c r="B66" s="702">
        <v>72.5</v>
      </c>
      <c r="C66" s="702">
        <v>66.900000000000006</v>
      </c>
      <c r="D66" s="702">
        <v>69.099999999999994</v>
      </c>
      <c r="E66" s="702">
        <v>69.099999999999994</v>
      </c>
      <c r="F66" s="702">
        <v>75.900000000000006</v>
      </c>
      <c r="G66" s="702">
        <v>81.599999999999994</v>
      </c>
      <c r="H66" s="702">
        <v>92.7</v>
      </c>
      <c r="I66" s="702">
        <v>74.900000000000006</v>
      </c>
      <c r="J66" s="702">
        <v>84.7</v>
      </c>
      <c r="K66" s="702">
        <v>110.7</v>
      </c>
      <c r="L66" s="702">
        <v>64.3</v>
      </c>
      <c r="M66" s="702">
        <v>83.6</v>
      </c>
      <c r="N66" s="703">
        <v>945.9</v>
      </c>
      <c r="O66" s="706" t="s">
        <v>1488</v>
      </c>
    </row>
    <row r="67" spans="1:15">
      <c r="A67" s="707" t="s">
        <v>1489</v>
      </c>
      <c r="B67" s="702">
        <v>35.1</v>
      </c>
      <c r="C67" s="702">
        <v>32.799999999999997</v>
      </c>
      <c r="D67" s="702">
        <v>34.5</v>
      </c>
      <c r="E67" s="702">
        <v>33.6</v>
      </c>
      <c r="F67" s="702">
        <v>35.200000000000003</v>
      </c>
      <c r="G67" s="702">
        <v>38.200000000000003</v>
      </c>
      <c r="H67" s="702">
        <v>46.2</v>
      </c>
      <c r="I67" s="702">
        <v>38.700000000000003</v>
      </c>
      <c r="J67" s="702">
        <v>38</v>
      </c>
      <c r="K67" s="702">
        <v>62.2</v>
      </c>
      <c r="L67" s="702">
        <v>17.100000000000001</v>
      </c>
      <c r="M67" s="702">
        <v>38.299999999999997</v>
      </c>
      <c r="N67" s="703">
        <v>449.9</v>
      </c>
      <c r="O67" s="708" t="s">
        <v>1493</v>
      </c>
    </row>
    <row r="68" spans="1:15">
      <c r="A68" s="707" t="s">
        <v>1491</v>
      </c>
      <c r="B68" s="702">
        <v>37.5</v>
      </c>
      <c r="C68" s="702">
        <v>34.1</v>
      </c>
      <c r="D68" s="702">
        <v>34.6</v>
      </c>
      <c r="E68" s="702">
        <v>35.5</v>
      </c>
      <c r="F68" s="702">
        <v>40.6</v>
      </c>
      <c r="G68" s="702">
        <v>43.5</v>
      </c>
      <c r="H68" s="702">
        <v>46.4</v>
      </c>
      <c r="I68" s="702">
        <v>36.200000000000003</v>
      </c>
      <c r="J68" s="702">
        <v>46.7</v>
      </c>
      <c r="K68" s="702">
        <v>48.4</v>
      </c>
      <c r="L68" s="702">
        <v>47.2</v>
      </c>
      <c r="M68" s="702">
        <v>45.4</v>
      </c>
      <c r="N68" s="703">
        <v>496.1</v>
      </c>
      <c r="O68" s="708" t="s">
        <v>1467</v>
      </c>
    </row>
    <row r="69" spans="1:15">
      <c r="A69" s="705" t="s">
        <v>361</v>
      </c>
      <c r="B69" s="702"/>
      <c r="C69" s="702"/>
      <c r="D69" s="702"/>
      <c r="E69" s="702"/>
      <c r="F69" s="702"/>
      <c r="G69" s="702"/>
      <c r="H69" s="702"/>
      <c r="I69" s="702"/>
      <c r="J69" s="702"/>
      <c r="K69" s="702"/>
      <c r="L69" s="702"/>
      <c r="M69" s="702"/>
      <c r="N69" s="703"/>
      <c r="O69" s="706" t="s">
        <v>362</v>
      </c>
    </row>
    <row r="70" spans="1:15" ht="30">
      <c r="A70" s="712">
        <v>2023</v>
      </c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4"/>
      <c r="O70" s="715"/>
    </row>
    <row r="71" spans="1:15">
      <c r="A71" s="705" t="s">
        <v>1487</v>
      </c>
      <c r="B71" s="702">
        <v>72.7</v>
      </c>
      <c r="C71" s="702">
        <v>76.599999999999994</v>
      </c>
      <c r="D71" s="702">
        <v>78.900000000000006</v>
      </c>
      <c r="E71" s="702">
        <v>75.5</v>
      </c>
      <c r="F71" s="702">
        <v>83</v>
      </c>
      <c r="G71" s="702">
        <v>102.4</v>
      </c>
      <c r="H71" s="702"/>
      <c r="I71" s="702"/>
      <c r="J71" s="702"/>
      <c r="K71" s="702">
        <v>94.8</v>
      </c>
      <c r="L71" s="702">
        <v>99.6</v>
      </c>
      <c r="M71" s="702">
        <v>134.30000000000001</v>
      </c>
      <c r="N71" s="703">
        <v>817.8</v>
      </c>
      <c r="O71" s="706" t="s">
        <v>1488</v>
      </c>
    </row>
    <row r="72" spans="1:15">
      <c r="A72" s="707" t="s">
        <v>1489</v>
      </c>
      <c r="B72" s="702">
        <v>33.9</v>
      </c>
      <c r="C72" s="702">
        <v>38.6</v>
      </c>
      <c r="D72" s="702">
        <v>42.7</v>
      </c>
      <c r="E72" s="702">
        <v>40.1</v>
      </c>
      <c r="F72" s="702">
        <v>44.9</v>
      </c>
      <c r="G72" s="702">
        <v>38.6</v>
      </c>
      <c r="H72" s="702"/>
      <c r="I72" s="702"/>
      <c r="J72" s="702"/>
      <c r="K72" s="702">
        <v>52</v>
      </c>
      <c r="L72" s="702">
        <v>58.1</v>
      </c>
      <c r="M72" s="702">
        <v>49.6</v>
      </c>
      <c r="N72" s="703">
        <v>398.2</v>
      </c>
      <c r="O72" s="708" t="s">
        <v>1493</v>
      </c>
    </row>
    <row r="73" spans="1:15">
      <c r="A73" s="707" t="s">
        <v>1491</v>
      </c>
      <c r="B73" s="702">
        <v>38.799999999999997</v>
      </c>
      <c r="C73" s="702">
        <v>38.1</v>
      </c>
      <c r="D73" s="702">
        <v>36.299999999999997</v>
      </c>
      <c r="E73" s="702">
        <v>35.5</v>
      </c>
      <c r="F73" s="702">
        <v>38.1</v>
      </c>
      <c r="G73" s="702">
        <v>63.8</v>
      </c>
      <c r="H73" s="702"/>
      <c r="I73" s="702"/>
      <c r="J73" s="702"/>
      <c r="K73" s="702">
        <v>42.8</v>
      </c>
      <c r="L73" s="702">
        <v>41.5</v>
      </c>
      <c r="M73" s="702">
        <v>84.7</v>
      </c>
      <c r="N73" s="703">
        <v>419.6</v>
      </c>
      <c r="O73" s="708" t="s">
        <v>1467</v>
      </c>
    </row>
    <row r="74" spans="1:15">
      <c r="A74" s="705" t="s">
        <v>361</v>
      </c>
      <c r="B74" s="702"/>
      <c r="C74" s="702"/>
      <c r="D74" s="702"/>
      <c r="E74" s="702"/>
      <c r="F74" s="702"/>
      <c r="G74" s="702"/>
      <c r="H74" s="702"/>
      <c r="I74" s="702"/>
      <c r="J74" s="702"/>
      <c r="K74" s="702"/>
      <c r="L74" s="702"/>
      <c r="M74" s="702"/>
      <c r="N74" s="703"/>
      <c r="O74" s="706" t="s">
        <v>362</v>
      </c>
    </row>
    <row r="75" spans="1:15" ht="26.4">
      <c r="A75" s="716" t="s">
        <v>1494</v>
      </c>
      <c r="B75" s="717"/>
      <c r="C75" s="717"/>
      <c r="D75" s="717"/>
      <c r="E75" s="717"/>
      <c r="F75" s="717"/>
      <c r="G75" s="717"/>
      <c r="H75" s="717"/>
      <c r="I75" s="717"/>
      <c r="J75" s="717"/>
      <c r="K75" s="717"/>
      <c r="L75" s="717"/>
      <c r="M75" s="717"/>
      <c r="N75" s="717"/>
      <c r="O75" s="718" t="s">
        <v>1495</v>
      </c>
    </row>
    <row r="76" spans="1:15" ht="26.4">
      <c r="A76" s="719"/>
      <c r="B76" s="720"/>
      <c r="C76" s="721"/>
      <c r="D76" s="721"/>
      <c r="E76" s="721"/>
      <c r="F76" s="721"/>
      <c r="G76" s="721"/>
      <c r="H76" s="721"/>
      <c r="I76" s="721"/>
      <c r="J76" s="721"/>
      <c r="O76" s="7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H9"/>
  <sheetViews>
    <sheetView workbookViewId="0">
      <selection activeCell="L3" sqref="L3"/>
    </sheetView>
  </sheetViews>
  <sheetFormatPr baseColWidth="10" defaultRowHeight="14.4"/>
  <sheetData>
    <row r="2" spans="1:8" ht="43.2">
      <c r="A2" s="870" t="s">
        <v>1496</v>
      </c>
      <c r="B2" s="870"/>
      <c r="C2" s="870"/>
      <c r="D2" s="870"/>
      <c r="E2" s="870"/>
      <c r="F2" s="870"/>
      <c r="G2" s="870"/>
      <c r="H2" s="870"/>
    </row>
    <row r="3" spans="1:8" ht="43.2">
      <c r="A3" s="726"/>
      <c r="B3" s="726"/>
      <c r="C3" s="726"/>
      <c r="D3" s="726"/>
      <c r="E3" s="726"/>
      <c r="F3" s="726"/>
      <c r="G3" s="726"/>
      <c r="H3" s="726"/>
    </row>
    <row r="4" spans="1:8" ht="43.2">
      <c r="A4" s="870" t="s">
        <v>895</v>
      </c>
      <c r="B4" s="870"/>
      <c r="C4" s="870"/>
      <c r="D4" s="870"/>
      <c r="E4" s="870"/>
      <c r="F4" s="870"/>
      <c r="G4" s="870"/>
      <c r="H4" s="870"/>
    </row>
    <row r="5" spans="1:8">
      <c r="A5" s="727"/>
      <c r="B5" s="727"/>
      <c r="C5" s="727"/>
      <c r="D5" s="727"/>
      <c r="E5" s="727"/>
      <c r="F5" s="727"/>
      <c r="G5" s="727"/>
      <c r="H5" s="727"/>
    </row>
    <row r="6" spans="1:8" ht="14.4" customHeight="1">
      <c r="A6" s="871" t="s">
        <v>1497</v>
      </c>
      <c r="B6" s="871"/>
      <c r="C6" s="871"/>
      <c r="D6" s="871"/>
      <c r="E6" s="871"/>
      <c r="F6" s="871"/>
      <c r="G6" s="871"/>
      <c r="H6" s="871"/>
    </row>
    <row r="7" spans="1:8" ht="14.4" customHeight="1">
      <c r="A7" s="871"/>
      <c r="B7" s="871"/>
      <c r="C7" s="871"/>
      <c r="D7" s="871"/>
      <c r="E7" s="871"/>
      <c r="F7" s="871"/>
      <c r="G7" s="871"/>
      <c r="H7" s="871"/>
    </row>
    <row r="8" spans="1:8" s="191" customFormat="1" ht="45">
      <c r="A8" s="728"/>
      <c r="B8" s="728"/>
      <c r="C8" s="728"/>
      <c r="D8" s="728"/>
      <c r="E8" s="728"/>
      <c r="F8" s="728"/>
      <c r="G8" s="728"/>
      <c r="H8" s="728"/>
    </row>
    <row r="9" spans="1:8" s="191" customFormat="1" ht="45">
      <c r="A9" s="871" t="s">
        <v>896</v>
      </c>
      <c r="B9" s="871"/>
      <c r="C9" s="871"/>
      <c r="D9" s="871"/>
      <c r="E9" s="871"/>
      <c r="F9" s="871"/>
      <c r="G9" s="871"/>
      <c r="H9" s="871"/>
    </row>
  </sheetData>
  <mergeCells count="4">
    <mergeCell ref="A2:H2"/>
    <mergeCell ref="A4:H4"/>
    <mergeCell ref="A6:H7"/>
    <mergeCell ref="A9:H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/>
  </sheetPr>
  <dimension ref="A1:F152"/>
  <sheetViews>
    <sheetView zoomScale="88" workbookViewId="0">
      <selection activeCell="J4" sqref="J4"/>
    </sheetView>
  </sheetViews>
  <sheetFormatPr baseColWidth="10" defaultRowHeight="14.4"/>
  <cols>
    <col min="2" max="2" width="26.21875" customWidth="1"/>
    <col min="3" max="3" width="23.44140625" customWidth="1"/>
    <col min="4" max="4" width="29.77734375" customWidth="1"/>
    <col min="5" max="5" width="17.109375" customWidth="1"/>
    <col min="6" max="6" width="25.109375" customWidth="1"/>
  </cols>
  <sheetData>
    <row r="1" spans="1:6" ht="15" thickBot="1"/>
    <row r="2" spans="1:6" ht="27" thickBot="1">
      <c r="A2" s="732" t="s">
        <v>1498</v>
      </c>
    </row>
    <row r="3" spans="1:6" ht="15" thickBot="1"/>
    <row r="4" spans="1:6" ht="26.4">
      <c r="A4" s="872"/>
      <c r="B4" s="874" t="s">
        <v>354</v>
      </c>
      <c r="C4" s="874"/>
      <c r="D4" s="874"/>
      <c r="E4" s="874" t="s">
        <v>355</v>
      </c>
      <c r="F4" s="875"/>
    </row>
    <row r="5" spans="1:6" ht="26.4">
      <c r="A5" s="873"/>
      <c r="B5" s="679" t="s">
        <v>356</v>
      </c>
      <c r="C5" s="679" t="s">
        <v>357</v>
      </c>
      <c r="D5" s="679" t="s">
        <v>358</v>
      </c>
      <c r="E5" s="679" t="s">
        <v>356</v>
      </c>
      <c r="F5" s="729" t="s">
        <v>357</v>
      </c>
    </row>
    <row r="6" spans="1:6" ht="24.6">
      <c r="A6" s="730">
        <v>40909</v>
      </c>
      <c r="B6" s="309">
        <v>11185</v>
      </c>
      <c r="C6" s="309">
        <v>10588</v>
      </c>
      <c r="D6" s="309">
        <v>21773</v>
      </c>
      <c r="E6" s="309">
        <v>156</v>
      </c>
      <c r="F6" s="312">
        <v>156</v>
      </c>
    </row>
    <row r="7" spans="1:6" ht="24.6">
      <c r="A7" s="730">
        <v>40940</v>
      </c>
      <c r="B7" s="309">
        <v>9710</v>
      </c>
      <c r="C7" s="309">
        <v>10431</v>
      </c>
      <c r="D7" s="309">
        <v>20141</v>
      </c>
      <c r="E7" s="309">
        <v>142</v>
      </c>
      <c r="F7" s="312">
        <v>142</v>
      </c>
    </row>
    <row r="8" spans="1:6" ht="24.6">
      <c r="A8" s="730">
        <v>40969</v>
      </c>
      <c r="B8" s="309">
        <v>10999</v>
      </c>
      <c r="C8" s="309">
        <v>12362</v>
      </c>
      <c r="D8" s="309">
        <v>23361</v>
      </c>
      <c r="E8" s="309">
        <v>154</v>
      </c>
      <c r="F8" s="312">
        <v>154</v>
      </c>
    </row>
    <row r="9" spans="1:6" ht="24.6">
      <c r="A9" s="730">
        <v>41000</v>
      </c>
      <c r="B9" s="309">
        <v>10903</v>
      </c>
      <c r="C9" s="309">
        <v>12076</v>
      </c>
      <c r="D9" s="309">
        <v>22979</v>
      </c>
      <c r="E9" s="309">
        <v>145</v>
      </c>
      <c r="F9" s="312">
        <v>145</v>
      </c>
    </row>
    <row r="10" spans="1:6" ht="24.6">
      <c r="A10" s="730">
        <v>41030</v>
      </c>
      <c r="B10" s="309">
        <v>11233</v>
      </c>
      <c r="C10" s="309">
        <v>12250</v>
      </c>
      <c r="D10" s="309">
        <v>23483</v>
      </c>
      <c r="E10" s="309">
        <v>147</v>
      </c>
      <c r="F10" s="312">
        <v>147</v>
      </c>
    </row>
    <row r="11" spans="1:6" ht="24.6">
      <c r="A11" s="730">
        <v>41061</v>
      </c>
      <c r="B11" s="309">
        <v>12683</v>
      </c>
      <c r="C11" s="309">
        <v>13166</v>
      </c>
      <c r="D11" s="309">
        <v>25849</v>
      </c>
      <c r="E11" s="309">
        <v>143</v>
      </c>
      <c r="F11" s="312">
        <v>143</v>
      </c>
    </row>
    <row r="12" spans="1:6" ht="24.6">
      <c r="A12" s="730">
        <v>41091</v>
      </c>
      <c r="B12" s="309">
        <v>13149</v>
      </c>
      <c r="C12" s="309">
        <v>15723</v>
      </c>
      <c r="D12" s="309">
        <v>28872</v>
      </c>
      <c r="E12" s="309">
        <v>170</v>
      </c>
      <c r="F12" s="312">
        <v>170</v>
      </c>
    </row>
    <row r="13" spans="1:6" ht="24.6">
      <c r="A13" s="730">
        <v>41122</v>
      </c>
      <c r="B13" s="309">
        <v>12657</v>
      </c>
      <c r="C13" s="309">
        <v>14087</v>
      </c>
      <c r="D13" s="309">
        <v>26744</v>
      </c>
      <c r="E13" s="309">
        <v>179</v>
      </c>
      <c r="F13" s="312">
        <v>179</v>
      </c>
    </row>
    <row r="14" spans="1:6" ht="24.6">
      <c r="A14" s="730">
        <v>41153</v>
      </c>
      <c r="B14" s="309">
        <v>13053</v>
      </c>
      <c r="C14" s="309">
        <v>15401</v>
      </c>
      <c r="D14" s="309">
        <v>28454</v>
      </c>
      <c r="E14" s="309">
        <v>180</v>
      </c>
      <c r="F14" s="312">
        <v>180</v>
      </c>
    </row>
    <row r="15" spans="1:6" ht="24.6">
      <c r="A15" s="730">
        <v>41183</v>
      </c>
      <c r="B15" s="309">
        <v>12555</v>
      </c>
      <c r="C15" s="309">
        <v>14546</v>
      </c>
      <c r="D15" s="309">
        <v>27101</v>
      </c>
      <c r="E15" s="309">
        <v>192</v>
      </c>
      <c r="F15" s="312">
        <v>192</v>
      </c>
    </row>
    <row r="16" spans="1:6" ht="24.6">
      <c r="A16" s="730">
        <v>41214</v>
      </c>
      <c r="B16" s="309">
        <v>12542</v>
      </c>
      <c r="C16" s="309">
        <v>11540</v>
      </c>
      <c r="D16" s="309">
        <v>24082</v>
      </c>
      <c r="E16" s="309">
        <v>186</v>
      </c>
      <c r="F16" s="312">
        <v>186</v>
      </c>
    </row>
    <row r="17" spans="1:6" ht="24.6">
      <c r="A17" s="730">
        <v>41244</v>
      </c>
      <c r="B17" s="309">
        <v>10894</v>
      </c>
      <c r="C17" s="309">
        <v>11867</v>
      </c>
      <c r="D17" s="309">
        <v>22761</v>
      </c>
      <c r="E17" s="309">
        <v>187</v>
      </c>
      <c r="F17" s="312">
        <v>187</v>
      </c>
    </row>
    <row r="18" spans="1:6" ht="24.6">
      <c r="A18" s="730">
        <v>41275</v>
      </c>
      <c r="B18" s="309">
        <v>9765</v>
      </c>
      <c r="C18" s="309">
        <v>8548</v>
      </c>
      <c r="D18" s="309">
        <v>18313</v>
      </c>
      <c r="E18" s="309">
        <v>188</v>
      </c>
      <c r="F18" s="312">
        <v>188</v>
      </c>
    </row>
    <row r="19" spans="1:6" ht="24.6">
      <c r="A19" s="730">
        <v>41306</v>
      </c>
      <c r="B19" s="309">
        <v>7584</v>
      </c>
      <c r="C19" s="309">
        <v>8751</v>
      </c>
      <c r="D19" s="309">
        <v>16335</v>
      </c>
      <c r="E19" s="309">
        <v>175</v>
      </c>
      <c r="F19" s="312">
        <v>175</v>
      </c>
    </row>
    <row r="20" spans="1:6" ht="24.6">
      <c r="A20" s="730">
        <v>41334</v>
      </c>
      <c r="B20" s="309">
        <v>9139</v>
      </c>
      <c r="C20" s="309">
        <v>10201</v>
      </c>
      <c r="D20" s="309">
        <v>19340</v>
      </c>
      <c r="E20" s="309">
        <v>207</v>
      </c>
      <c r="F20" s="312">
        <v>207</v>
      </c>
    </row>
    <row r="21" spans="1:6" ht="24.6">
      <c r="A21" s="730">
        <v>41365</v>
      </c>
      <c r="B21" s="309">
        <v>8746</v>
      </c>
      <c r="C21" s="309">
        <v>9600</v>
      </c>
      <c r="D21" s="309">
        <v>18346</v>
      </c>
      <c r="E21" s="309">
        <v>214</v>
      </c>
      <c r="F21" s="312">
        <v>214</v>
      </c>
    </row>
    <row r="22" spans="1:6" ht="24.6">
      <c r="A22" s="730">
        <v>41395</v>
      </c>
      <c r="B22" s="309">
        <v>9055</v>
      </c>
      <c r="C22" s="309">
        <v>9900</v>
      </c>
      <c r="D22" s="309">
        <v>18955</v>
      </c>
      <c r="E22" s="309">
        <v>240</v>
      </c>
      <c r="F22" s="312">
        <v>240</v>
      </c>
    </row>
    <row r="23" spans="1:6" ht="24.6">
      <c r="A23" s="730">
        <v>41426</v>
      </c>
      <c r="B23" s="309">
        <v>11054</v>
      </c>
      <c r="C23" s="309">
        <v>10653</v>
      </c>
      <c r="D23" s="309">
        <v>21707</v>
      </c>
      <c r="E23" s="309">
        <v>232</v>
      </c>
      <c r="F23" s="312">
        <v>232</v>
      </c>
    </row>
    <row r="24" spans="1:6" ht="24.6">
      <c r="A24" s="730">
        <v>41456</v>
      </c>
      <c r="B24" s="309">
        <v>10718</v>
      </c>
      <c r="C24" s="309">
        <v>11149</v>
      </c>
      <c r="D24" s="309">
        <v>21867</v>
      </c>
      <c r="E24" s="309">
        <v>243</v>
      </c>
      <c r="F24" s="312">
        <v>243</v>
      </c>
    </row>
    <row r="25" spans="1:6" ht="24.6">
      <c r="A25" s="730">
        <v>41487</v>
      </c>
      <c r="B25" s="309">
        <v>11115</v>
      </c>
      <c r="C25" s="309">
        <v>11585</v>
      </c>
      <c r="D25" s="309">
        <v>22700</v>
      </c>
      <c r="E25" s="309">
        <v>216</v>
      </c>
      <c r="F25" s="312">
        <v>216</v>
      </c>
    </row>
    <row r="26" spans="1:6" ht="24.6">
      <c r="A26" s="730">
        <v>41518</v>
      </c>
      <c r="B26" s="309">
        <v>10651</v>
      </c>
      <c r="C26" s="309">
        <v>12864</v>
      </c>
      <c r="D26" s="309">
        <v>23515</v>
      </c>
      <c r="E26" s="309">
        <v>209</v>
      </c>
      <c r="F26" s="312">
        <v>209</v>
      </c>
    </row>
    <row r="27" spans="1:6" ht="24.6">
      <c r="A27" s="730">
        <v>41548</v>
      </c>
      <c r="B27" s="309">
        <v>11501</v>
      </c>
      <c r="C27" s="309">
        <v>11148</v>
      </c>
      <c r="D27" s="309">
        <v>22649</v>
      </c>
      <c r="E27" s="309">
        <v>206</v>
      </c>
      <c r="F27" s="312">
        <v>206</v>
      </c>
    </row>
    <row r="28" spans="1:6" ht="24.6">
      <c r="A28" s="730">
        <v>41579</v>
      </c>
      <c r="B28" s="309">
        <v>9715</v>
      </c>
      <c r="C28" s="309">
        <v>9582</v>
      </c>
      <c r="D28" s="309">
        <v>19297</v>
      </c>
      <c r="E28" s="309">
        <v>213</v>
      </c>
      <c r="F28" s="312">
        <v>213</v>
      </c>
    </row>
    <row r="29" spans="1:6" ht="24.6">
      <c r="A29" s="730">
        <v>41609</v>
      </c>
      <c r="B29" s="309">
        <v>10866</v>
      </c>
      <c r="C29" s="309">
        <v>10793</v>
      </c>
      <c r="D29" s="309">
        <v>21659</v>
      </c>
      <c r="E29" s="309">
        <v>225</v>
      </c>
      <c r="F29" s="312">
        <v>225</v>
      </c>
    </row>
    <row r="30" spans="1:6" ht="24.6">
      <c r="A30" s="730">
        <v>41640</v>
      </c>
      <c r="B30" s="309">
        <v>11893</v>
      </c>
      <c r="C30" s="309">
        <v>10752</v>
      </c>
      <c r="D30" s="309">
        <v>22645</v>
      </c>
      <c r="E30" s="309">
        <v>227</v>
      </c>
      <c r="F30" s="312">
        <v>227</v>
      </c>
    </row>
    <row r="31" spans="1:6" ht="24.6">
      <c r="A31" s="730">
        <v>41671</v>
      </c>
      <c r="B31" s="309">
        <v>9837</v>
      </c>
      <c r="C31" s="309">
        <v>10345</v>
      </c>
      <c r="D31" s="309">
        <v>20182</v>
      </c>
      <c r="E31" s="309">
        <v>204</v>
      </c>
      <c r="F31" s="312">
        <v>204</v>
      </c>
    </row>
    <row r="32" spans="1:6" ht="24.6">
      <c r="A32" s="730">
        <v>41699</v>
      </c>
      <c r="B32" s="309">
        <v>11370</v>
      </c>
      <c r="C32" s="309">
        <v>11772</v>
      </c>
      <c r="D32" s="309">
        <v>23142</v>
      </c>
      <c r="E32" s="309">
        <v>218</v>
      </c>
      <c r="F32" s="312">
        <v>218</v>
      </c>
    </row>
    <row r="33" spans="1:6" ht="24.6">
      <c r="A33" s="730">
        <v>41730</v>
      </c>
      <c r="B33" s="309">
        <v>10847</v>
      </c>
      <c r="C33" s="309">
        <v>11148</v>
      </c>
      <c r="D33" s="309">
        <v>21995</v>
      </c>
      <c r="E33" s="309">
        <v>200</v>
      </c>
      <c r="F33" s="312">
        <v>200</v>
      </c>
    </row>
    <row r="34" spans="1:6" ht="24.6">
      <c r="A34" s="730">
        <v>41760</v>
      </c>
      <c r="B34" s="309">
        <v>11427</v>
      </c>
      <c r="C34" s="309">
        <v>11380</v>
      </c>
      <c r="D34" s="309">
        <v>22807</v>
      </c>
      <c r="E34" s="309">
        <v>235</v>
      </c>
      <c r="F34" s="312">
        <v>235</v>
      </c>
    </row>
    <row r="35" spans="1:6" ht="24.6">
      <c r="A35" s="730">
        <v>41791</v>
      </c>
      <c r="B35" s="309">
        <v>12220</v>
      </c>
      <c r="C35" s="309">
        <v>12025</v>
      </c>
      <c r="D35" s="309">
        <v>24245</v>
      </c>
      <c r="E35" s="309">
        <v>248</v>
      </c>
      <c r="F35" s="312">
        <v>248</v>
      </c>
    </row>
    <row r="36" spans="1:6" ht="24.6">
      <c r="A36" s="730">
        <v>41821</v>
      </c>
      <c r="B36" s="309">
        <v>10942</v>
      </c>
      <c r="C36" s="309">
        <v>10860</v>
      </c>
      <c r="D36" s="309">
        <v>21802</v>
      </c>
      <c r="E36" s="309">
        <v>203</v>
      </c>
      <c r="F36" s="312">
        <v>203</v>
      </c>
    </row>
    <row r="37" spans="1:6" ht="24.6">
      <c r="A37" s="730">
        <v>41852</v>
      </c>
      <c r="B37" s="309">
        <v>12583</v>
      </c>
      <c r="C37" s="309">
        <v>14119</v>
      </c>
      <c r="D37" s="309">
        <v>26702</v>
      </c>
      <c r="E37" s="309">
        <v>251</v>
      </c>
      <c r="F37" s="312">
        <v>251</v>
      </c>
    </row>
    <row r="38" spans="1:6" ht="24.6">
      <c r="A38" s="730">
        <v>41883</v>
      </c>
      <c r="B38" s="309">
        <v>12393</v>
      </c>
      <c r="C38" s="309">
        <v>13282</v>
      </c>
      <c r="D38" s="309">
        <v>25675</v>
      </c>
      <c r="E38" s="309">
        <v>230</v>
      </c>
      <c r="F38" s="312">
        <v>230</v>
      </c>
    </row>
    <row r="39" spans="1:6" ht="24.6">
      <c r="A39" s="730">
        <v>41913</v>
      </c>
      <c r="B39" s="309">
        <v>13320</v>
      </c>
      <c r="C39" s="309">
        <v>10902</v>
      </c>
      <c r="D39" s="309">
        <v>24222</v>
      </c>
      <c r="E39" s="309">
        <v>226</v>
      </c>
      <c r="F39" s="312">
        <v>226</v>
      </c>
    </row>
    <row r="40" spans="1:6" ht="24.6">
      <c r="A40" s="730">
        <v>41944</v>
      </c>
      <c r="B40" s="309">
        <v>10892</v>
      </c>
      <c r="C40" s="309">
        <v>10599</v>
      </c>
      <c r="D40" s="309">
        <v>21491</v>
      </c>
      <c r="E40" s="309">
        <v>228</v>
      </c>
      <c r="F40" s="312">
        <v>228</v>
      </c>
    </row>
    <row r="41" spans="1:6" ht="24.6">
      <c r="A41" s="730">
        <v>41974</v>
      </c>
      <c r="B41" s="309">
        <v>10818</v>
      </c>
      <c r="C41" s="309">
        <v>11826</v>
      </c>
      <c r="D41" s="309">
        <v>22644</v>
      </c>
      <c r="E41" s="309">
        <v>236</v>
      </c>
      <c r="F41" s="312">
        <v>236</v>
      </c>
    </row>
    <row r="42" spans="1:6" ht="24.6">
      <c r="A42" s="730">
        <v>42005</v>
      </c>
      <c r="B42" s="309">
        <v>11199</v>
      </c>
      <c r="C42" s="309">
        <v>10556</v>
      </c>
      <c r="D42" s="309">
        <v>21755</v>
      </c>
      <c r="E42" s="309">
        <v>248</v>
      </c>
      <c r="F42" s="312">
        <v>248</v>
      </c>
    </row>
    <row r="43" spans="1:6" ht="24.6">
      <c r="A43" s="730">
        <v>42036</v>
      </c>
      <c r="B43" s="309">
        <v>9419</v>
      </c>
      <c r="C43" s="309">
        <v>10220</v>
      </c>
      <c r="D43" s="309">
        <v>19639</v>
      </c>
      <c r="E43" s="309">
        <v>231</v>
      </c>
      <c r="F43" s="312">
        <v>231</v>
      </c>
    </row>
    <row r="44" spans="1:6" ht="24.6">
      <c r="A44" s="730">
        <v>42064</v>
      </c>
      <c r="B44" s="309">
        <v>11182</v>
      </c>
      <c r="C44" s="309">
        <v>11397</v>
      </c>
      <c r="D44" s="309">
        <v>22579</v>
      </c>
      <c r="E44" s="309">
        <v>258</v>
      </c>
      <c r="F44" s="312">
        <v>258</v>
      </c>
    </row>
    <row r="45" spans="1:6" ht="24.6">
      <c r="A45" s="730">
        <v>42095</v>
      </c>
      <c r="B45" s="309">
        <v>11758</v>
      </c>
      <c r="C45" s="309">
        <v>10964</v>
      </c>
      <c r="D45" s="309">
        <v>22722</v>
      </c>
      <c r="E45" s="309">
        <v>212</v>
      </c>
      <c r="F45" s="312">
        <v>212</v>
      </c>
    </row>
    <row r="46" spans="1:6" ht="24.6">
      <c r="A46" s="730">
        <v>42125</v>
      </c>
      <c r="B46" s="309">
        <v>11247</v>
      </c>
      <c r="C46" s="309">
        <v>11054</v>
      </c>
      <c r="D46" s="309">
        <v>22301</v>
      </c>
      <c r="E46" s="309">
        <v>222</v>
      </c>
      <c r="F46" s="312">
        <v>222</v>
      </c>
    </row>
    <row r="47" spans="1:6" ht="24.6">
      <c r="A47" s="730">
        <v>42156</v>
      </c>
      <c r="B47" s="309">
        <v>11768</v>
      </c>
      <c r="C47" s="309">
        <v>11716</v>
      </c>
      <c r="D47" s="309">
        <v>23484</v>
      </c>
      <c r="E47" s="309">
        <v>224</v>
      </c>
      <c r="F47" s="312">
        <v>224</v>
      </c>
    </row>
    <row r="48" spans="1:6" ht="24.6">
      <c r="A48" s="730">
        <v>42186</v>
      </c>
      <c r="B48" s="309">
        <v>11427</v>
      </c>
      <c r="C48" s="309">
        <v>11317</v>
      </c>
      <c r="D48" s="309">
        <v>22744</v>
      </c>
      <c r="E48" s="309">
        <v>258</v>
      </c>
      <c r="F48" s="312">
        <v>258</v>
      </c>
    </row>
    <row r="49" spans="1:6" ht="24.6">
      <c r="A49" s="730">
        <v>42217</v>
      </c>
      <c r="B49" s="309">
        <v>12264</v>
      </c>
      <c r="C49" s="309">
        <v>13493</v>
      </c>
      <c r="D49" s="309">
        <v>25757</v>
      </c>
      <c r="E49" s="309">
        <v>265</v>
      </c>
      <c r="F49" s="312">
        <v>265</v>
      </c>
    </row>
    <row r="50" spans="1:6" ht="24.6">
      <c r="A50" s="730">
        <v>42248</v>
      </c>
      <c r="B50" s="309">
        <v>12288</v>
      </c>
      <c r="C50" s="309">
        <v>12961</v>
      </c>
      <c r="D50" s="309">
        <v>25249</v>
      </c>
      <c r="E50" s="309">
        <v>249</v>
      </c>
      <c r="F50" s="312">
        <v>249</v>
      </c>
    </row>
    <row r="51" spans="1:6" ht="24.6">
      <c r="A51" s="730">
        <v>42278</v>
      </c>
      <c r="B51" s="309">
        <v>14383</v>
      </c>
      <c r="C51" s="309">
        <v>11538</v>
      </c>
      <c r="D51" s="309">
        <v>25921</v>
      </c>
      <c r="E51" s="309">
        <v>255</v>
      </c>
      <c r="F51" s="312">
        <v>255</v>
      </c>
    </row>
    <row r="52" spans="1:6" ht="24.6">
      <c r="A52" s="730">
        <v>42309</v>
      </c>
      <c r="B52" s="309">
        <v>11381</v>
      </c>
      <c r="C52" s="309">
        <v>10442</v>
      </c>
      <c r="D52" s="309">
        <v>21823</v>
      </c>
      <c r="E52" s="309">
        <v>260</v>
      </c>
      <c r="F52" s="312">
        <v>260</v>
      </c>
    </row>
    <row r="53" spans="1:6" ht="24.6">
      <c r="A53" s="730">
        <v>42339</v>
      </c>
      <c r="B53" s="309">
        <v>11081</v>
      </c>
      <c r="C53" s="309">
        <v>10996</v>
      </c>
      <c r="D53" s="309">
        <v>22077</v>
      </c>
      <c r="E53" s="309">
        <v>254</v>
      </c>
      <c r="F53" s="312">
        <v>254</v>
      </c>
    </row>
    <row r="54" spans="1:6" ht="24.6">
      <c r="A54" s="730">
        <v>42370</v>
      </c>
      <c r="B54" s="309">
        <v>10390</v>
      </c>
      <c r="C54" s="309">
        <v>10052</v>
      </c>
      <c r="D54" s="309">
        <v>20442</v>
      </c>
      <c r="E54" s="309">
        <v>258</v>
      </c>
      <c r="F54" s="312">
        <v>258</v>
      </c>
    </row>
    <row r="55" spans="1:6" ht="24.6">
      <c r="A55" s="730">
        <v>42401</v>
      </c>
      <c r="B55" s="309">
        <v>9629</v>
      </c>
      <c r="C55" s="309">
        <v>10107</v>
      </c>
      <c r="D55" s="309">
        <v>19736</v>
      </c>
      <c r="E55" s="309">
        <v>267</v>
      </c>
      <c r="F55" s="312">
        <v>267</v>
      </c>
    </row>
    <row r="56" spans="1:6" ht="24.6">
      <c r="A56" s="730">
        <v>42430</v>
      </c>
      <c r="B56" s="309">
        <v>10521</v>
      </c>
      <c r="C56" s="309">
        <v>10594</v>
      </c>
      <c r="D56" s="309">
        <v>21115</v>
      </c>
      <c r="E56" s="309">
        <v>261</v>
      </c>
      <c r="F56" s="312">
        <v>261</v>
      </c>
    </row>
    <row r="57" spans="1:6" ht="24.6">
      <c r="A57" s="730">
        <v>42461</v>
      </c>
      <c r="B57" s="309">
        <v>10412</v>
      </c>
      <c r="C57" s="309">
        <v>10754</v>
      </c>
      <c r="D57" s="309">
        <v>21166</v>
      </c>
      <c r="E57" s="309">
        <v>262</v>
      </c>
      <c r="F57" s="312">
        <v>262</v>
      </c>
    </row>
    <row r="58" spans="1:6" ht="24.6">
      <c r="A58" s="730">
        <v>42491</v>
      </c>
      <c r="B58" s="309">
        <v>11412</v>
      </c>
      <c r="C58" s="309">
        <v>10714</v>
      </c>
      <c r="D58" s="309">
        <v>22126</v>
      </c>
      <c r="E58" s="309">
        <v>266</v>
      </c>
      <c r="F58" s="312">
        <v>266</v>
      </c>
    </row>
    <row r="59" spans="1:6" ht="24.6">
      <c r="A59" s="730">
        <v>42522</v>
      </c>
      <c r="B59" s="309">
        <v>10292</v>
      </c>
      <c r="C59" s="309">
        <v>11513</v>
      </c>
      <c r="D59" s="309">
        <v>21805</v>
      </c>
      <c r="E59" s="309">
        <v>278</v>
      </c>
      <c r="F59" s="312">
        <v>278</v>
      </c>
    </row>
    <row r="60" spans="1:6" ht="24.6">
      <c r="A60" s="730">
        <v>42552</v>
      </c>
      <c r="B60" s="309">
        <v>12739</v>
      </c>
      <c r="C60" s="309">
        <v>11911</v>
      </c>
      <c r="D60" s="309">
        <v>24650</v>
      </c>
      <c r="E60" s="309">
        <v>305</v>
      </c>
      <c r="F60" s="312">
        <v>305</v>
      </c>
    </row>
    <row r="61" spans="1:6" ht="24.6">
      <c r="A61" s="730">
        <v>42583</v>
      </c>
      <c r="B61" s="309">
        <v>10727</v>
      </c>
      <c r="C61" s="309">
        <v>13974</v>
      </c>
      <c r="D61" s="309">
        <v>24701</v>
      </c>
      <c r="E61" s="309">
        <v>261</v>
      </c>
      <c r="F61" s="312">
        <v>261</v>
      </c>
    </row>
    <row r="62" spans="1:6" ht="24.6">
      <c r="A62" s="730">
        <v>42614</v>
      </c>
      <c r="B62" s="309">
        <v>11272</v>
      </c>
      <c r="C62" s="309">
        <v>12943</v>
      </c>
      <c r="D62" s="309">
        <v>24215</v>
      </c>
      <c r="E62" s="309">
        <v>260</v>
      </c>
      <c r="F62" s="312">
        <v>260</v>
      </c>
    </row>
    <row r="63" spans="1:6" ht="24.6">
      <c r="A63" s="730">
        <v>42644</v>
      </c>
      <c r="B63" s="309">
        <v>12271</v>
      </c>
      <c r="C63" s="309">
        <v>11418</v>
      </c>
      <c r="D63" s="309">
        <v>23689</v>
      </c>
      <c r="E63" s="309">
        <v>265</v>
      </c>
      <c r="F63" s="312">
        <v>265</v>
      </c>
    </row>
    <row r="64" spans="1:6" ht="24.6">
      <c r="A64" s="730">
        <v>42675</v>
      </c>
      <c r="B64" s="309">
        <v>9622</v>
      </c>
      <c r="C64" s="309">
        <v>10151</v>
      </c>
      <c r="D64" s="309">
        <v>19773</v>
      </c>
      <c r="E64" s="309">
        <v>258</v>
      </c>
      <c r="F64" s="312">
        <v>258</v>
      </c>
    </row>
    <row r="65" spans="1:6" ht="24.6">
      <c r="A65" s="730">
        <v>42705</v>
      </c>
      <c r="B65" s="309">
        <v>11301</v>
      </c>
      <c r="C65" s="309">
        <v>11782</v>
      </c>
      <c r="D65" s="309">
        <v>23083</v>
      </c>
      <c r="E65" s="309">
        <v>298</v>
      </c>
      <c r="F65" s="312">
        <v>298</v>
      </c>
    </row>
    <row r="66" spans="1:6" ht="24.6">
      <c r="A66" s="730">
        <v>42736</v>
      </c>
      <c r="B66" s="309">
        <v>10483</v>
      </c>
      <c r="C66" s="309">
        <v>11912</v>
      </c>
      <c r="D66" s="309">
        <v>22395</v>
      </c>
      <c r="E66" s="309">
        <v>215</v>
      </c>
      <c r="F66" s="312">
        <v>215</v>
      </c>
    </row>
    <row r="67" spans="1:6" ht="24.6">
      <c r="A67" s="730">
        <v>42767</v>
      </c>
      <c r="B67" s="309">
        <v>12011</v>
      </c>
      <c r="C67" s="309">
        <v>12381</v>
      </c>
      <c r="D67" s="309">
        <v>24392</v>
      </c>
      <c r="E67" s="309">
        <v>195</v>
      </c>
      <c r="F67" s="312">
        <v>195</v>
      </c>
    </row>
    <row r="68" spans="1:6" ht="24.6">
      <c r="A68" s="730">
        <v>42795</v>
      </c>
      <c r="B68" s="309">
        <v>11286</v>
      </c>
      <c r="C68" s="309">
        <v>14299</v>
      </c>
      <c r="D68" s="309">
        <v>25585</v>
      </c>
      <c r="E68" s="309">
        <v>214</v>
      </c>
      <c r="F68" s="312">
        <v>214</v>
      </c>
    </row>
    <row r="69" spans="1:6" ht="24.6">
      <c r="A69" s="730">
        <v>42826</v>
      </c>
      <c r="B69" s="309">
        <v>10937</v>
      </c>
      <c r="C69" s="309">
        <v>13551</v>
      </c>
      <c r="D69" s="309">
        <v>24488</v>
      </c>
      <c r="E69" s="309">
        <v>205</v>
      </c>
      <c r="F69" s="312">
        <v>205</v>
      </c>
    </row>
    <row r="70" spans="1:6" ht="24.6">
      <c r="A70" s="730">
        <v>42856</v>
      </c>
      <c r="B70" s="309">
        <v>12481</v>
      </c>
      <c r="C70" s="309">
        <v>14567</v>
      </c>
      <c r="D70" s="309">
        <v>27048</v>
      </c>
      <c r="E70" s="309">
        <v>221</v>
      </c>
      <c r="F70" s="312">
        <v>221</v>
      </c>
    </row>
    <row r="71" spans="1:6" ht="24.6">
      <c r="A71" s="730">
        <v>42887</v>
      </c>
      <c r="B71" s="309">
        <v>11560</v>
      </c>
      <c r="C71" s="309">
        <v>13517</v>
      </c>
      <c r="D71" s="309">
        <v>25077</v>
      </c>
      <c r="E71" s="309">
        <v>217</v>
      </c>
      <c r="F71" s="312">
        <v>217</v>
      </c>
    </row>
    <row r="72" spans="1:6" ht="24.6">
      <c r="A72" s="730">
        <v>42917</v>
      </c>
      <c r="B72" s="309">
        <v>10219</v>
      </c>
      <c r="C72" s="309">
        <v>16067</v>
      </c>
      <c r="D72" s="309">
        <v>26286</v>
      </c>
      <c r="E72" s="309">
        <v>204</v>
      </c>
      <c r="F72" s="312">
        <v>204</v>
      </c>
    </row>
    <row r="73" spans="1:6" ht="24.6">
      <c r="A73" s="730">
        <v>42948</v>
      </c>
      <c r="B73" s="309">
        <v>12050</v>
      </c>
      <c r="C73" s="309">
        <v>17916</v>
      </c>
      <c r="D73" s="309">
        <v>29966</v>
      </c>
      <c r="E73" s="309">
        <v>209</v>
      </c>
      <c r="F73" s="312">
        <v>209</v>
      </c>
    </row>
    <row r="74" spans="1:6" ht="24.6">
      <c r="A74" s="730">
        <v>42979</v>
      </c>
      <c r="B74" s="309">
        <v>13526</v>
      </c>
      <c r="C74" s="309">
        <v>16761</v>
      </c>
      <c r="D74" s="309">
        <v>30287</v>
      </c>
      <c r="E74" s="309">
        <v>213</v>
      </c>
      <c r="F74" s="312">
        <v>213</v>
      </c>
    </row>
    <row r="75" spans="1:6" ht="24.6">
      <c r="A75" s="730">
        <v>43009</v>
      </c>
      <c r="B75" s="309">
        <v>13657</v>
      </c>
      <c r="C75" s="309">
        <v>12053</v>
      </c>
      <c r="D75" s="309">
        <v>25710</v>
      </c>
      <c r="E75" s="309">
        <v>244</v>
      </c>
      <c r="F75" s="312">
        <v>214</v>
      </c>
    </row>
    <row r="76" spans="1:6" ht="24.6">
      <c r="A76" s="730">
        <v>43040</v>
      </c>
      <c r="B76" s="309">
        <v>10959</v>
      </c>
      <c r="C76" s="309">
        <v>13068</v>
      </c>
      <c r="D76" s="309">
        <v>24027</v>
      </c>
      <c r="E76" s="309">
        <v>213</v>
      </c>
      <c r="F76" s="312">
        <v>213</v>
      </c>
    </row>
    <row r="77" spans="1:6" ht="24.6">
      <c r="A77" s="730">
        <v>43070</v>
      </c>
      <c r="B77" s="309">
        <v>10866</v>
      </c>
      <c r="C77" s="309">
        <v>15408</v>
      </c>
      <c r="D77" s="309">
        <v>26274</v>
      </c>
      <c r="E77" s="309">
        <v>244</v>
      </c>
      <c r="F77" s="312">
        <v>244</v>
      </c>
    </row>
    <row r="78" spans="1:6" ht="24.6">
      <c r="A78" s="730">
        <v>43101</v>
      </c>
      <c r="B78" s="309">
        <v>12973</v>
      </c>
      <c r="C78" s="309">
        <v>14189</v>
      </c>
      <c r="D78" s="309">
        <v>27162</v>
      </c>
      <c r="E78" s="309">
        <v>202</v>
      </c>
      <c r="F78" s="312">
        <v>202</v>
      </c>
    </row>
    <row r="79" spans="1:6" ht="24.6">
      <c r="A79" s="730">
        <v>43132</v>
      </c>
      <c r="B79" s="309">
        <v>10513</v>
      </c>
      <c r="C79" s="309">
        <v>13577</v>
      </c>
      <c r="D79" s="309">
        <v>24090</v>
      </c>
      <c r="E79" s="309">
        <v>156</v>
      </c>
      <c r="F79" s="312">
        <v>156</v>
      </c>
    </row>
    <row r="80" spans="1:6" ht="24.6">
      <c r="A80" s="730">
        <v>43160</v>
      </c>
      <c r="B80" s="309">
        <v>13096</v>
      </c>
      <c r="C80" s="309">
        <v>16798</v>
      </c>
      <c r="D80" s="309">
        <v>29894</v>
      </c>
      <c r="E80" s="309">
        <v>203</v>
      </c>
      <c r="F80" s="312">
        <v>203</v>
      </c>
    </row>
    <row r="81" spans="1:6" ht="24.6">
      <c r="A81" s="730">
        <v>43191</v>
      </c>
      <c r="B81" s="309">
        <v>13175</v>
      </c>
      <c r="C81" s="309">
        <v>16967</v>
      </c>
      <c r="D81" s="309">
        <v>30142</v>
      </c>
      <c r="E81" s="309">
        <v>196</v>
      </c>
      <c r="F81" s="312">
        <v>196</v>
      </c>
    </row>
    <row r="82" spans="1:6" ht="24.6">
      <c r="A82" s="730">
        <v>43221</v>
      </c>
      <c r="B82" s="309">
        <v>13115</v>
      </c>
      <c r="C82" s="309">
        <v>15714</v>
      </c>
      <c r="D82" s="309">
        <v>28829</v>
      </c>
      <c r="E82" s="309">
        <v>210</v>
      </c>
      <c r="F82" s="312">
        <v>210</v>
      </c>
    </row>
    <row r="83" spans="1:6" ht="24.6">
      <c r="A83" s="730">
        <v>43252</v>
      </c>
      <c r="B83" s="309">
        <v>13946</v>
      </c>
      <c r="C83" s="309">
        <v>15783</v>
      </c>
      <c r="D83" s="309">
        <v>29729</v>
      </c>
      <c r="E83" s="309">
        <v>208</v>
      </c>
      <c r="F83" s="312">
        <v>208</v>
      </c>
    </row>
    <row r="84" spans="1:6" ht="24.6">
      <c r="A84" s="730">
        <v>43282</v>
      </c>
      <c r="B84" s="309">
        <v>12905</v>
      </c>
      <c r="C84" s="309">
        <v>20029</v>
      </c>
      <c r="D84" s="309">
        <v>32934</v>
      </c>
      <c r="E84" s="309">
        <v>211</v>
      </c>
      <c r="F84" s="312">
        <v>211</v>
      </c>
    </row>
    <row r="85" spans="1:6" ht="24.6">
      <c r="A85" s="730">
        <v>43313</v>
      </c>
      <c r="B85" s="309">
        <v>14193</v>
      </c>
      <c r="C85" s="309">
        <v>20962</v>
      </c>
      <c r="D85" s="309">
        <v>35155</v>
      </c>
      <c r="E85" s="309">
        <v>211</v>
      </c>
      <c r="F85" s="312">
        <v>211</v>
      </c>
    </row>
    <row r="86" spans="1:6" ht="24.6">
      <c r="A86" s="730">
        <v>43344</v>
      </c>
      <c r="B86" s="309">
        <v>14852</v>
      </c>
      <c r="C86" s="309">
        <v>17799</v>
      </c>
      <c r="D86" s="309">
        <v>32651</v>
      </c>
      <c r="E86" s="309">
        <v>209</v>
      </c>
      <c r="F86" s="312">
        <v>209</v>
      </c>
    </row>
    <row r="87" spans="1:6" ht="24.6">
      <c r="A87" s="730">
        <v>43374</v>
      </c>
      <c r="B87" s="309">
        <v>14789</v>
      </c>
      <c r="C87" s="309">
        <v>16200</v>
      </c>
      <c r="D87" s="309">
        <v>30989</v>
      </c>
      <c r="E87" s="309">
        <v>211</v>
      </c>
      <c r="F87" s="312">
        <v>211</v>
      </c>
    </row>
    <row r="88" spans="1:6" ht="24.6">
      <c r="A88" s="730">
        <v>43405</v>
      </c>
      <c r="B88" s="309">
        <v>13172</v>
      </c>
      <c r="C88" s="309">
        <v>15857</v>
      </c>
      <c r="D88" s="309">
        <v>29029</v>
      </c>
      <c r="E88" s="309">
        <v>206</v>
      </c>
      <c r="F88" s="312">
        <v>206</v>
      </c>
    </row>
    <row r="89" spans="1:6" ht="24.6">
      <c r="A89" s="730">
        <v>43435</v>
      </c>
      <c r="B89" s="309">
        <v>14586</v>
      </c>
      <c r="C89" s="309">
        <v>17066</v>
      </c>
      <c r="D89" s="309">
        <v>31652</v>
      </c>
      <c r="E89" s="309">
        <v>201</v>
      </c>
      <c r="F89" s="312">
        <v>201</v>
      </c>
    </row>
    <row r="90" spans="1:6" ht="24.6">
      <c r="A90" s="730">
        <v>43466</v>
      </c>
      <c r="B90" s="309">
        <v>13662</v>
      </c>
      <c r="C90" s="309">
        <v>15817</v>
      </c>
      <c r="D90" s="309">
        <v>29479</v>
      </c>
      <c r="E90" s="309">
        <v>202</v>
      </c>
      <c r="F90" s="312">
        <v>202</v>
      </c>
    </row>
    <row r="91" spans="1:6" ht="24.6">
      <c r="A91" s="730">
        <v>43497</v>
      </c>
      <c r="B91" s="309">
        <v>13565</v>
      </c>
      <c r="C91" s="309">
        <v>15550</v>
      </c>
      <c r="D91" s="309">
        <v>29115</v>
      </c>
      <c r="E91" s="309">
        <v>183</v>
      </c>
      <c r="F91" s="312">
        <v>183</v>
      </c>
    </row>
    <row r="92" spans="1:6" ht="24.6">
      <c r="A92" s="730">
        <v>43525</v>
      </c>
      <c r="B92" s="309">
        <v>14272</v>
      </c>
      <c r="C92" s="309">
        <v>15537</v>
      </c>
      <c r="D92" s="309">
        <v>29809</v>
      </c>
      <c r="E92" s="309">
        <v>204</v>
      </c>
      <c r="F92" s="312">
        <v>204</v>
      </c>
    </row>
    <row r="93" spans="1:6" ht="24.6">
      <c r="A93" s="730">
        <v>43556</v>
      </c>
      <c r="B93" s="309">
        <v>15393</v>
      </c>
      <c r="C93" s="309">
        <v>17373</v>
      </c>
      <c r="D93" s="309">
        <v>32766</v>
      </c>
      <c r="E93" s="309">
        <v>198</v>
      </c>
      <c r="F93" s="312">
        <v>198</v>
      </c>
    </row>
    <row r="94" spans="1:6" ht="24.6">
      <c r="A94" s="730">
        <v>43586</v>
      </c>
      <c r="B94" s="309">
        <v>11838</v>
      </c>
      <c r="C94" s="309">
        <v>16662</v>
      </c>
      <c r="D94" s="309">
        <v>28500</v>
      </c>
      <c r="E94" s="309">
        <v>197</v>
      </c>
      <c r="F94" s="312">
        <v>197</v>
      </c>
    </row>
    <row r="95" spans="1:6" ht="24.6">
      <c r="A95" s="730">
        <v>43617</v>
      </c>
      <c r="B95" s="309">
        <v>14436</v>
      </c>
      <c r="C95" s="309">
        <v>13160</v>
      </c>
      <c r="D95" s="309">
        <v>27596</v>
      </c>
      <c r="E95" s="309">
        <v>200</v>
      </c>
      <c r="F95" s="312">
        <v>200</v>
      </c>
    </row>
    <row r="96" spans="1:6" ht="24.6">
      <c r="A96" s="730">
        <v>43647</v>
      </c>
      <c r="B96" s="309">
        <v>58177</v>
      </c>
      <c r="C96" s="309">
        <v>66427</v>
      </c>
      <c r="D96" s="309">
        <v>124604</v>
      </c>
      <c r="E96" s="309">
        <v>802</v>
      </c>
      <c r="F96" s="312">
        <v>802</v>
      </c>
    </row>
    <row r="97" spans="1:6" ht="24.6">
      <c r="A97" s="730">
        <v>43678</v>
      </c>
      <c r="B97" s="309">
        <v>14538</v>
      </c>
      <c r="C97" s="309">
        <v>19088</v>
      </c>
      <c r="D97" s="309">
        <v>33626</v>
      </c>
      <c r="E97" s="309">
        <v>205</v>
      </c>
      <c r="F97" s="312">
        <v>205</v>
      </c>
    </row>
    <row r="98" spans="1:6" ht="24.6">
      <c r="A98" s="730">
        <v>43709</v>
      </c>
      <c r="B98" s="309">
        <v>12874</v>
      </c>
      <c r="C98" s="309">
        <v>17430</v>
      </c>
      <c r="D98" s="309">
        <v>30304</v>
      </c>
      <c r="E98" s="309">
        <v>201</v>
      </c>
      <c r="F98" s="312">
        <v>197</v>
      </c>
    </row>
    <row r="99" spans="1:6" ht="24.6">
      <c r="A99" s="730">
        <v>43739</v>
      </c>
      <c r="B99" s="309">
        <v>13998</v>
      </c>
      <c r="C99" s="309">
        <v>15479</v>
      </c>
      <c r="D99" s="309">
        <v>29477</v>
      </c>
      <c r="E99" s="309">
        <v>200</v>
      </c>
      <c r="F99" s="312">
        <v>200</v>
      </c>
    </row>
    <row r="100" spans="1:6" ht="24.6">
      <c r="A100" s="730">
        <v>43770</v>
      </c>
      <c r="B100" s="309">
        <v>11956</v>
      </c>
      <c r="C100" s="309">
        <v>15452</v>
      </c>
      <c r="D100" s="309">
        <v>27408</v>
      </c>
      <c r="E100" s="309">
        <v>220</v>
      </c>
      <c r="F100" s="312">
        <v>220</v>
      </c>
    </row>
    <row r="101" spans="1:6" ht="24.6">
      <c r="A101" s="730">
        <v>43800</v>
      </c>
      <c r="B101" s="309">
        <v>13719</v>
      </c>
      <c r="C101" s="309">
        <v>17769</v>
      </c>
      <c r="D101" s="309">
        <v>31488</v>
      </c>
      <c r="E101" s="309">
        <v>255</v>
      </c>
      <c r="F101" s="312">
        <v>255</v>
      </c>
    </row>
    <row r="102" spans="1:6" ht="24.6">
      <c r="A102" s="730">
        <v>43831</v>
      </c>
      <c r="B102" s="309">
        <v>14088</v>
      </c>
      <c r="C102" s="309">
        <v>16301</v>
      </c>
      <c r="D102" s="309">
        <v>30389</v>
      </c>
      <c r="E102" s="309">
        <v>245</v>
      </c>
      <c r="F102" s="312">
        <v>245</v>
      </c>
    </row>
    <row r="103" spans="1:6" ht="24.6">
      <c r="A103" s="730">
        <v>43862</v>
      </c>
      <c r="B103" s="309">
        <v>11870</v>
      </c>
      <c r="C103" s="309">
        <v>14156</v>
      </c>
      <c r="D103" s="309">
        <v>26026</v>
      </c>
      <c r="E103" s="309">
        <v>199</v>
      </c>
      <c r="F103" s="312">
        <v>199</v>
      </c>
    </row>
    <row r="104" spans="1:6" ht="24.6">
      <c r="A104" s="730">
        <v>43891</v>
      </c>
      <c r="B104" s="309">
        <v>6712</v>
      </c>
      <c r="C104" s="309">
        <v>7234</v>
      </c>
      <c r="D104" s="309">
        <v>13946</v>
      </c>
      <c r="E104" s="309">
        <v>116</v>
      </c>
      <c r="F104" s="312">
        <v>116</v>
      </c>
    </row>
    <row r="105" spans="1:6" ht="24.6">
      <c r="A105" s="730">
        <v>43922</v>
      </c>
      <c r="B105" s="309"/>
      <c r="C105" s="309">
        <v>344</v>
      </c>
      <c r="D105" s="309">
        <v>344</v>
      </c>
      <c r="E105" s="309">
        <v>12</v>
      </c>
      <c r="F105" s="312">
        <v>12</v>
      </c>
    </row>
    <row r="106" spans="1:6" ht="24.6">
      <c r="A106" s="730">
        <v>43952</v>
      </c>
      <c r="B106" s="309"/>
      <c r="C106" s="309">
        <v>359</v>
      </c>
      <c r="D106" s="309">
        <v>359</v>
      </c>
      <c r="E106" s="309">
        <v>12</v>
      </c>
      <c r="F106" s="312">
        <v>12</v>
      </c>
    </row>
    <row r="107" spans="1:6" ht="24.6">
      <c r="A107" s="730">
        <v>43983</v>
      </c>
      <c r="B107" s="309"/>
      <c r="C107" s="309">
        <v>2036</v>
      </c>
      <c r="D107" s="309">
        <v>2036</v>
      </c>
      <c r="E107" s="309">
        <v>24</v>
      </c>
      <c r="F107" s="312">
        <v>24</v>
      </c>
    </row>
    <row r="108" spans="1:6" ht="24.6">
      <c r="A108" s="730">
        <v>44013</v>
      </c>
      <c r="B108" s="309">
        <v>486</v>
      </c>
      <c r="C108" s="309">
        <v>1360</v>
      </c>
      <c r="D108" s="309">
        <v>1846</v>
      </c>
      <c r="E108" s="309">
        <v>24</v>
      </c>
      <c r="F108" s="312">
        <v>24</v>
      </c>
    </row>
    <row r="109" spans="1:6" ht="24.6">
      <c r="A109" s="730">
        <v>44044</v>
      </c>
      <c r="B109" s="309">
        <v>2484</v>
      </c>
      <c r="C109" s="309">
        <v>2600</v>
      </c>
      <c r="D109" s="309">
        <v>5084</v>
      </c>
      <c r="E109" s="309">
        <v>27</v>
      </c>
      <c r="F109" s="312">
        <v>27</v>
      </c>
    </row>
    <row r="110" spans="1:6" ht="24.6">
      <c r="A110" s="730">
        <v>44075</v>
      </c>
      <c r="B110" s="309">
        <v>3659</v>
      </c>
      <c r="C110" s="309">
        <v>4870</v>
      </c>
      <c r="D110" s="309">
        <v>8529</v>
      </c>
      <c r="E110" s="309">
        <v>65</v>
      </c>
      <c r="F110" s="312">
        <v>65</v>
      </c>
    </row>
    <row r="111" spans="1:6" ht="24.6">
      <c r="A111" s="730">
        <v>44105</v>
      </c>
      <c r="B111" s="309">
        <v>4516</v>
      </c>
      <c r="C111" s="309">
        <v>5076</v>
      </c>
      <c r="D111" s="309">
        <v>9592</v>
      </c>
      <c r="E111" s="309">
        <v>67</v>
      </c>
      <c r="F111" s="312">
        <v>67</v>
      </c>
    </row>
    <row r="112" spans="1:6" ht="24.6">
      <c r="A112" s="730">
        <v>44136</v>
      </c>
      <c r="B112" s="309">
        <v>7798</v>
      </c>
      <c r="C112" s="309">
        <v>6602</v>
      </c>
      <c r="D112" s="309">
        <v>14400</v>
      </c>
      <c r="E112" s="309">
        <v>125</v>
      </c>
      <c r="F112" s="312">
        <v>125</v>
      </c>
    </row>
    <row r="113" spans="1:6" ht="24.6">
      <c r="A113" s="730">
        <v>44166</v>
      </c>
      <c r="B113" s="309">
        <v>7715</v>
      </c>
      <c r="C113" s="309">
        <v>6916</v>
      </c>
      <c r="D113" s="309">
        <v>14631</v>
      </c>
      <c r="E113" s="309">
        <v>130</v>
      </c>
      <c r="F113" s="312">
        <v>130</v>
      </c>
    </row>
    <row r="114" spans="1:6" ht="24.6">
      <c r="A114" s="730">
        <v>44197</v>
      </c>
      <c r="B114" s="309">
        <v>8515</v>
      </c>
      <c r="C114" s="309">
        <v>8378</v>
      </c>
      <c r="D114" s="309">
        <v>16893</v>
      </c>
      <c r="E114" s="309">
        <v>144</v>
      </c>
      <c r="F114" s="312">
        <v>144</v>
      </c>
    </row>
    <row r="115" spans="1:6" ht="24.6">
      <c r="A115" s="730">
        <v>44228</v>
      </c>
      <c r="B115" s="309">
        <v>7798</v>
      </c>
      <c r="C115" s="309">
        <v>7749</v>
      </c>
      <c r="D115" s="309">
        <v>15547</v>
      </c>
      <c r="E115" s="309">
        <v>119</v>
      </c>
      <c r="F115" s="312">
        <v>119</v>
      </c>
    </row>
    <row r="116" spans="1:6" ht="24.6">
      <c r="A116" s="730">
        <v>44256</v>
      </c>
      <c r="B116" s="309">
        <v>8570</v>
      </c>
      <c r="C116" s="309">
        <v>9989</v>
      </c>
      <c r="D116" s="309">
        <v>18559</v>
      </c>
      <c r="E116" s="309">
        <v>137</v>
      </c>
      <c r="F116" s="312">
        <v>137</v>
      </c>
    </row>
    <row r="117" spans="1:6" ht="24.6">
      <c r="A117" s="730">
        <v>44287</v>
      </c>
      <c r="B117" s="309">
        <v>8068</v>
      </c>
      <c r="C117" s="309">
        <v>9524</v>
      </c>
      <c r="D117" s="309">
        <v>17592</v>
      </c>
      <c r="E117" s="309">
        <v>103</v>
      </c>
      <c r="F117" s="312">
        <v>103</v>
      </c>
    </row>
    <row r="118" spans="1:6" ht="24.6">
      <c r="A118" s="730">
        <v>44317</v>
      </c>
      <c r="B118" s="309">
        <v>8329</v>
      </c>
      <c r="C118" s="309">
        <v>8185</v>
      </c>
      <c r="D118" s="309">
        <v>16514</v>
      </c>
      <c r="E118" s="309">
        <v>152</v>
      </c>
      <c r="F118" s="312">
        <v>152</v>
      </c>
    </row>
    <row r="119" spans="1:6" ht="24.6">
      <c r="A119" s="730">
        <v>44348</v>
      </c>
      <c r="B119" s="309">
        <v>10994</v>
      </c>
      <c r="C119" s="309">
        <v>9784</v>
      </c>
      <c r="D119" s="309">
        <v>20778</v>
      </c>
      <c r="E119" s="309">
        <v>150</v>
      </c>
      <c r="F119" s="312">
        <v>150</v>
      </c>
    </row>
    <row r="120" spans="1:6" ht="24.6">
      <c r="A120" s="730">
        <v>44378</v>
      </c>
      <c r="B120" s="309">
        <v>15390</v>
      </c>
      <c r="C120" s="309">
        <v>13731</v>
      </c>
      <c r="D120" s="309">
        <v>29121</v>
      </c>
      <c r="E120" s="309">
        <v>190</v>
      </c>
      <c r="F120" s="312">
        <v>190</v>
      </c>
    </row>
    <row r="121" spans="1:6" ht="24.6">
      <c r="A121" s="730">
        <v>44409</v>
      </c>
      <c r="B121" s="309">
        <v>11237</v>
      </c>
      <c r="C121" s="309">
        <v>15315</v>
      </c>
      <c r="D121" s="309">
        <v>26552</v>
      </c>
      <c r="E121" s="309">
        <v>192</v>
      </c>
      <c r="F121" s="312">
        <v>192</v>
      </c>
    </row>
    <row r="122" spans="1:6" ht="24.6">
      <c r="A122" s="730">
        <v>44440</v>
      </c>
      <c r="B122" s="309">
        <v>11471</v>
      </c>
      <c r="C122" s="309">
        <v>16403</v>
      </c>
      <c r="D122" s="309">
        <v>27874</v>
      </c>
      <c r="E122" s="309">
        <v>184</v>
      </c>
      <c r="F122" s="312">
        <v>184</v>
      </c>
    </row>
    <row r="123" spans="1:6" ht="24.6">
      <c r="A123" s="730">
        <v>44470</v>
      </c>
      <c r="B123" s="309">
        <v>14028</v>
      </c>
      <c r="C123" s="309">
        <v>12965</v>
      </c>
      <c r="D123" s="309">
        <v>26993</v>
      </c>
      <c r="E123" s="309">
        <v>184</v>
      </c>
      <c r="F123" s="312">
        <v>184</v>
      </c>
    </row>
    <row r="124" spans="1:6" ht="24.6">
      <c r="A124" s="730">
        <v>44501</v>
      </c>
      <c r="B124" s="309">
        <v>9666</v>
      </c>
      <c r="C124" s="309">
        <v>8761</v>
      </c>
      <c r="D124" s="309">
        <v>18427</v>
      </c>
      <c r="E124" s="309">
        <v>133</v>
      </c>
      <c r="F124" s="312">
        <v>133</v>
      </c>
    </row>
    <row r="125" spans="1:6" ht="24.6">
      <c r="A125" s="730">
        <v>44531</v>
      </c>
      <c r="B125" s="309">
        <v>10225</v>
      </c>
      <c r="C125" s="309">
        <v>11844</v>
      </c>
      <c r="D125" s="309">
        <v>22069</v>
      </c>
      <c r="E125" s="309">
        <v>173</v>
      </c>
      <c r="F125" s="312">
        <v>173</v>
      </c>
    </row>
    <row r="126" spans="1:6" ht="24.6">
      <c r="A126" s="730">
        <v>44562</v>
      </c>
      <c r="B126" s="309">
        <v>12510</v>
      </c>
      <c r="C126" s="309">
        <v>11333</v>
      </c>
      <c r="D126" s="309">
        <v>23843</v>
      </c>
      <c r="E126" s="309">
        <v>157</v>
      </c>
      <c r="F126" s="312">
        <v>157</v>
      </c>
    </row>
    <row r="127" spans="1:6" ht="24.6">
      <c r="A127" s="730">
        <v>44593</v>
      </c>
      <c r="B127" s="309">
        <v>12729</v>
      </c>
      <c r="C127" s="309">
        <v>13938</v>
      </c>
      <c r="D127" s="309">
        <v>26667</v>
      </c>
      <c r="E127" s="309">
        <v>180</v>
      </c>
      <c r="F127" s="312">
        <v>180</v>
      </c>
    </row>
    <row r="128" spans="1:6" ht="24.6">
      <c r="A128" s="730">
        <v>44621</v>
      </c>
      <c r="B128" s="309">
        <v>12757</v>
      </c>
      <c r="C128" s="309">
        <v>14734</v>
      </c>
      <c r="D128" s="309">
        <v>27491</v>
      </c>
      <c r="E128" s="309">
        <v>185</v>
      </c>
      <c r="F128" s="312">
        <v>185</v>
      </c>
    </row>
    <row r="129" spans="1:6" ht="24.6">
      <c r="A129" s="730">
        <v>44652</v>
      </c>
      <c r="B129" s="309">
        <v>11890</v>
      </c>
      <c r="C129" s="309">
        <v>13414</v>
      </c>
      <c r="D129" s="309">
        <v>25304</v>
      </c>
      <c r="E129" s="309">
        <v>208</v>
      </c>
      <c r="F129" s="312">
        <v>208</v>
      </c>
    </row>
    <row r="130" spans="1:6" ht="24.6">
      <c r="A130" s="730">
        <v>44682</v>
      </c>
      <c r="B130" s="309">
        <v>16737</v>
      </c>
      <c r="C130" s="309">
        <v>14665</v>
      </c>
      <c r="D130" s="309">
        <v>31402</v>
      </c>
      <c r="E130" s="309">
        <v>223</v>
      </c>
      <c r="F130" s="312">
        <v>223</v>
      </c>
    </row>
    <row r="131" spans="1:6" ht="24.6">
      <c r="A131" s="730">
        <v>44713</v>
      </c>
      <c r="B131" s="309">
        <v>17933</v>
      </c>
      <c r="C131" s="309">
        <v>15623</v>
      </c>
      <c r="D131" s="309">
        <v>33556</v>
      </c>
      <c r="E131" s="309">
        <v>235</v>
      </c>
      <c r="F131" s="312">
        <v>235</v>
      </c>
    </row>
    <row r="132" spans="1:6" ht="24.6">
      <c r="A132" s="730">
        <v>44743</v>
      </c>
      <c r="B132" s="309">
        <v>19395</v>
      </c>
      <c r="C132" s="309">
        <v>18754</v>
      </c>
      <c r="D132" s="309">
        <v>38149</v>
      </c>
      <c r="E132" s="309">
        <v>227</v>
      </c>
      <c r="F132" s="312">
        <v>227</v>
      </c>
    </row>
    <row r="133" spans="1:6" ht="24.6">
      <c r="A133" s="730">
        <v>44774</v>
      </c>
      <c r="B133" s="309">
        <v>14698</v>
      </c>
      <c r="C133" s="309">
        <v>19203</v>
      </c>
      <c r="D133" s="309">
        <v>33901</v>
      </c>
      <c r="E133" s="309">
        <v>242</v>
      </c>
      <c r="F133" s="312">
        <v>242</v>
      </c>
    </row>
    <row r="134" spans="1:6" ht="24.6">
      <c r="A134" s="730">
        <v>44805</v>
      </c>
      <c r="B134" s="309">
        <v>14966</v>
      </c>
      <c r="C134" s="309">
        <v>17534</v>
      </c>
      <c r="D134" s="309">
        <v>32500</v>
      </c>
      <c r="E134" s="309">
        <v>231</v>
      </c>
      <c r="F134" s="312">
        <v>231</v>
      </c>
    </row>
    <row r="135" spans="1:6" ht="24.6">
      <c r="A135" s="730">
        <v>44835</v>
      </c>
      <c r="B135" s="309">
        <v>17810</v>
      </c>
      <c r="C135" s="309">
        <v>16310</v>
      </c>
      <c r="D135" s="309">
        <v>34120</v>
      </c>
      <c r="E135" s="309">
        <v>224</v>
      </c>
      <c r="F135" s="312">
        <v>224</v>
      </c>
    </row>
    <row r="136" spans="1:6" ht="24.6">
      <c r="A136" s="730">
        <v>44866</v>
      </c>
      <c r="B136" s="309">
        <v>14847</v>
      </c>
      <c r="C136" s="309">
        <v>15199</v>
      </c>
      <c r="D136" s="309">
        <v>30046</v>
      </c>
      <c r="E136" s="309">
        <v>227</v>
      </c>
      <c r="F136" s="312">
        <v>227</v>
      </c>
    </row>
    <row r="137" spans="1:6" ht="24.6">
      <c r="A137" s="730">
        <v>44896</v>
      </c>
      <c r="B137" s="309">
        <v>15140</v>
      </c>
      <c r="C137" s="309">
        <v>14658</v>
      </c>
      <c r="D137" s="309">
        <v>29798</v>
      </c>
      <c r="E137" s="309">
        <v>243</v>
      </c>
      <c r="F137" s="312">
        <v>243</v>
      </c>
    </row>
    <row r="138" spans="1:6" ht="26.4">
      <c r="A138" s="730">
        <v>44927</v>
      </c>
      <c r="B138" s="767">
        <v>15584</v>
      </c>
      <c r="C138" s="767">
        <v>15642</v>
      </c>
      <c r="D138" s="309">
        <v>31226</v>
      </c>
      <c r="E138" s="642">
        <v>242</v>
      </c>
      <c r="F138" s="768">
        <v>242</v>
      </c>
    </row>
    <row r="139" spans="1:6" ht="26.4">
      <c r="A139" s="730">
        <v>44958</v>
      </c>
      <c r="B139" s="767">
        <v>13405</v>
      </c>
      <c r="C139" s="767">
        <v>14276</v>
      </c>
      <c r="D139" s="309">
        <v>27681</v>
      </c>
      <c r="E139" s="642">
        <v>234</v>
      </c>
      <c r="F139" s="768">
        <v>234</v>
      </c>
    </row>
    <row r="140" spans="1:6" ht="26.4">
      <c r="A140" s="730">
        <v>44986</v>
      </c>
      <c r="B140" s="767">
        <v>13891</v>
      </c>
      <c r="C140" s="767">
        <v>17456</v>
      </c>
      <c r="D140" s="309">
        <v>31347</v>
      </c>
      <c r="E140" s="642">
        <v>244</v>
      </c>
      <c r="F140" s="768">
        <v>244</v>
      </c>
    </row>
    <row r="141" spans="1:6" ht="26.4">
      <c r="A141" s="730">
        <v>45017</v>
      </c>
      <c r="B141" s="767">
        <v>13896</v>
      </c>
      <c r="C141" s="767">
        <v>16623</v>
      </c>
      <c r="D141" s="733">
        <v>30519</v>
      </c>
      <c r="E141" s="642">
        <v>242</v>
      </c>
      <c r="F141" s="768">
        <v>242</v>
      </c>
    </row>
    <row r="142" spans="1:6" ht="26.4">
      <c r="A142" s="730">
        <v>45047</v>
      </c>
      <c r="B142" s="767">
        <v>14033</v>
      </c>
      <c r="C142" s="767">
        <v>17694</v>
      </c>
      <c r="D142" s="733">
        <v>31727</v>
      </c>
      <c r="E142" s="642">
        <v>254</v>
      </c>
      <c r="F142" s="768">
        <v>254</v>
      </c>
    </row>
    <row r="143" spans="1:6" ht="26.4">
      <c r="A143" s="730">
        <v>45078</v>
      </c>
      <c r="B143" s="767">
        <v>15351</v>
      </c>
      <c r="C143" s="767">
        <v>18838</v>
      </c>
      <c r="D143" s="733">
        <v>34189</v>
      </c>
      <c r="E143" s="642">
        <v>250</v>
      </c>
      <c r="F143" s="768">
        <v>250</v>
      </c>
    </row>
    <row r="144" spans="1:6" ht="26.4">
      <c r="A144" s="730">
        <v>45108</v>
      </c>
      <c r="B144" s="767">
        <v>15351</v>
      </c>
      <c r="C144" s="767">
        <v>18838</v>
      </c>
      <c r="D144" s="733">
        <v>34189</v>
      </c>
      <c r="E144" s="642">
        <v>266</v>
      </c>
      <c r="F144" s="768">
        <v>266</v>
      </c>
    </row>
    <row r="145" spans="1:6" ht="26.4">
      <c r="A145" s="730">
        <v>45139</v>
      </c>
      <c r="B145" s="767">
        <v>15213</v>
      </c>
      <c r="C145" s="767">
        <v>20136</v>
      </c>
      <c r="D145" s="733">
        <v>35349</v>
      </c>
      <c r="E145" s="642">
        <v>270</v>
      </c>
      <c r="F145" s="768">
        <v>270</v>
      </c>
    </row>
    <row r="146" spans="1:6" ht="26.4">
      <c r="A146" s="730">
        <v>45170</v>
      </c>
      <c r="B146" s="767">
        <v>16076</v>
      </c>
      <c r="C146" s="767">
        <v>19765</v>
      </c>
      <c r="D146" s="733">
        <v>35841</v>
      </c>
      <c r="E146" s="642">
        <v>258</v>
      </c>
      <c r="F146" s="768">
        <v>258</v>
      </c>
    </row>
    <row r="147" spans="1:6" ht="26.4">
      <c r="A147" s="730">
        <v>45200</v>
      </c>
      <c r="B147" s="767">
        <v>17727</v>
      </c>
      <c r="C147" s="767">
        <v>17744</v>
      </c>
      <c r="D147" s="733">
        <v>35471</v>
      </c>
      <c r="E147" s="642">
        <v>228</v>
      </c>
      <c r="F147" s="768">
        <v>228</v>
      </c>
    </row>
    <row r="148" spans="1:6" ht="26.4">
      <c r="A148" s="730">
        <v>45231</v>
      </c>
      <c r="B148" s="767">
        <v>16554</v>
      </c>
      <c r="C148" s="767">
        <v>16759</v>
      </c>
      <c r="D148" s="733">
        <v>33313</v>
      </c>
      <c r="E148" s="642">
        <v>227</v>
      </c>
      <c r="F148" s="768">
        <v>227</v>
      </c>
    </row>
    <row r="149" spans="1:6" ht="27" thickBot="1">
      <c r="A149" s="731">
        <v>45261</v>
      </c>
      <c r="B149" s="769">
        <v>16113</v>
      </c>
      <c r="C149" s="769">
        <v>17541</v>
      </c>
      <c r="D149" s="770">
        <v>33654</v>
      </c>
      <c r="E149" s="771">
        <v>242</v>
      </c>
      <c r="F149" s="772">
        <v>242</v>
      </c>
    </row>
    <row r="152" spans="1:6" ht="24.6">
      <c r="A152" s="338" t="s">
        <v>353</v>
      </c>
    </row>
  </sheetData>
  <mergeCells count="3">
    <mergeCell ref="A4:A5"/>
    <mergeCell ref="B4:D4"/>
    <mergeCell ref="E4:F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E973-CECA-4C95-B294-15A72A475A6D}">
  <sheetPr>
    <tabColor theme="6"/>
  </sheetPr>
  <dimension ref="A1:U26"/>
  <sheetViews>
    <sheetView topLeftCell="A8" zoomScale="63" workbookViewId="0">
      <selection activeCell="W6" sqref="W6"/>
    </sheetView>
  </sheetViews>
  <sheetFormatPr baseColWidth="10" defaultRowHeight="14.4"/>
  <cols>
    <col min="1" max="1" width="26.33203125" customWidth="1"/>
    <col min="21" max="21" width="30.21875" customWidth="1"/>
  </cols>
  <sheetData>
    <row r="1" spans="1:21" ht="26.4">
      <c r="A1" s="580" t="s">
        <v>1499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25" t="s">
        <v>1500</v>
      </c>
    </row>
    <row r="2" spans="1:21" ht="26.4">
      <c r="A2" s="735"/>
      <c r="B2" s="736">
        <v>2004</v>
      </c>
      <c r="C2" s="736">
        <f>B2+1</f>
        <v>2005</v>
      </c>
      <c r="D2" s="736">
        <f t="shared" ref="D2:Q2" si="0">C2+1</f>
        <v>2006</v>
      </c>
      <c r="E2" s="736">
        <f t="shared" si="0"/>
        <v>2007</v>
      </c>
      <c r="F2" s="736">
        <f t="shared" si="0"/>
        <v>2008</v>
      </c>
      <c r="G2" s="736">
        <f t="shared" si="0"/>
        <v>2009</v>
      </c>
      <c r="H2" s="736">
        <f t="shared" si="0"/>
        <v>2010</v>
      </c>
      <c r="I2" s="736">
        <f t="shared" si="0"/>
        <v>2011</v>
      </c>
      <c r="J2" s="736">
        <f t="shared" si="0"/>
        <v>2012</v>
      </c>
      <c r="K2" s="736">
        <f t="shared" si="0"/>
        <v>2013</v>
      </c>
      <c r="L2" s="736">
        <f t="shared" si="0"/>
        <v>2014</v>
      </c>
      <c r="M2" s="736">
        <f t="shared" si="0"/>
        <v>2015</v>
      </c>
      <c r="N2" s="736">
        <f t="shared" si="0"/>
        <v>2016</v>
      </c>
      <c r="O2" s="736">
        <f t="shared" si="0"/>
        <v>2017</v>
      </c>
      <c r="P2" s="736">
        <f t="shared" si="0"/>
        <v>2018</v>
      </c>
      <c r="Q2" s="736">
        <f t="shared" si="0"/>
        <v>2019</v>
      </c>
      <c r="R2" s="737" t="s">
        <v>46</v>
      </c>
      <c r="S2" s="737">
        <v>2021</v>
      </c>
      <c r="T2" s="737">
        <v>2022</v>
      </c>
      <c r="U2" s="735"/>
    </row>
    <row r="3" spans="1:21" ht="26.4">
      <c r="A3" s="738" t="s">
        <v>1501</v>
      </c>
      <c r="B3" s="746">
        <v>566325</v>
      </c>
      <c r="C3" s="746">
        <v>786615</v>
      </c>
      <c r="D3" s="746">
        <v>1094992</v>
      </c>
      <c r="E3" s="746">
        <v>1550137</v>
      </c>
      <c r="F3" s="746">
        <v>2078388</v>
      </c>
      <c r="G3" s="746">
        <v>2256554</v>
      </c>
      <c r="H3" s="746">
        <v>2847622</v>
      </c>
      <c r="I3" s="746">
        <v>3355930</v>
      </c>
      <c r="J3" s="746">
        <v>4088815</v>
      </c>
      <c r="K3" s="746">
        <v>4042188</v>
      </c>
      <c r="L3" s="746">
        <v>3804762</v>
      </c>
      <c r="M3" s="746">
        <v>3694213</v>
      </c>
      <c r="N3" s="746">
        <v>3667363</v>
      </c>
      <c r="O3" s="746">
        <v>4131214</v>
      </c>
      <c r="P3" s="746">
        <v>4626461</v>
      </c>
      <c r="Q3" s="745">
        <f>SUM(Q4:Q5)</f>
        <v>4772658</v>
      </c>
      <c r="R3" s="745">
        <f>SUM(R4:R5)</f>
        <v>4994670</v>
      </c>
      <c r="S3" s="745" t="s">
        <v>1531</v>
      </c>
      <c r="T3" s="745" t="s">
        <v>1532</v>
      </c>
      <c r="U3" s="739" t="s">
        <v>1502</v>
      </c>
    </row>
    <row r="4" spans="1:21" ht="26.4">
      <c r="A4" s="738" t="s">
        <v>1503</v>
      </c>
      <c r="B4" s="746">
        <v>42282</v>
      </c>
      <c r="C4" s="746">
        <v>41000</v>
      </c>
      <c r="D4" s="746">
        <v>34870</v>
      </c>
      <c r="E4" s="746">
        <v>40267</v>
      </c>
      <c r="F4" s="746">
        <v>76354</v>
      </c>
      <c r="G4" s="746">
        <v>74305</v>
      </c>
      <c r="H4" s="746">
        <v>71572</v>
      </c>
      <c r="I4" s="746">
        <v>72294</v>
      </c>
      <c r="J4" s="746">
        <v>65069</v>
      </c>
      <c r="K4" s="746">
        <v>53993</v>
      </c>
      <c r="L4" s="746">
        <v>51432</v>
      </c>
      <c r="M4" s="746">
        <v>51294</v>
      </c>
      <c r="N4" s="746">
        <v>53191</v>
      </c>
      <c r="O4" s="746">
        <v>57057</v>
      </c>
      <c r="P4" s="746">
        <v>59959</v>
      </c>
      <c r="Q4" s="745">
        <v>61858</v>
      </c>
      <c r="R4" s="745">
        <v>62099</v>
      </c>
      <c r="S4" s="745" t="s">
        <v>1533</v>
      </c>
      <c r="T4" s="745">
        <v>47503</v>
      </c>
      <c r="U4" s="740" t="s">
        <v>1504</v>
      </c>
    </row>
    <row r="5" spans="1:21" ht="26.4">
      <c r="A5" s="738" t="s">
        <v>1505</v>
      </c>
      <c r="B5" s="746">
        <v>524043</v>
      </c>
      <c r="C5" s="746">
        <v>745615</v>
      </c>
      <c r="D5" s="746">
        <v>1060122</v>
      </c>
      <c r="E5" s="746">
        <v>1509870</v>
      </c>
      <c r="F5" s="746">
        <v>2002034</v>
      </c>
      <c r="G5" s="746">
        <v>2182249</v>
      </c>
      <c r="H5" s="746">
        <v>2776050</v>
      </c>
      <c r="I5" s="746">
        <v>3283636</v>
      </c>
      <c r="J5" s="746">
        <v>4023746</v>
      </c>
      <c r="K5" s="746">
        <v>3988195</v>
      </c>
      <c r="L5" s="746">
        <v>3753330</v>
      </c>
      <c r="M5" s="746">
        <f>M3-M4</f>
        <v>3642919</v>
      </c>
      <c r="N5" s="746">
        <v>3614172</v>
      </c>
      <c r="O5" s="746">
        <v>4074157</v>
      </c>
      <c r="P5" s="746">
        <v>4566502</v>
      </c>
      <c r="Q5" s="745">
        <v>4710800</v>
      </c>
      <c r="R5" s="745">
        <v>4932571</v>
      </c>
      <c r="S5" s="745" t="s">
        <v>1534</v>
      </c>
      <c r="T5" s="745" t="s">
        <v>1535</v>
      </c>
      <c r="U5" s="740" t="s">
        <v>1506</v>
      </c>
    </row>
    <row r="6" spans="1:21" ht="26.4">
      <c r="A6" s="738" t="s">
        <v>1507</v>
      </c>
      <c r="B6" s="746">
        <v>326916</v>
      </c>
      <c r="C6" s="746">
        <v>458970</v>
      </c>
      <c r="D6" s="746">
        <v>601221</v>
      </c>
      <c r="E6" s="746">
        <v>904488</v>
      </c>
      <c r="F6" s="746">
        <v>1184463</v>
      </c>
      <c r="G6" s="746">
        <v>1418681</v>
      </c>
      <c r="H6" s="746">
        <v>1576016</v>
      </c>
      <c r="I6" s="746">
        <v>1747730</v>
      </c>
      <c r="J6" s="746">
        <v>2013110</v>
      </c>
      <c r="K6" s="746">
        <v>2210123</v>
      </c>
      <c r="L6" s="746">
        <v>2110867</v>
      </c>
      <c r="M6" s="746"/>
      <c r="N6" s="746"/>
      <c r="O6" s="746"/>
      <c r="P6" s="746"/>
      <c r="Q6" s="746"/>
      <c r="R6" s="748"/>
      <c r="S6" s="745"/>
      <c r="T6" s="745"/>
      <c r="U6" s="741" t="s">
        <v>1508</v>
      </c>
    </row>
    <row r="7" spans="1:21" ht="26.4">
      <c r="A7" s="738" t="s">
        <v>1509</v>
      </c>
      <c r="B7" s="746">
        <v>197127</v>
      </c>
      <c r="C7" s="746">
        <v>286645</v>
      </c>
      <c r="D7" s="746">
        <v>458901</v>
      </c>
      <c r="E7" s="746">
        <v>509479</v>
      </c>
      <c r="F7" s="746">
        <v>607472</v>
      </c>
      <c r="G7" s="746">
        <v>416150</v>
      </c>
      <c r="H7" s="746">
        <v>737743</v>
      </c>
      <c r="I7" s="746">
        <v>807548</v>
      </c>
      <c r="J7" s="746">
        <v>899484</v>
      </c>
      <c r="K7" s="746">
        <v>535469</v>
      </c>
      <c r="L7" s="746">
        <v>603185</v>
      </c>
      <c r="M7" s="746"/>
      <c r="N7" s="746"/>
      <c r="O7" s="746"/>
      <c r="P7" s="746"/>
      <c r="Q7" s="746"/>
      <c r="R7" s="748"/>
      <c r="S7" s="745"/>
      <c r="T7" s="745"/>
      <c r="U7" s="741" t="s">
        <v>1510</v>
      </c>
    </row>
    <row r="8" spans="1:21" ht="26.4">
      <c r="A8" s="738" t="s">
        <v>1511</v>
      </c>
      <c r="B8" s="746"/>
      <c r="C8" s="746"/>
      <c r="D8" s="746"/>
      <c r="E8" s="746">
        <v>95903</v>
      </c>
      <c r="F8" s="746">
        <v>210099</v>
      </c>
      <c r="G8" s="746">
        <v>347418</v>
      </c>
      <c r="H8" s="746">
        <v>462291</v>
      </c>
      <c r="I8" s="746">
        <v>728358</v>
      </c>
      <c r="J8" s="746">
        <v>1111152</v>
      </c>
      <c r="K8" s="746">
        <v>1242603</v>
      </c>
      <c r="L8" s="746">
        <v>1039278</v>
      </c>
      <c r="M8" s="746"/>
      <c r="N8" s="746"/>
      <c r="O8" s="746"/>
      <c r="P8" s="746"/>
      <c r="Q8" s="746"/>
      <c r="R8" s="748"/>
      <c r="S8" s="745"/>
      <c r="T8" s="745"/>
      <c r="U8" s="741" t="s">
        <v>1512</v>
      </c>
    </row>
    <row r="9" spans="1:21" ht="26.4">
      <c r="A9" s="738" t="s">
        <v>1513</v>
      </c>
      <c r="B9" s="746"/>
      <c r="C9" s="746"/>
      <c r="D9" s="746"/>
      <c r="E9" s="746"/>
      <c r="F9" s="746"/>
      <c r="G9" s="746"/>
      <c r="H9" s="746"/>
      <c r="I9" s="746">
        <v>180657</v>
      </c>
      <c r="J9" s="746">
        <v>138524</v>
      </c>
      <c r="K9" s="746">
        <v>625278</v>
      </c>
      <c r="L9" s="746">
        <v>780427</v>
      </c>
      <c r="M9" s="746">
        <v>1183748</v>
      </c>
      <c r="N9" s="746">
        <v>1451227</v>
      </c>
      <c r="O9" s="746">
        <v>1362955</v>
      </c>
      <c r="P9" s="746">
        <v>2214035</v>
      </c>
      <c r="Q9" s="745" t="s">
        <v>1538</v>
      </c>
      <c r="R9" s="745" t="s">
        <v>1539</v>
      </c>
      <c r="S9" s="745" t="s">
        <v>1536</v>
      </c>
      <c r="T9" s="745" t="s">
        <v>1537</v>
      </c>
      <c r="U9" s="738" t="s">
        <v>1514</v>
      </c>
    </row>
    <row r="10" spans="1:21" ht="26.4">
      <c r="A10" s="742" t="s">
        <v>1515</v>
      </c>
      <c r="B10" s="734"/>
      <c r="C10" s="734"/>
      <c r="D10" s="734"/>
      <c r="E10" s="734"/>
      <c r="F10" s="734"/>
      <c r="G10" s="734"/>
      <c r="H10" s="734"/>
      <c r="I10" s="734"/>
      <c r="J10" s="734"/>
      <c r="K10" s="734"/>
      <c r="L10" s="734"/>
      <c r="M10" s="734"/>
      <c r="N10" s="734"/>
      <c r="O10" s="734"/>
      <c r="P10" s="734"/>
      <c r="Q10" s="734"/>
      <c r="R10" s="734"/>
      <c r="S10" s="734"/>
      <c r="T10" s="734"/>
      <c r="U10" s="743" t="s">
        <v>1516</v>
      </c>
    </row>
    <row r="11" spans="1:21" ht="26.4">
      <c r="A11" s="581"/>
      <c r="B11" s="734"/>
      <c r="C11" s="734"/>
      <c r="D11" s="734"/>
      <c r="E11" s="734"/>
      <c r="F11" s="734"/>
      <c r="G11" s="734"/>
      <c r="H11" s="734"/>
      <c r="I11" s="734"/>
      <c r="J11" s="734"/>
      <c r="K11" s="734"/>
      <c r="L11" s="734"/>
      <c r="M11" s="734"/>
      <c r="N11" s="734"/>
      <c r="O11" s="734"/>
      <c r="P11" s="734"/>
      <c r="Q11" s="734"/>
      <c r="R11" s="734"/>
      <c r="S11" s="734"/>
      <c r="T11" s="734"/>
      <c r="U11" s="579"/>
    </row>
    <row r="12" spans="1:21" ht="26.4">
      <c r="A12" s="581"/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34"/>
      <c r="O12" s="734"/>
      <c r="P12" s="734"/>
      <c r="Q12" s="734"/>
      <c r="R12" s="734"/>
      <c r="S12" s="734"/>
      <c r="T12" s="734"/>
      <c r="U12" s="725" t="s">
        <v>1517</v>
      </c>
    </row>
    <row r="13" spans="1:21" ht="26.4">
      <c r="A13" s="580" t="s">
        <v>1518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34"/>
      <c r="O13" s="734"/>
      <c r="P13" s="734"/>
      <c r="Q13" s="734"/>
      <c r="R13" s="734"/>
      <c r="S13" s="734"/>
      <c r="T13" s="734"/>
      <c r="U13" s="734"/>
    </row>
    <row r="14" spans="1:21" ht="26.4">
      <c r="A14" s="734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</row>
    <row r="15" spans="1:21" ht="26.4">
      <c r="A15" s="735" t="s">
        <v>1519</v>
      </c>
      <c r="B15" s="736">
        <v>2004</v>
      </c>
      <c r="C15" s="736">
        <f>B15+1</f>
        <v>2005</v>
      </c>
      <c r="D15" s="736">
        <f t="shared" ref="D15:Q15" si="1">C15+1</f>
        <v>2006</v>
      </c>
      <c r="E15" s="736">
        <f t="shared" si="1"/>
        <v>2007</v>
      </c>
      <c r="F15" s="736">
        <f t="shared" si="1"/>
        <v>2008</v>
      </c>
      <c r="G15" s="736">
        <f t="shared" si="1"/>
        <v>2009</v>
      </c>
      <c r="H15" s="736">
        <f t="shared" si="1"/>
        <v>2010</v>
      </c>
      <c r="I15" s="736">
        <f t="shared" si="1"/>
        <v>2011</v>
      </c>
      <c r="J15" s="736">
        <f t="shared" si="1"/>
        <v>2012</v>
      </c>
      <c r="K15" s="736">
        <f t="shared" si="1"/>
        <v>2013</v>
      </c>
      <c r="L15" s="736">
        <f t="shared" si="1"/>
        <v>2014</v>
      </c>
      <c r="M15" s="736">
        <f t="shared" si="1"/>
        <v>2015</v>
      </c>
      <c r="N15" s="736">
        <f t="shared" si="1"/>
        <v>2016</v>
      </c>
      <c r="O15" s="736">
        <f t="shared" si="1"/>
        <v>2017</v>
      </c>
      <c r="P15" s="736">
        <f t="shared" si="1"/>
        <v>2018</v>
      </c>
      <c r="Q15" s="736">
        <f t="shared" si="1"/>
        <v>2019</v>
      </c>
      <c r="R15" s="736">
        <v>2020</v>
      </c>
      <c r="S15" s="736">
        <v>2021</v>
      </c>
      <c r="T15" s="737">
        <v>2022</v>
      </c>
      <c r="U15" s="735"/>
    </row>
    <row r="16" spans="1:21" ht="26.4">
      <c r="A16" s="738" t="s">
        <v>1520</v>
      </c>
      <c r="B16" s="746">
        <v>317949</v>
      </c>
      <c r="C16" s="746">
        <v>492064</v>
      </c>
      <c r="D16" s="746">
        <v>581574</v>
      </c>
      <c r="E16" s="746">
        <v>809890</v>
      </c>
      <c r="F16" s="746">
        <v>1223959</v>
      </c>
      <c r="G16" s="746">
        <v>1650850</v>
      </c>
      <c r="H16" s="746">
        <v>2295986</v>
      </c>
      <c r="I16" s="746">
        <v>2746111</v>
      </c>
      <c r="J16" s="746">
        <v>3333198</v>
      </c>
      <c r="K16" s="746">
        <v>4130211</v>
      </c>
      <c r="L16" s="746">
        <v>4828652</v>
      </c>
      <c r="M16" s="746">
        <v>5003906</v>
      </c>
      <c r="N16" s="746">
        <v>5047.2809999999999</v>
      </c>
      <c r="O16" s="746">
        <v>4863.2879999999996</v>
      </c>
      <c r="P16" s="746">
        <v>5203</v>
      </c>
      <c r="Q16" s="746">
        <v>5483</v>
      </c>
      <c r="R16" s="746" t="s">
        <v>1540</v>
      </c>
      <c r="S16" s="746" t="s">
        <v>1541</v>
      </c>
      <c r="T16" s="746">
        <v>6112</v>
      </c>
      <c r="U16" s="336" t="s">
        <v>1521</v>
      </c>
    </row>
    <row r="17" spans="1:21" ht="26.4">
      <c r="A17" s="738" t="s">
        <v>1522</v>
      </c>
      <c r="B17" s="746">
        <v>73054</v>
      </c>
      <c r="C17" s="746">
        <v>71032</v>
      </c>
      <c r="D17" s="746">
        <v>54555</v>
      </c>
      <c r="E17" s="746">
        <v>52970</v>
      </c>
      <c r="F17" s="746">
        <v>55870</v>
      </c>
      <c r="G17" s="746">
        <v>33485</v>
      </c>
      <c r="H17" s="746">
        <v>12648</v>
      </c>
      <c r="I17" s="746">
        <v>16059</v>
      </c>
      <c r="J17" s="746">
        <v>15614</v>
      </c>
      <c r="K17" s="746">
        <v>9598</v>
      </c>
      <c r="L17" s="746">
        <v>15087</v>
      </c>
      <c r="M17" s="746">
        <v>16111</v>
      </c>
      <c r="N17" s="746">
        <v>9.4619999999999997</v>
      </c>
      <c r="O17" s="746">
        <v>5.1849999999999996</v>
      </c>
      <c r="P17" s="746">
        <v>7</v>
      </c>
      <c r="Q17" s="746"/>
      <c r="R17" s="746"/>
      <c r="S17" s="746"/>
      <c r="T17" s="746"/>
      <c r="U17" s="410" t="s">
        <v>1504</v>
      </c>
    </row>
    <row r="18" spans="1:21" ht="26.4">
      <c r="A18" s="738" t="s">
        <v>1523</v>
      </c>
      <c r="B18" s="746">
        <v>244895</v>
      </c>
      <c r="C18" s="746">
        <v>421032</v>
      </c>
      <c r="D18" s="746">
        <v>527019</v>
      </c>
      <c r="E18" s="746">
        <v>756920</v>
      </c>
      <c r="F18" s="746">
        <v>1168089</v>
      </c>
      <c r="G18" s="746">
        <v>1617365</v>
      </c>
      <c r="H18" s="746">
        <v>2283338</v>
      </c>
      <c r="I18" s="746">
        <v>2730052</v>
      </c>
      <c r="J18" s="746">
        <v>3317584</v>
      </c>
      <c r="K18" s="746">
        <v>4120613</v>
      </c>
      <c r="L18" s="746">
        <v>4813565</v>
      </c>
      <c r="M18" s="746">
        <f>M16-M17</f>
        <v>4987795</v>
      </c>
      <c r="N18" s="746">
        <v>5037.8190000000004</v>
      </c>
      <c r="O18" s="746">
        <v>4859.0190000000002</v>
      </c>
      <c r="P18" s="746">
        <v>5196</v>
      </c>
      <c r="Q18" s="746"/>
      <c r="R18" s="746"/>
      <c r="S18" s="746"/>
      <c r="T18" s="746"/>
      <c r="U18" s="410" t="s">
        <v>1506</v>
      </c>
    </row>
    <row r="19" spans="1:21" ht="26.4">
      <c r="A19" s="742" t="s">
        <v>1515</v>
      </c>
      <c r="B19" s="734"/>
      <c r="C19" s="734"/>
      <c r="D19" s="734"/>
      <c r="E19" s="734"/>
      <c r="F19" s="734"/>
      <c r="G19" s="734"/>
      <c r="H19" s="734"/>
      <c r="I19" s="734"/>
      <c r="J19" s="734"/>
      <c r="K19" s="734"/>
      <c r="L19" s="734"/>
      <c r="M19" s="734"/>
      <c r="N19" s="734"/>
      <c r="O19" s="734"/>
      <c r="P19" s="734"/>
      <c r="Q19" s="734"/>
      <c r="R19" s="734"/>
      <c r="S19" s="734"/>
      <c r="T19" s="734"/>
      <c r="U19" s="743" t="s">
        <v>1516</v>
      </c>
    </row>
    <row r="20" spans="1:21" ht="26.4">
      <c r="A20" s="734"/>
      <c r="B20" s="734"/>
      <c r="C20" s="734"/>
      <c r="D20" s="734"/>
      <c r="E20" s="734"/>
      <c r="F20" s="734"/>
      <c r="G20" s="734"/>
      <c r="H20" s="734"/>
      <c r="I20" s="734"/>
      <c r="J20" s="734"/>
      <c r="K20" s="734"/>
      <c r="L20" s="734"/>
      <c r="M20" s="734"/>
      <c r="N20" s="734"/>
      <c r="O20" s="734"/>
      <c r="P20" s="734"/>
      <c r="Q20" s="734"/>
      <c r="R20" s="734"/>
      <c r="S20" s="734"/>
      <c r="T20" s="734"/>
      <c r="U20" s="725" t="s">
        <v>1524</v>
      </c>
    </row>
    <row r="21" spans="1:21" ht="26.4">
      <c r="A21" s="580" t="s">
        <v>1525</v>
      </c>
      <c r="B21" s="734"/>
      <c r="C21" s="734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/>
      <c r="Q21" s="734"/>
      <c r="R21" s="734"/>
      <c r="S21" s="734"/>
      <c r="T21" s="734"/>
      <c r="U21" s="734"/>
    </row>
    <row r="22" spans="1:21" ht="26.4">
      <c r="A22" s="734"/>
      <c r="B22" s="734"/>
      <c r="C22" s="734"/>
      <c r="D22" s="734"/>
      <c r="E22" s="734"/>
      <c r="F22" s="734"/>
      <c r="G22" s="734"/>
      <c r="H22" s="734"/>
      <c r="I22" s="734"/>
      <c r="J22" s="734"/>
      <c r="K22" s="734"/>
      <c r="L22" s="734"/>
      <c r="M22" s="734"/>
      <c r="N22" s="734"/>
      <c r="O22" s="734"/>
      <c r="P22" s="734"/>
      <c r="Q22" s="734"/>
      <c r="R22" s="734"/>
      <c r="S22" s="734"/>
      <c r="T22" s="734"/>
      <c r="U22" s="734"/>
    </row>
    <row r="23" spans="1:21" ht="26.4">
      <c r="A23" s="735" t="s">
        <v>1526</v>
      </c>
      <c r="B23" s="736">
        <v>2004</v>
      </c>
      <c r="C23" s="736">
        <f>B23+1</f>
        <v>2005</v>
      </c>
      <c r="D23" s="736">
        <f t="shared" ref="D23:Q23" si="2">C23+1</f>
        <v>2006</v>
      </c>
      <c r="E23" s="736">
        <f t="shared" si="2"/>
        <v>2007</v>
      </c>
      <c r="F23" s="736">
        <f t="shared" si="2"/>
        <v>2008</v>
      </c>
      <c r="G23" s="736">
        <f t="shared" si="2"/>
        <v>2009</v>
      </c>
      <c r="H23" s="736">
        <f t="shared" si="2"/>
        <v>2010</v>
      </c>
      <c r="I23" s="736">
        <f t="shared" si="2"/>
        <v>2011</v>
      </c>
      <c r="J23" s="736">
        <f t="shared" si="2"/>
        <v>2012</v>
      </c>
      <c r="K23" s="736">
        <f t="shared" si="2"/>
        <v>2013</v>
      </c>
      <c r="L23" s="736">
        <f t="shared" si="2"/>
        <v>2014</v>
      </c>
      <c r="M23" s="736">
        <f t="shared" si="2"/>
        <v>2015</v>
      </c>
      <c r="N23" s="736">
        <f t="shared" si="2"/>
        <v>2016</v>
      </c>
      <c r="O23" s="736">
        <f t="shared" si="2"/>
        <v>2017</v>
      </c>
      <c r="P23" s="736">
        <f t="shared" si="2"/>
        <v>2018</v>
      </c>
      <c r="Q23" s="736">
        <f t="shared" si="2"/>
        <v>2019</v>
      </c>
      <c r="R23" s="736">
        <v>2020</v>
      </c>
      <c r="S23" s="736">
        <v>2021</v>
      </c>
      <c r="T23" s="737">
        <v>2022</v>
      </c>
      <c r="U23" s="735"/>
    </row>
    <row r="24" spans="1:21" ht="26.4">
      <c r="A24" s="738" t="s">
        <v>1527</v>
      </c>
      <c r="B24" s="746">
        <v>29873</v>
      </c>
      <c r="C24" s="746">
        <v>35261</v>
      </c>
      <c r="D24" s="746">
        <v>42378</v>
      </c>
      <c r="E24" s="746">
        <v>50171</v>
      </c>
      <c r="F24" s="746">
        <v>57145</v>
      </c>
      <c r="G24" s="746">
        <v>62495</v>
      </c>
      <c r="H24" s="746">
        <v>60717</v>
      </c>
      <c r="I24" s="746">
        <v>65289</v>
      </c>
      <c r="J24" s="746">
        <v>76225</v>
      </c>
      <c r="K24" s="746">
        <v>80057</v>
      </c>
      <c r="L24" s="746">
        <v>8397.6</v>
      </c>
      <c r="M24" s="746">
        <v>8283.9</v>
      </c>
      <c r="N24" s="746">
        <v>8601</v>
      </c>
      <c r="O24" s="746">
        <v>9127</v>
      </c>
      <c r="P24" s="746">
        <v>9429</v>
      </c>
      <c r="Q24" s="746">
        <v>10171</v>
      </c>
      <c r="R24" s="746" t="s">
        <v>1542</v>
      </c>
      <c r="S24" s="746" t="s">
        <v>1543</v>
      </c>
      <c r="T24" s="746">
        <v>11268</v>
      </c>
      <c r="U24" s="336" t="s">
        <v>1528</v>
      </c>
    </row>
    <row r="25" spans="1:21" ht="26.4">
      <c r="A25" s="738" t="s">
        <v>1529</v>
      </c>
      <c r="B25" s="747">
        <v>0.23</v>
      </c>
      <c r="C25" s="747">
        <f t="shared" ref="C25:Q25" si="3">C24/B24-1</f>
        <v>0.18036353898168911</v>
      </c>
      <c r="D25" s="747">
        <f t="shared" si="3"/>
        <v>0.20183772439806025</v>
      </c>
      <c r="E25" s="747">
        <f t="shared" si="3"/>
        <v>0.18389258577563838</v>
      </c>
      <c r="F25" s="747">
        <f t="shared" si="3"/>
        <v>0.13900460425345318</v>
      </c>
      <c r="G25" s="747">
        <f t="shared" si="3"/>
        <v>9.3621489194155139E-2</v>
      </c>
      <c r="H25" s="747">
        <f t="shared" si="3"/>
        <v>-2.8450276022081722E-2</v>
      </c>
      <c r="I25" s="747">
        <f t="shared" si="3"/>
        <v>7.5300163051534197E-2</v>
      </c>
      <c r="J25" s="747">
        <f t="shared" si="3"/>
        <v>0.16750141677771135</v>
      </c>
      <c r="K25" s="747">
        <f t="shared" si="3"/>
        <v>5.0272220400131129E-2</v>
      </c>
      <c r="L25" s="747">
        <f t="shared" si="3"/>
        <v>-0.89510473787426459</v>
      </c>
      <c r="M25" s="747">
        <f t="shared" si="3"/>
        <v>-1.3539582737925215E-2</v>
      </c>
      <c r="N25" s="747">
        <f t="shared" si="3"/>
        <v>3.8279071451852387E-2</v>
      </c>
      <c r="O25" s="747">
        <f t="shared" si="3"/>
        <v>6.1155679572142851E-2</v>
      </c>
      <c r="P25" s="747">
        <f t="shared" si="3"/>
        <v>3.3088638106716362E-2</v>
      </c>
      <c r="Q25" s="747">
        <f t="shared" si="3"/>
        <v>7.8693392724573208E-2</v>
      </c>
      <c r="R25" s="746" t="s">
        <v>1544</v>
      </c>
      <c r="S25" s="746" t="s">
        <v>1545</v>
      </c>
      <c r="T25" s="746">
        <v>7.0000000000000007E-2</v>
      </c>
      <c r="U25" s="744" t="s">
        <v>1530</v>
      </c>
    </row>
    <row r="26" spans="1:21" ht="26.4">
      <c r="A26" s="742" t="s">
        <v>1515</v>
      </c>
      <c r="B26" s="734"/>
      <c r="C26" s="734"/>
      <c r="D26" s="734"/>
      <c r="E26" s="734"/>
      <c r="F26" s="734"/>
      <c r="G26" s="734"/>
      <c r="H26" s="734"/>
      <c r="I26" s="734"/>
      <c r="J26" s="734"/>
      <c r="K26" s="734"/>
      <c r="L26" s="734"/>
      <c r="M26" s="734"/>
      <c r="N26" s="734"/>
      <c r="O26" s="734"/>
      <c r="P26" s="734"/>
      <c r="Q26" s="734"/>
      <c r="R26" s="734"/>
      <c r="S26" s="734"/>
      <c r="T26" s="734"/>
      <c r="U26" s="743" t="s">
        <v>1516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3"/>
  <sheetViews>
    <sheetView zoomScale="54" zoomScaleNormal="100" workbookViewId="0">
      <selection activeCell="O15" sqref="O15"/>
    </sheetView>
  </sheetViews>
  <sheetFormatPr baseColWidth="10" defaultColWidth="11.44140625" defaultRowHeight="14.4"/>
  <cols>
    <col min="1" max="16384" width="11.44140625" style="188"/>
  </cols>
  <sheetData>
    <row r="1" spans="1:7">
      <c r="A1"/>
      <c r="B1"/>
      <c r="C1"/>
      <c r="D1"/>
      <c r="E1"/>
      <c r="F1"/>
      <c r="G1"/>
    </row>
    <row r="2" spans="1:7">
      <c r="A2" s="187"/>
      <c r="B2" s="187"/>
      <c r="C2" s="187"/>
      <c r="D2" s="187"/>
      <c r="E2" s="187"/>
      <c r="F2" s="187"/>
      <c r="G2" s="187"/>
    </row>
    <row r="3" spans="1:7">
      <c r="A3" s="187"/>
      <c r="B3" s="187"/>
      <c r="C3" s="187"/>
      <c r="D3" s="187"/>
      <c r="E3" s="187"/>
      <c r="F3" s="187"/>
      <c r="G3" s="187"/>
    </row>
    <row r="4" spans="1:7">
      <c r="A4" s="187"/>
      <c r="B4" s="187"/>
      <c r="C4" s="187"/>
      <c r="D4" s="187"/>
      <c r="E4" s="187"/>
      <c r="F4" s="187"/>
      <c r="G4" s="187"/>
    </row>
    <row r="5" spans="1:7">
      <c r="A5" s="187"/>
      <c r="B5" s="187"/>
      <c r="C5" s="187"/>
      <c r="D5" s="187"/>
      <c r="E5" s="187"/>
      <c r="F5" s="187"/>
      <c r="G5" s="187"/>
    </row>
    <row r="6" spans="1:7">
      <c r="A6" s="187"/>
      <c r="B6" s="187"/>
      <c r="C6" s="187"/>
      <c r="D6" s="187"/>
      <c r="E6" s="187"/>
      <c r="F6" s="187"/>
      <c r="G6" s="187"/>
    </row>
    <row r="7" spans="1:7">
      <c r="A7" s="187"/>
      <c r="B7" s="187"/>
      <c r="C7" s="187"/>
      <c r="D7" s="187"/>
      <c r="E7" s="187"/>
      <c r="F7" s="187"/>
      <c r="G7" s="187"/>
    </row>
    <row r="8" spans="1:7">
      <c r="A8" s="187"/>
      <c r="B8" s="187"/>
      <c r="C8" s="187"/>
      <c r="D8" s="187"/>
      <c r="E8" s="187"/>
      <c r="F8" s="187"/>
      <c r="G8" s="187"/>
    </row>
    <row r="9" spans="1:7">
      <c r="A9" s="187"/>
      <c r="B9" s="187"/>
      <c r="C9" s="187"/>
      <c r="D9" s="187"/>
      <c r="E9" s="187"/>
      <c r="F9" s="187"/>
      <c r="G9" s="187"/>
    </row>
    <row r="10" spans="1:7">
      <c r="A10" s="187"/>
      <c r="B10" s="187"/>
      <c r="C10" s="187"/>
      <c r="D10" s="187"/>
      <c r="E10" s="187"/>
      <c r="F10" s="187"/>
      <c r="G10" s="187"/>
    </row>
    <row r="11" spans="1:7">
      <c r="A11" s="187"/>
      <c r="B11" s="187"/>
      <c r="C11" s="187"/>
      <c r="D11" s="187"/>
      <c r="E11" s="187"/>
      <c r="F11" s="187"/>
      <c r="G11" s="187"/>
    </row>
    <row r="12" spans="1:7" ht="37.200000000000003">
      <c r="A12" s="877" t="s">
        <v>1548</v>
      </c>
      <c r="B12" s="877"/>
      <c r="C12" s="877"/>
      <c r="D12" s="877"/>
      <c r="E12" s="877"/>
      <c r="F12" s="877"/>
      <c r="G12" s="877"/>
    </row>
    <row r="13" spans="1:7">
      <c r="A13" s="764"/>
      <c r="B13" s="764"/>
      <c r="C13" s="764"/>
      <c r="D13" s="764"/>
      <c r="E13" s="764"/>
      <c r="F13" s="764"/>
      <c r="G13" s="764"/>
    </row>
    <row r="14" spans="1:7" ht="51">
      <c r="A14" s="878" t="s">
        <v>883</v>
      </c>
      <c r="B14" s="878"/>
      <c r="C14" s="878"/>
      <c r="D14" s="878"/>
      <c r="E14" s="878"/>
      <c r="F14" s="878"/>
      <c r="G14" s="878"/>
    </row>
    <row r="15" spans="1:7" ht="70.5" customHeight="1">
      <c r="A15" s="764"/>
      <c r="B15" s="764"/>
      <c r="C15" s="764"/>
      <c r="D15" s="764"/>
      <c r="E15" s="764"/>
      <c r="F15" s="764"/>
      <c r="G15" s="764"/>
    </row>
    <row r="16" spans="1:7">
      <c r="A16" s="764"/>
      <c r="B16" s="764"/>
      <c r="C16" s="764"/>
      <c r="D16" s="764"/>
      <c r="E16" s="764"/>
      <c r="F16" s="764"/>
      <c r="G16" s="764"/>
    </row>
    <row r="17" spans="1:7" ht="24.6">
      <c r="A17" s="879" t="s">
        <v>1549</v>
      </c>
      <c r="B17" s="879"/>
      <c r="C17" s="879"/>
      <c r="D17" s="879"/>
      <c r="E17" s="879"/>
      <c r="F17" s="879"/>
      <c r="G17" s="879"/>
    </row>
    <row r="18" spans="1:7">
      <c r="A18" s="764"/>
      <c r="B18" s="764"/>
      <c r="C18" s="764"/>
      <c r="D18" s="764"/>
      <c r="E18" s="764"/>
      <c r="F18" s="764"/>
      <c r="G18" s="764"/>
    </row>
    <row r="19" spans="1:7" ht="37.200000000000003">
      <c r="A19" s="877" t="s">
        <v>884</v>
      </c>
      <c r="B19" s="877"/>
      <c r="C19" s="877"/>
      <c r="D19" s="877"/>
      <c r="E19" s="877"/>
      <c r="F19" s="877"/>
      <c r="G19" s="877"/>
    </row>
    <row r="20" spans="1:7">
      <c r="A20" s="187"/>
      <c r="B20" s="187"/>
      <c r="C20" s="187"/>
      <c r="D20" s="187"/>
      <c r="E20" s="187"/>
      <c r="F20" s="187"/>
      <c r="G20" s="187"/>
    </row>
    <row r="21" spans="1:7" ht="37.200000000000003">
      <c r="A21" s="876"/>
      <c r="B21" s="876"/>
      <c r="C21" s="876"/>
      <c r="D21" s="876"/>
      <c r="E21" s="876"/>
      <c r="F21" s="876"/>
      <c r="G21" s="876"/>
    </row>
    <row r="22" spans="1:7">
      <c r="A22" s="187"/>
      <c r="B22" s="187"/>
      <c r="C22" s="187"/>
      <c r="D22" s="187"/>
      <c r="E22" s="187"/>
      <c r="F22" s="187"/>
      <c r="G22" s="187"/>
    </row>
    <row r="23" spans="1:7">
      <c r="A23" s="187"/>
      <c r="B23" s="187"/>
      <c r="C23" s="187"/>
      <c r="D23" s="187"/>
      <c r="E23" s="187"/>
      <c r="F23" s="187"/>
      <c r="G23" s="187"/>
    </row>
    <row r="24" spans="1:7">
      <c r="A24" s="187"/>
      <c r="B24" s="187"/>
      <c r="C24" s="187"/>
      <c r="D24" s="187"/>
      <c r="E24" s="187"/>
      <c r="F24" s="187"/>
      <c r="G24" s="187"/>
    </row>
    <row r="25" spans="1:7">
      <c r="A25" s="187"/>
      <c r="B25" s="187"/>
      <c r="C25" s="187"/>
      <c r="D25" s="187"/>
      <c r="E25" s="187"/>
      <c r="F25" s="187"/>
      <c r="G25" s="187"/>
    </row>
    <row r="26" spans="1:7">
      <c r="A26" s="187"/>
      <c r="B26" s="187"/>
      <c r="C26" s="187"/>
      <c r="D26" s="187"/>
      <c r="E26" s="187"/>
      <c r="F26" s="187"/>
      <c r="G26" s="187"/>
    </row>
    <row r="28" spans="1:7">
      <c r="A28" s="189"/>
      <c r="B28" s="189"/>
      <c r="C28" s="189"/>
      <c r="D28" s="189"/>
      <c r="E28" s="189"/>
      <c r="F28" s="189"/>
      <c r="G28" s="189"/>
    </row>
    <row r="29" spans="1:7" ht="66.75" customHeight="1"/>
    <row r="30" spans="1:7">
      <c r="A30" s="189"/>
      <c r="B30" s="189"/>
      <c r="C30" s="189"/>
      <c r="D30" s="189"/>
      <c r="E30" s="189"/>
      <c r="F30" s="189"/>
      <c r="G30" s="189"/>
    </row>
    <row r="31" spans="1:7">
      <c r="A31" s="189"/>
      <c r="B31" s="189"/>
      <c r="C31" s="189"/>
      <c r="D31" s="189"/>
      <c r="E31" s="189"/>
      <c r="F31" s="189"/>
      <c r="G31" s="189"/>
    </row>
    <row r="33" spans="1:7">
      <c r="A33" s="189"/>
      <c r="B33" s="189"/>
      <c r="C33" s="189"/>
      <c r="D33" s="189"/>
      <c r="E33" s="189"/>
      <c r="F33" s="189"/>
      <c r="G33" s="189"/>
    </row>
  </sheetData>
  <mergeCells count="5">
    <mergeCell ref="A21:G21"/>
    <mergeCell ref="A12:G12"/>
    <mergeCell ref="A14:G14"/>
    <mergeCell ref="A17:G17"/>
    <mergeCell ref="A19:G1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/>
  </sheetPr>
  <dimension ref="A3:AG36"/>
  <sheetViews>
    <sheetView zoomScale="81" workbookViewId="0">
      <selection activeCell="AD7" sqref="AD7"/>
    </sheetView>
  </sheetViews>
  <sheetFormatPr baseColWidth="10" defaultRowHeight="14.4"/>
  <cols>
    <col min="1" max="1" width="20.6640625" customWidth="1"/>
    <col min="2" max="2" width="16.21875" customWidth="1"/>
    <col min="32" max="32" width="11.5546875" customWidth="1"/>
    <col min="33" max="33" width="33.44140625" customWidth="1"/>
  </cols>
  <sheetData>
    <row r="3" spans="1:33" ht="24.6">
      <c r="A3" s="765" t="s">
        <v>1550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</row>
    <row r="4" spans="1:33" ht="24.6">
      <c r="A4" s="390"/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77" t="s">
        <v>1552</v>
      </c>
    </row>
    <row r="5" spans="1:33" ht="24.6">
      <c r="A5" s="340"/>
      <c r="B5" s="373"/>
      <c r="C5" s="373"/>
      <c r="D5" s="373"/>
      <c r="E5" s="373"/>
      <c r="F5" s="373"/>
      <c r="G5" s="373"/>
      <c r="H5" s="373"/>
      <c r="I5" s="340"/>
      <c r="J5" s="340"/>
      <c r="K5" s="340"/>
      <c r="L5" s="340"/>
      <c r="M5" s="340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  <c r="AC5" s="338"/>
      <c r="AD5" s="338"/>
      <c r="AE5" s="338"/>
      <c r="AF5" s="338"/>
      <c r="AG5" s="338"/>
    </row>
    <row r="6" spans="1:33" ht="24.6">
      <c r="A6" s="342"/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</row>
    <row r="7" spans="1:33" ht="26.4">
      <c r="A7" s="880" t="s">
        <v>1546</v>
      </c>
      <c r="B7" s="881"/>
      <c r="C7" s="736">
        <v>1995</v>
      </c>
      <c r="D7" s="736">
        <v>1996</v>
      </c>
      <c r="E7" s="736">
        <v>1997</v>
      </c>
      <c r="F7" s="736">
        <v>1998</v>
      </c>
      <c r="G7" s="736">
        <v>1999</v>
      </c>
      <c r="H7" s="736">
        <v>2000</v>
      </c>
      <c r="I7" s="736">
        <v>2001</v>
      </c>
      <c r="J7" s="736">
        <v>2002</v>
      </c>
      <c r="K7" s="736">
        <v>2003</v>
      </c>
      <c r="L7" s="736">
        <v>2004</v>
      </c>
      <c r="M7" s="736">
        <v>2005</v>
      </c>
      <c r="N7" s="736">
        <v>2006</v>
      </c>
      <c r="O7" s="736">
        <v>2007</v>
      </c>
      <c r="P7" s="736">
        <v>2008</v>
      </c>
      <c r="Q7" s="736">
        <v>2009</v>
      </c>
      <c r="R7" s="736">
        <v>2010</v>
      </c>
      <c r="S7" s="736">
        <v>2011</v>
      </c>
      <c r="T7" s="736">
        <v>2012</v>
      </c>
      <c r="U7" s="736">
        <v>2013</v>
      </c>
      <c r="V7" s="736">
        <v>2014</v>
      </c>
      <c r="W7" s="736">
        <v>2015</v>
      </c>
      <c r="X7" s="736">
        <v>2016</v>
      </c>
      <c r="Y7" s="736">
        <v>2017</v>
      </c>
      <c r="Z7" s="736">
        <v>2018</v>
      </c>
      <c r="AA7" s="736">
        <v>2019</v>
      </c>
      <c r="AB7" s="736">
        <v>2020</v>
      </c>
      <c r="AC7" s="736">
        <v>2021</v>
      </c>
      <c r="AD7" s="736">
        <v>2022</v>
      </c>
      <c r="AE7" s="736">
        <v>2023</v>
      </c>
      <c r="AF7" s="880" t="s">
        <v>1547</v>
      </c>
      <c r="AG7" s="881"/>
    </row>
    <row r="8" spans="1:33" ht="24.6">
      <c r="A8" s="749" t="s">
        <v>829</v>
      </c>
      <c r="B8" s="750" t="s">
        <v>830</v>
      </c>
      <c r="C8" s="751">
        <v>20.274999999999999</v>
      </c>
      <c r="D8" s="752">
        <v>20.516666666666666</v>
      </c>
      <c r="E8" s="751">
        <v>21.116666666666667</v>
      </c>
      <c r="F8" s="752">
        <v>21.208333333333336</v>
      </c>
      <c r="G8" s="752">
        <v>20.25</v>
      </c>
      <c r="H8" s="751">
        <v>20.366666666666667</v>
      </c>
      <c r="I8" s="751">
        <v>20.666666666666664</v>
      </c>
      <c r="J8" s="751">
        <v>20.533333333333335</v>
      </c>
      <c r="K8" s="751">
        <v>20.783333333333335</v>
      </c>
      <c r="L8" s="751">
        <v>20.475000000000001</v>
      </c>
      <c r="M8" s="751">
        <v>21.2</v>
      </c>
      <c r="N8" s="381">
        <v>20.399999999999999</v>
      </c>
      <c r="O8" s="381">
        <v>20.100000000000001</v>
      </c>
      <c r="P8" s="381">
        <v>21.5</v>
      </c>
      <c r="Q8" s="381">
        <v>20.3</v>
      </c>
      <c r="R8" s="381">
        <v>21.3</v>
      </c>
      <c r="S8" s="346">
        <v>19.8</v>
      </c>
      <c r="T8" s="346">
        <v>20.7</v>
      </c>
      <c r="U8" s="346">
        <v>20.6</v>
      </c>
      <c r="V8" s="346">
        <v>20.3</v>
      </c>
      <c r="W8" s="346" t="s">
        <v>13</v>
      </c>
      <c r="X8" s="346" t="s">
        <v>13</v>
      </c>
      <c r="Y8" s="346" t="s">
        <v>13</v>
      </c>
      <c r="Z8" s="346" t="s">
        <v>13</v>
      </c>
      <c r="AA8" s="346" t="s">
        <v>13</v>
      </c>
      <c r="AB8" s="346">
        <v>20.399999999999999</v>
      </c>
      <c r="AC8" s="346">
        <v>20.2</v>
      </c>
      <c r="AD8" s="346">
        <v>21.3</v>
      </c>
      <c r="AE8" s="346">
        <v>21.6</v>
      </c>
      <c r="AF8" s="395" t="s">
        <v>845</v>
      </c>
      <c r="AG8" s="347" t="s">
        <v>335</v>
      </c>
    </row>
    <row r="9" spans="1:33" ht="24.6">
      <c r="A9" s="749"/>
      <c r="B9" s="750" t="s">
        <v>831</v>
      </c>
      <c r="C9" s="751">
        <v>32.6</v>
      </c>
      <c r="D9" s="752">
        <v>33.31666666666667</v>
      </c>
      <c r="E9" s="751">
        <v>34.6</v>
      </c>
      <c r="F9" s="752">
        <v>33.799999999999997</v>
      </c>
      <c r="G9" s="752">
        <v>32.5</v>
      </c>
      <c r="H9" s="751">
        <v>32.9</v>
      </c>
      <c r="I9" s="751">
        <v>34.1</v>
      </c>
      <c r="J9" s="751">
        <v>33.4</v>
      </c>
      <c r="K9" s="751">
        <v>32.799999999999997</v>
      </c>
      <c r="L9" s="751">
        <v>33.299999999999997</v>
      </c>
      <c r="M9" s="751">
        <v>33.6</v>
      </c>
      <c r="N9" s="381">
        <v>33.9</v>
      </c>
      <c r="O9" s="381">
        <v>33.4</v>
      </c>
      <c r="P9" s="381">
        <v>33.9</v>
      </c>
      <c r="Q9" s="381">
        <v>32.799999999999997</v>
      </c>
      <c r="R9" s="381">
        <v>34</v>
      </c>
      <c r="S9" s="346">
        <v>33.4</v>
      </c>
      <c r="T9" s="346">
        <v>32.700000000000003</v>
      </c>
      <c r="U9" s="346">
        <v>34</v>
      </c>
      <c r="V9" s="346">
        <v>33.299999999999997</v>
      </c>
      <c r="W9" s="346" t="s">
        <v>13</v>
      </c>
      <c r="X9" s="346" t="s">
        <v>13</v>
      </c>
      <c r="Y9" s="346" t="s">
        <v>13</v>
      </c>
      <c r="Z9" s="346" t="s">
        <v>13</v>
      </c>
      <c r="AA9" s="346" t="s">
        <v>13</v>
      </c>
      <c r="AB9" s="346">
        <v>34.299999999999997</v>
      </c>
      <c r="AC9" s="346">
        <v>33.6</v>
      </c>
      <c r="AD9" s="346">
        <v>34.299999999999997</v>
      </c>
      <c r="AE9" s="346">
        <v>34.299999999999997</v>
      </c>
      <c r="AF9" s="395" t="s">
        <v>846</v>
      </c>
      <c r="AG9" s="347"/>
    </row>
    <row r="10" spans="1:33" ht="24.6">
      <c r="A10" s="397" t="s">
        <v>832</v>
      </c>
      <c r="B10" s="396" t="s">
        <v>830</v>
      </c>
      <c r="C10" s="380">
        <v>25.016666666666701</v>
      </c>
      <c r="D10" s="379">
        <v>25.358333333333334</v>
      </c>
      <c r="E10" s="380">
        <v>25.6</v>
      </c>
      <c r="F10" s="379">
        <v>26.2</v>
      </c>
      <c r="G10" s="379">
        <v>25.058333333333334</v>
      </c>
      <c r="H10" s="380">
        <v>25.441666666666666</v>
      </c>
      <c r="I10" s="380">
        <v>23.733333333333334</v>
      </c>
      <c r="J10" s="380">
        <v>26.258333333333333</v>
      </c>
      <c r="K10" s="380">
        <v>26.116666666666667</v>
      </c>
      <c r="L10" s="380">
        <v>25.366666666666667</v>
      </c>
      <c r="M10" s="380">
        <v>25.3</v>
      </c>
      <c r="N10" s="346">
        <v>24.9</v>
      </c>
      <c r="O10" s="346">
        <v>25</v>
      </c>
      <c r="P10" s="346">
        <v>25</v>
      </c>
      <c r="Q10" s="346">
        <v>25.1</v>
      </c>
      <c r="R10" s="346">
        <v>26.2</v>
      </c>
      <c r="S10" s="346">
        <v>25.3</v>
      </c>
      <c r="T10" s="346">
        <v>24.7</v>
      </c>
      <c r="U10" s="346">
        <v>25</v>
      </c>
      <c r="V10" s="346">
        <v>22.1</v>
      </c>
      <c r="W10" s="346" t="s">
        <v>13</v>
      </c>
      <c r="X10" s="346" t="s">
        <v>13</v>
      </c>
      <c r="Y10" s="346" t="s">
        <v>13</v>
      </c>
      <c r="Z10" s="346" t="s">
        <v>13</v>
      </c>
      <c r="AA10" s="346" t="s">
        <v>13</v>
      </c>
      <c r="AB10" s="346">
        <v>24.2</v>
      </c>
      <c r="AC10" s="346">
        <v>24.6</v>
      </c>
      <c r="AD10" s="346">
        <v>25.5</v>
      </c>
      <c r="AE10" s="346">
        <v>26.5</v>
      </c>
      <c r="AF10" s="383" t="s">
        <v>845</v>
      </c>
      <c r="AG10" s="354" t="s">
        <v>847</v>
      </c>
    </row>
    <row r="11" spans="1:33" ht="24.6">
      <c r="A11" s="397"/>
      <c r="B11" s="396" t="s">
        <v>831</v>
      </c>
      <c r="C11" s="380">
        <v>36.308333333333302</v>
      </c>
      <c r="D11" s="379">
        <v>37.875</v>
      </c>
      <c r="E11" s="380">
        <v>36.983333333333334</v>
      </c>
      <c r="F11" s="379">
        <v>37.108333333333334</v>
      </c>
      <c r="G11" s="379">
        <v>35.841666666666669</v>
      </c>
      <c r="H11" s="380">
        <v>37.633333333333333</v>
      </c>
      <c r="I11" s="380">
        <v>37.43333333333333</v>
      </c>
      <c r="J11" s="380">
        <v>36.225000000000001</v>
      </c>
      <c r="K11" s="380">
        <v>37.024999999999999</v>
      </c>
      <c r="L11" s="380">
        <v>37.6</v>
      </c>
      <c r="M11" s="380">
        <v>37.6</v>
      </c>
      <c r="N11" s="346">
        <v>37</v>
      </c>
      <c r="O11" s="346">
        <v>36.6</v>
      </c>
      <c r="P11" s="346">
        <v>37.1</v>
      </c>
      <c r="Q11" s="346">
        <v>37.4</v>
      </c>
      <c r="R11" s="346">
        <v>38.6</v>
      </c>
      <c r="S11" s="346">
        <v>37.700000000000003</v>
      </c>
      <c r="T11" s="346">
        <v>36.299999999999997</v>
      </c>
      <c r="U11" s="346">
        <v>38.299999999999997</v>
      </c>
      <c r="V11" s="346">
        <v>36.200000000000003</v>
      </c>
      <c r="W11" s="346" t="s">
        <v>13</v>
      </c>
      <c r="X11" s="346" t="s">
        <v>13</v>
      </c>
      <c r="Y11" s="346" t="s">
        <v>13</v>
      </c>
      <c r="Z11" s="346" t="s">
        <v>13</v>
      </c>
      <c r="AA11" s="346" t="s">
        <v>13</v>
      </c>
      <c r="AB11" s="346">
        <v>37.799999999999997</v>
      </c>
      <c r="AC11" s="346">
        <v>38.4</v>
      </c>
      <c r="AD11" s="346">
        <v>39.1</v>
      </c>
      <c r="AE11" s="346">
        <v>40.9</v>
      </c>
      <c r="AF11" s="383" t="s">
        <v>846</v>
      </c>
      <c r="AG11" s="354"/>
    </row>
    <row r="12" spans="1:33" ht="24.6">
      <c r="A12" s="397" t="s">
        <v>833</v>
      </c>
      <c r="B12" s="396" t="s">
        <v>830</v>
      </c>
      <c r="C12" s="380">
        <v>23.783333333333299</v>
      </c>
      <c r="D12" s="379">
        <v>24.233333333333334</v>
      </c>
      <c r="E12" s="380">
        <v>24.3</v>
      </c>
      <c r="F12" s="379">
        <v>25.041666666666664</v>
      </c>
      <c r="G12" s="379">
        <v>23.4</v>
      </c>
      <c r="H12" s="380">
        <v>24</v>
      </c>
      <c r="I12" s="380">
        <v>23.983333333333334</v>
      </c>
      <c r="J12" s="380">
        <v>24.116666666666667</v>
      </c>
      <c r="K12" s="380">
        <v>24.008333333333333</v>
      </c>
      <c r="L12" s="380">
        <v>24.25</v>
      </c>
      <c r="M12" s="380">
        <v>24.9166666666667</v>
      </c>
      <c r="N12" s="346">
        <v>24.1</v>
      </c>
      <c r="O12" s="346">
        <v>24.5</v>
      </c>
      <c r="P12" s="346">
        <v>24.4</v>
      </c>
      <c r="Q12" s="346">
        <v>24.7</v>
      </c>
      <c r="R12" s="346">
        <v>25.7</v>
      </c>
      <c r="S12" s="346">
        <v>25.3</v>
      </c>
      <c r="T12" s="346">
        <v>24</v>
      </c>
      <c r="U12" s="346">
        <v>24.2</v>
      </c>
      <c r="V12" s="346">
        <v>24.4</v>
      </c>
      <c r="W12" s="346" t="s">
        <v>13</v>
      </c>
      <c r="X12" s="346" t="s">
        <v>13</v>
      </c>
      <c r="Y12" s="346">
        <v>25.291666666666668</v>
      </c>
      <c r="Z12" s="346">
        <v>24.208333333333332</v>
      </c>
      <c r="AA12" s="346">
        <v>24.416666666666668</v>
      </c>
      <c r="AB12" s="346">
        <v>24.3</v>
      </c>
      <c r="AC12" s="346">
        <v>26</v>
      </c>
      <c r="AD12" s="346">
        <v>26.7</v>
      </c>
      <c r="AE12" s="346">
        <v>27.5</v>
      </c>
      <c r="AF12" s="383" t="s">
        <v>845</v>
      </c>
      <c r="AG12" s="354" t="s">
        <v>848</v>
      </c>
    </row>
    <row r="13" spans="1:33" ht="24.6">
      <c r="A13" s="397"/>
      <c r="B13" s="396" t="s">
        <v>831</v>
      </c>
      <c r="C13" s="380">
        <v>36.266666666666701</v>
      </c>
      <c r="D13" s="379">
        <v>36.708333333333329</v>
      </c>
      <c r="E13" s="380">
        <v>36.774999999999999</v>
      </c>
      <c r="F13" s="379">
        <v>36.875</v>
      </c>
      <c r="G13" s="379">
        <v>35.549999999999997</v>
      </c>
      <c r="H13" s="380">
        <v>36.80833333333333</v>
      </c>
      <c r="I13" s="380">
        <v>38.333333333333329</v>
      </c>
      <c r="J13" s="380">
        <v>37.291666666666671</v>
      </c>
      <c r="K13" s="380">
        <v>37.033333333333331</v>
      </c>
      <c r="L13" s="380">
        <v>37.391666666666666</v>
      </c>
      <c r="M13" s="380">
        <v>37.049999999999997</v>
      </c>
      <c r="N13" s="346">
        <v>36.4</v>
      </c>
      <c r="O13" s="346">
        <v>36.700000000000003</v>
      </c>
      <c r="P13" s="346">
        <v>36.6</v>
      </c>
      <c r="Q13" s="346">
        <v>36.799999999999997</v>
      </c>
      <c r="R13" s="346">
        <v>37.6</v>
      </c>
      <c r="S13" s="346">
        <v>37.299999999999997</v>
      </c>
      <c r="T13" s="346">
        <v>25.7</v>
      </c>
      <c r="U13" s="346">
        <v>37</v>
      </c>
      <c r="V13" s="346">
        <v>36.5</v>
      </c>
      <c r="W13" s="346" t="s">
        <v>13</v>
      </c>
      <c r="X13" s="346" t="s">
        <v>13</v>
      </c>
      <c r="Y13" s="346">
        <v>37.19166666666667</v>
      </c>
      <c r="Z13" s="346">
        <v>36.891666666666659</v>
      </c>
      <c r="AA13" s="346">
        <v>36.975000000000001</v>
      </c>
      <c r="AB13" s="346">
        <v>35.799999999999997</v>
      </c>
      <c r="AC13" s="346">
        <v>39.4</v>
      </c>
      <c r="AD13" s="346">
        <v>39.9</v>
      </c>
      <c r="AE13" s="346">
        <v>41.5</v>
      </c>
      <c r="AF13" s="383" t="s">
        <v>846</v>
      </c>
      <c r="AG13" s="354"/>
    </row>
    <row r="14" spans="1:33" ht="24.6">
      <c r="A14" s="397" t="s">
        <v>834</v>
      </c>
      <c r="B14" s="396" t="s">
        <v>830</v>
      </c>
      <c r="C14" s="380">
        <v>23.566666666666698</v>
      </c>
      <c r="D14" s="379">
        <v>23.266666666666666</v>
      </c>
      <c r="E14" s="380">
        <v>24.133333333333333</v>
      </c>
      <c r="F14" s="379">
        <v>25</v>
      </c>
      <c r="G14" s="379">
        <v>23.466666666666665</v>
      </c>
      <c r="H14" s="380">
        <v>23.975000000000001</v>
      </c>
      <c r="I14" s="380">
        <v>23.483333333333334</v>
      </c>
      <c r="J14" s="380">
        <v>24.40909090909091</v>
      </c>
      <c r="K14" s="380">
        <v>24.033333333333335</v>
      </c>
      <c r="L14" s="380">
        <v>23.958333333333336</v>
      </c>
      <c r="M14" s="380">
        <v>24.390909090909091</v>
      </c>
      <c r="N14" s="346">
        <v>23.2</v>
      </c>
      <c r="O14" s="346">
        <v>22</v>
      </c>
      <c r="P14" s="346">
        <v>23.6</v>
      </c>
      <c r="Q14" s="346">
        <v>23.6</v>
      </c>
      <c r="R14" s="346">
        <v>24.3</v>
      </c>
      <c r="S14" s="346">
        <v>24.1</v>
      </c>
      <c r="T14" s="346">
        <v>23.3</v>
      </c>
      <c r="U14" s="346">
        <v>24.2</v>
      </c>
      <c r="V14" s="346">
        <v>23.6</v>
      </c>
      <c r="W14" s="346" t="s">
        <v>13</v>
      </c>
      <c r="X14" s="346" t="s">
        <v>13</v>
      </c>
      <c r="Y14" s="346" t="s">
        <v>13</v>
      </c>
      <c r="Z14" s="346" t="s">
        <v>13</v>
      </c>
      <c r="AA14" s="346" t="s">
        <v>13</v>
      </c>
      <c r="AB14" s="346">
        <v>22.4</v>
      </c>
      <c r="AC14" s="346">
        <v>22.5</v>
      </c>
      <c r="AD14" s="346">
        <v>23.5</v>
      </c>
      <c r="AE14" s="346">
        <v>26.5</v>
      </c>
      <c r="AF14" s="383" t="s">
        <v>845</v>
      </c>
      <c r="AG14" s="354" t="s">
        <v>849</v>
      </c>
    </row>
    <row r="15" spans="1:33" ht="24.6">
      <c r="A15" s="397"/>
      <c r="B15" s="396" t="s">
        <v>831</v>
      </c>
      <c r="C15" s="380">
        <v>37.283333333333303</v>
      </c>
      <c r="D15" s="379">
        <v>38.024999999999999</v>
      </c>
      <c r="E15" s="380">
        <v>37.616666666666667</v>
      </c>
      <c r="F15" s="379">
        <v>37.791666666666671</v>
      </c>
      <c r="G15" s="379">
        <v>36.325000000000003</v>
      </c>
      <c r="H15" s="380">
        <v>36.875</v>
      </c>
      <c r="I15" s="380">
        <v>38.258333333333333</v>
      </c>
      <c r="J15" s="380">
        <v>37.509090909090908</v>
      </c>
      <c r="K15" s="380">
        <v>37.658333333333331</v>
      </c>
      <c r="L15" s="380">
        <v>38.174999999999997</v>
      </c>
      <c r="M15" s="380">
        <v>34.700000000000003</v>
      </c>
      <c r="N15" s="346">
        <v>37.6</v>
      </c>
      <c r="O15" s="346">
        <v>37.799999999999997</v>
      </c>
      <c r="P15" s="346">
        <v>37.700000000000003</v>
      </c>
      <c r="Q15" s="346">
        <v>37.799999999999997</v>
      </c>
      <c r="R15" s="346">
        <v>39.299999999999997</v>
      </c>
      <c r="S15" s="346">
        <v>38.9</v>
      </c>
      <c r="T15" s="346">
        <v>35.6</v>
      </c>
      <c r="U15" s="346">
        <v>37.4</v>
      </c>
      <c r="V15" s="346">
        <v>37.1</v>
      </c>
      <c r="W15" s="346" t="s">
        <v>13</v>
      </c>
      <c r="X15" s="346" t="s">
        <v>13</v>
      </c>
      <c r="Y15" s="346" t="s">
        <v>13</v>
      </c>
      <c r="Z15" s="346" t="s">
        <v>13</v>
      </c>
      <c r="AA15" s="346" t="s">
        <v>13</v>
      </c>
      <c r="AB15" s="346">
        <v>36.5</v>
      </c>
      <c r="AC15" s="346">
        <v>36.6</v>
      </c>
      <c r="AD15" s="346">
        <v>37.4</v>
      </c>
      <c r="AE15" s="346">
        <v>39.9</v>
      </c>
      <c r="AF15" s="383" t="s">
        <v>846</v>
      </c>
      <c r="AG15" s="354"/>
    </row>
    <row r="16" spans="1:33" ht="24.6">
      <c r="A16" s="749" t="s">
        <v>835</v>
      </c>
      <c r="B16" s="396" t="s">
        <v>830</v>
      </c>
      <c r="C16" s="380">
        <v>25.244444444444401</v>
      </c>
      <c r="D16" s="379">
        <v>25.233333333333334</v>
      </c>
      <c r="E16" s="380">
        <v>25.844444444444445</v>
      </c>
      <c r="F16" s="379">
        <v>26.266666666666669</v>
      </c>
      <c r="G16" s="379">
        <v>25.322222222222223</v>
      </c>
      <c r="H16" s="380">
        <v>24.8</v>
      </c>
      <c r="I16" s="380">
        <v>25.288888888888888</v>
      </c>
      <c r="J16" s="380">
        <v>25.644444444444446</v>
      </c>
      <c r="K16" s="380">
        <v>25.8</v>
      </c>
      <c r="L16" s="380">
        <v>25.81111111111111</v>
      </c>
      <c r="M16" s="380">
        <v>26.177777777777777</v>
      </c>
      <c r="N16" s="346">
        <v>24.8</v>
      </c>
      <c r="O16" s="346">
        <v>24.9</v>
      </c>
      <c r="P16" s="346">
        <v>25.3</v>
      </c>
      <c r="Q16" s="346">
        <v>24.6</v>
      </c>
      <c r="R16" s="346">
        <v>25.5</v>
      </c>
      <c r="S16" s="346">
        <v>24.7</v>
      </c>
      <c r="T16" s="346">
        <v>25</v>
      </c>
      <c r="U16" s="346">
        <v>24.5</v>
      </c>
      <c r="V16" s="346">
        <v>24.9</v>
      </c>
      <c r="W16" s="346" t="s">
        <v>13</v>
      </c>
      <c r="X16" s="346" t="s">
        <v>13</v>
      </c>
      <c r="Y16" s="346" t="s">
        <v>13</v>
      </c>
      <c r="Z16" s="346" t="s">
        <v>13</v>
      </c>
      <c r="AA16" s="346" t="s">
        <v>13</v>
      </c>
      <c r="AB16" s="346">
        <v>24.4</v>
      </c>
      <c r="AC16" s="346">
        <v>24.8</v>
      </c>
      <c r="AD16" s="346">
        <v>25.5</v>
      </c>
      <c r="AE16" s="346">
        <v>28.5</v>
      </c>
      <c r="AF16" s="383" t="s">
        <v>845</v>
      </c>
      <c r="AG16" s="354" t="s">
        <v>850</v>
      </c>
    </row>
    <row r="17" spans="1:33" ht="24.6">
      <c r="A17" s="397"/>
      <c r="B17" s="750" t="s">
        <v>831</v>
      </c>
      <c r="C17" s="751">
        <v>37.6</v>
      </c>
      <c r="D17" s="752">
        <v>38.1</v>
      </c>
      <c r="E17" s="751">
        <v>37.988888888888894</v>
      </c>
      <c r="F17" s="752">
        <v>38.033333333333331</v>
      </c>
      <c r="G17" s="752">
        <v>37.322222222222223</v>
      </c>
      <c r="H17" s="751">
        <v>37.5</v>
      </c>
      <c r="I17" s="751">
        <v>38.43333333333333</v>
      </c>
      <c r="J17" s="751">
        <v>38.355555555555554</v>
      </c>
      <c r="K17" s="751">
        <v>37.488888888888894</v>
      </c>
      <c r="L17" s="751">
        <v>38.422222222222224</v>
      </c>
      <c r="M17" s="751">
        <v>37.822222222222223</v>
      </c>
      <c r="N17" s="346">
        <v>37.4</v>
      </c>
      <c r="O17" s="346">
        <v>37.4</v>
      </c>
      <c r="P17" s="346">
        <v>37.4</v>
      </c>
      <c r="Q17" s="346">
        <v>36.9</v>
      </c>
      <c r="R17" s="346">
        <v>37.9</v>
      </c>
      <c r="S17" s="346">
        <v>37.1</v>
      </c>
      <c r="T17" s="346">
        <v>36.9</v>
      </c>
      <c r="U17" s="346">
        <v>37.5</v>
      </c>
      <c r="V17" s="346">
        <v>37.799999999999997</v>
      </c>
      <c r="W17" s="346" t="s">
        <v>13</v>
      </c>
      <c r="X17" s="346" t="s">
        <v>13</v>
      </c>
      <c r="Y17" s="346" t="s">
        <v>13</v>
      </c>
      <c r="Z17" s="346" t="s">
        <v>13</v>
      </c>
      <c r="AA17" s="346" t="s">
        <v>13</v>
      </c>
      <c r="AB17" s="346">
        <v>36.799999999999997</v>
      </c>
      <c r="AC17" s="346">
        <v>37.6</v>
      </c>
      <c r="AD17" s="346">
        <v>38.4</v>
      </c>
      <c r="AE17" s="346">
        <v>40.9</v>
      </c>
      <c r="AF17" s="383" t="s">
        <v>846</v>
      </c>
      <c r="AG17" s="354"/>
    </row>
    <row r="18" spans="1:33" ht="24.6">
      <c r="A18" s="397" t="s">
        <v>836</v>
      </c>
      <c r="B18" s="396" t="s">
        <v>830</v>
      </c>
      <c r="C18" s="380">
        <v>20.383333333333333</v>
      </c>
      <c r="D18" s="379">
        <v>20.633333333333333</v>
      </c>
      <c r="E18" s="380">
        <v>21.108333333333334</v>
      </c>
      <c r="F18" s="379">
        <v>21.208333333333336</v>
      </c>
      <c r="G18" s="379">
        <v>20.233333333333334</v>
      </c>
      <c r="H18" s="380">
        <v>20.541666666666664</v>
      </c>
      <c r="I18" s="380">
        <v>20.708333333333336</v>
      </c>
      <c r="J18" s="380">
        <v>20.266666666666666</v>
      </c>
      <c r="K18" s="380">
        <v>20.425000000000001</v>
      </c>
      <c r="L18" s="380">
        <v>20.725000000000001</v>
      </c>
      <c r="M18" s="380">
        <v>20.916666666666664</v>
      </c>
      <c r="N18" s="346">
        <v>20.6</v>
      </c>
      <c r="O18" s="346">
        <v>20.8</v>
      </c>
      <c r="P18" s="346">
        <v>21.7</v>
      </c>
      <c r="Q18" s="346">
        <v>21.9</v>
      </c>
      <c r="R18" s="346">
        <v>22.8</v>
      </c>
      <c r="S18" s="346">
        <v>21.9</v>
      </c>
      <c r="T18" s="346">
        <v>21.9</v>
      </c>
      <c r="U18" s="346">
        <v>22.2</v>
      </c>
      <c r="V18" s="346">
        <v>21.6</v>
      </c>
      <c r="W18" s="346" t="s">
        <v>13</v>
      </c>
      <c r="X18" s="346" t="s">
        <v>13</v>
      </c>
      <c r="Y18" s="346" t="s">
        <v>13</v>
      </c>
      <c r="Z18" s="346" t="s">
        <v>13</v>
      </c>
      <c r="AA18" s="346" t="s">
        <v>13</v>
      </c>
      <c r="AB18" s="346">
        <v>23.1</v>
      </c>
      <c r="AC18" s="346">
        <v>22.8</v>
      </c>
      <c r="AD18" s="346">
        <v>23.5</v>
      </c>
      <c r="AE18" s="346">
        <v>19.100000000000001</v>
      </c>
      <c r="AF18" s="383" t="s">
        <v>845</v>
      </c>
      <c r="AG18" s="354" t="s">
        <v>851</v>
      </c>
    </row>
    <row r="19" spans="1:33" ht="24.6">
      <c r="A19" s="397"/>
      <c r="B19" s="396" t="s">
        <v>831</v>
      </c>
      <c r="C19" s="380">
        <v>36.274999999999999</v>
      </c>
      <c r="D19" s="379">
        <v>37.266666666666666</v>
      </c>
      <c r="E19" s="380">
        <v>37.674999999999997</v>
      </c>
      <c r="F19" s="379">
        <v>37.549999999999997</v>
      </c>
      <c r="G19" s="379">
        <v>36.274999999999999</v>
      </c>
      <c r="H19" s="380">
        <v>37.18333333333333</v>
      </c>
      <c r="I19" s="380">
        <v>38.299999999999997</v>
      </c>
      <c r="J19" s="380">
        <v>37.56666666666667</v>
      </c>
      <c r="K19" s="380">
        <v>37.666666666666671</v>
      </c>
      <c r="L19" s="380">
        <v>38.041666666666671</v>
      </c>
      <c r="M19" s="380" t="s">
        <v>13</v>
      </c>
      <c r="N19" s="346">
        <v>37.9</v>
      </c>
      <c r="O19" s="346">
        <v>37.1</v>
      </c>
      <c r="P19" s="346">
        <v>36.4</v>
      </c>
      <c r="Q19" s="346">
        <v>36.200000000000003</v>
      </c>
      <c r="R19" s="346">
        <v>37.1</v>
      </c>
      <c r="S19" s="346">
        <v>36</v>
      </c>
      <c r="T19" s="346">
        <v>35.4</v>
      </c>
      <c r="U19" s="346">
        <v>36.299999999999997</v>
      </c>
      <c r="V19" s="346">
        <v>36.4</v>
      </c>
      <c r="W19" s="346" t="s">
        <v>13</v>
      </c>
      <c r="X19" s="346" t="s">
        <v>13</v>
      </c>
      <c r="Y19" s="346" t="s">
        <v>13</v>
      </c>
      <c r="Z19" s="346" t="s">
        <v>13</v>
      </c>
      <c r="AA19" s="346" t="s">
        <v>13</v>
      </c>
      <c r="AB19" s="346">
        <v>36.6</v>
      </c>
      <c r="AC19" s="346">
        <v>36.5</v>
      </c>
      <c r="AD19" s="346">
        <v>37.200000000000003</v>
      </c>
      <c r="AE19" s="346">
        <v>41.5</v>
      </c>
      <c r="AF19" s="383" t="s">
        <v>846</v>
      </c>
      <c r="AG19" s="354"/>
    </row>
    <row r="20" spans="1:33" ht="24.6">
      <c r="A20" s="397" t="s">
        <v>837</v>
      </c>
      <c r="B20" s="396" t="s">
        <v>830</v>
      </c>
      <c r="C20" s="380">
        <v>22.058333333333302</v>
      </c>
      <c r="D20" s="379">
        <v>22.6</v>
      </c>
      <c r="E20" s="380">
        <v>23.324999999999999</v>
      </c>
      <c r="F20" s="379">
        <v>23.45</v>
      </c>
      <c r="G20" s="379">
        <v>21.758333333333333</v>
      </c>
      <c r="H20" s="380">
        <v>22.441666666666666</v>
      </c>
      <c r="I20" s="380">
        <v>22.75</v>
      </c>
      <c r="J20" s="380">
        <v>22.6</v>
      </c>
      <c r="K20" s="380">
        <v>22.483333333333334</v>
      </c>
      <c r="L20" s="380">
        <v>22.533333333333335</v>
      </c>
      <c r="M20" s="380">
        <v>22.9</v>
      </c>
      <c r="N20" s="346">
        <v>22.4</v>
      </c>
      <c r="O20" s="346">
        <v>23</v>
      </c>
      <c r="P20" s="346">
        <v>23.3</v>
      </c>
      <c r="Q20" s="346">
        <v>22.3</v>
      </c>
      <c r="R20" s="346">
        <v>23.9</v>
      </c>
      <c r="S20" s="346">
        <v>22.7</v>
      </c>
      <c r="T20" s="346">
        <v>23</v>
      </c>
      <c r="U20" s="346">
        <v>23.7</v>
      </c>
      <c r="V20" s="346">
        <v>22.7</v>
      </c>
      <c r="W20" s="346" t="s">
        <v>13</v>
      </c>
      <c r="X20" s="346" t="s">
        <v>13</v>
      </c>
      <c r="Y20" s="346" t="s">
        <v>13</v>
      </c>
      <c r="Z20" s="346" t="s">
        <v>13</v>
      </c>
      <c r="AA20" s="346" t="s">
        <v>13</v>
      </c>
      <c r="AB20" s="346">
        <v>24.5</v>
      </c>
      <c r="AC20" s="346">
        <v>25.2</v>
      </c>
      <c r="AD20" s="346">
        <v>25.9</v>
      </c>
      <c r="AE20" s="346">
        <v>26.5</v>
      </c>
      <c r="AF20" s="383" t="s">
        <v>845</v>
      </c>
      <c r="AG20" s="354" t="s">
        <v>852</v>
      </c>
    </row>
    <row r="21" spans="1:33" ht="24.6">
      <c r="A21" s="397"/>
      <c r="B21" s="396" t="s">
        <v>831</v>
      </c>
      <c r="C21" s="380">
        <v>35.491666666666703</v>
      </c>
      <c r="D21" s="379">
        <v>36.174999999999997</v>
      </c>
      <c r="E21" s="380">
        <v>36.533333333333331</v>
      </c>
      <c r="F21" s="379">
        <v>36.19166666666667</v>
      </c>
      <c r="G21" s="379">
        <v>35.200000000000003</v>
      </c>
      <c r="H21" s="380">
        <v>35.68333333333333</v>
      </c>
      <c r="I21" s="380">
        <v>36.799999999999997</v>
      </c>
      <c r="J21" s="380">
        <v>35.774999999999999</v>
      </c>
      <c r="K21" s="380">
        <v>35.508333333333333</v>
      </c>
      <c r="L21" s="380">
        <v>35.766666666666666</v>
      </c>
      <c r="M21" s="380">
        <v>35.299999999999997</v>
      </c>
      <c r="N21" s="346">
        <v>35.799999999999997</v>
      </c>
      <c r="O21" s="346">
        <v>36</v>
      </c>
      <c r="P21" s="346">
        <v>36</v>
      </c>
      <c r="Q21" s="346">
        <v>35.299999999999997</v>
      </c>
      <c r="R21" s="346">
        <v>36.4</v>
      </c>
      <c r="S21" s="346">
        <v>36.200000000000003</v>
      </c>
      <c r="T21" s="346">
        <v>35.700000000000003</v>
      </c>
      <c r="U21" s="346">
        <v>36.9</v>
      </c>
      <c r="V21" s="346">
        <v>37.799999999999997</v>
      </c>
      <c r="W21" s="346" t="s">
        <v>13</v>
      </c>
      <c r="X21" s="346" t="s">
        <v>13</v>
      </c>
      <c r="Y21" s="346" t="s">
        <v>13</v>
      </c>
      <c r="Z21" s="346" t="s">
        <v>13</v>
      </c>
      <c r="AA21" s="346" t="s">
        <v>13</v>
      </c>
      <c r="AB21" s="346">
        <v>37.1</v>
      </c>
      <c r="AC21" s="346">
        <v>37.200000000000003</v>
      </c>
      <c r="AD21" s="346">
        <v>38</v>
      </c>
      <c r="AE21" s="346">
        <v>39.5</v>
      </c>
      <c r="AF21" s="383" t="s">
        <v>846</v>
      </c>
      <c r="AG21" s="354"/>
    </row>
    <row r="22" spans="1:33" ht="24.6">
      <c r="A22" s="397" t="s">
        <v>838</v>
      </c>
      <c r="B22" s="396" t="s">
        <v>830</v>
      </c>
      <c r="C22" s="380">
        <v>21.516666666666701</v>
      </c>
      <c r="D22" s="379">
        <v>22.041666666666664</v>
      </c>
      <c r="E22" s="380">
        <v>22.291666666666664</v>
      </c>
      <c r="F22" s="379">
        <v>22.641666666666666</v>
      </c>
      <c r="G22" s="379">
        <v>22</v>
      </c>
      <c r="H22" s="380">
        <v>23.6</v>
      </c>
      <c r="I22" s="380">
        <v>23.24285714285714</v>
      </c>
      <c r="J22" s="380">
        <v>22.058333333333334</v>
      </c>
      <c r="K22" s="380">
        <v>23.291666666666664</v>
      </c>
      <c r="L22" s="380">
        <v>22.958333333333336</v>
      </c>
      <c r="M22" s="380">
        <v>24.158333333333299</v>
      </c>
      <c r="N22" s="346">
        <v>23.4</v>
      </c>
      <c r="O22" s="346">
        <v>23.2</v>
      </c>
      <c r="P22" s="346">
        <v>23.5</v>
      </c>
      <c r="Q22" s="346" t="s">
        <v>13</v>
      </c>
      <c r="R22" s="346">
        <v>24.2</v>
      </c>
      <c r="S22" s="346">
        <v>23.8</v>
      </c>
      <c r="T22" s="346">
        <v>21.6</v>
      </c>
      <c r="U22" s="346">
        <v>23.2</v>
      </c>
      <c r="V22" s="346">
        <v>22.2</v>
      </c>
      <c r="W22" s="346" t="s">
        <v>13</v>
      </c>
      <c r="X22" s="346" t="s">
        <v>13</v>
      </c>
      <c r="Y22" s="346" t="s">
        <v>13</v>
      </c>
      <c r="Z22" s="346" t="s">
        <v>13</v>
      </c>
      <c r="AA22" s="346" t="s">
        <v>13</v>
      </c>
      <c r="AB22" s="346">
        <v>25</v>
      </c>
      <c r="AC22" s="346">
        <v>26.3</v>
      </c>
      <c r="AD22" s="346">
        <v>27.2</v>
      </c>
      <c r="AE22" s="346">
        <v>28.2</v>
      </c>
      <c r="AF22" s="383" t="s">
        <v>845</v>
      </c>
      <c r="AG22" s="354" t="s">
        <v>853</v>
      </c>
    </row>
    <row r="23" spans="1:33" ht="24.6">
      <c r="A23" s="397"/>
      <c r="B23" s="396" t="s">
        <v>839</v>
      </c>
      <c r="C23" s="380">
        <v>35.950000000000003</v>
      </c>
      <c r="D23" s="379">
        <v>36.15</v>
      </c>
      <c r="E23" s="380">
        <v>36.44166666666667</v>
      </c>
      <c r="F23" s="379">
        <v>36.583333333333329</v>
      </c>
      <c r="G23" s="379">
        <v>36.4</v>
      </c>
      <c r="H23" s="380">
        <v>38.81</v>
      </c>
      <c r="I23" s="380">
        <v>39.385714285714286</v>
      </c>
      <c r="J23" s="380">
        <v>36.208333333333329</v>
      </c>
      <c r="K23" s="380">
        <v>35.916666666666671</v>
      </c>
      <c r="L23" s="380">
        <v>35.69166666666667</v>
      </c>
      <c r="M23" s="380">
        <v>36.741666666666703</v>
      </c>
      <c r="N23" s="346">
        <v>36.299999999999997</v>
      </c>
      <c r="O23" s="346">
        <v>35.4</v>
      </c>
      <c r="P23" s="346">
        <v>35.9</v>
      </c>
      <c r="Q23" s="346" t="s">
        <v>13</v>
      </c>
      <c r="R23" s="346">
        <v>37.200000000000003</v>
      </c>
      <c r="S23" s="346">
        <v>35.4</v>
      </c>
      <c r="T23" s="346">
        <v>34</v>
      </c>
      <c r="U23" s="346">
        <v>36.5</v>
      </c>
      <c r="V23" s="346">
        <v>35.6</v>
      </c>
      <c r="W23" s="346" t="s">
        <v>13</v>
      </c>
      <c r="X23" s="346" t="s">
        <v>13</v>
      </c>
      <c r="Y23" s="346" t="s">
        <v>13</v>
      </c>
      <c r="Z23" s="346" t="s">
        <v>13</v>
      </c>
      <c r="AA23" s="346" t="s">
        <v>13</v>
      </c>
      <c r="AB23" s="346">
        <v>44.7</v>
      </c>
      <c r="AC23" s="346">
        <v>44.6</v>
      </c>
      <c r="AD23" s="346">
        <v>44.5</v>
      </c>
      <c r="AE23" s="346">
        <v>44.4</v>
      </c>
      <c r="AF23" s="383" t="s">
        <v>846</v>
      </c>
      <c r="AG23" s="354"/>
    </row>
    <row r="24" spans="1:33" ht="24.6">
      <c r="A24" s="749" t="s">
        <v>840</v>
      </c>
      <c r="B24" s="750" t="s">
        <v>830</v>
      </c>
      <c r="C24" s="751">
        <v>17.758333333333301</v>
      </c>
      <c r="D24" s="752">
        <v>17.808333333333334</v>
      </c>
      <c r="E24" s="751">
        <v>18.208333333333336</v>
      </c>
      <c r="F24" s="752">
        <v>18.283333333333335</v>
      </c>
      <c r="G24" s="752">
        <v>17.483333333333334</v>
      </c>
      <c r="H24" s="751">
        <v>17.508333333333333</v>
      </c>
      <c r="I24" s="751">
        <v>18.108333333333334</v>
      </c>
      <c r="J24" s="751">
        <v>18.066666666666666</v>
      </c>
      <c r="K24" s="751">
        <v>17.925000000000001</v>
      </c>
      <c r="L24" s="751">
        <v>17.975000000000001</v>
      </c>
      <c r="M24" s="751">
        <v>17.899999999999999</v>
      </c>
      <c r="N24" s="346">
        <v>18.399999999999999</v>
      </c>
      <c r="O24" s="346">
        <v>17.899999999999999</v>
      </c>
      <c r="P24" s="346">
        <v>18.600000000000001</v>
      </c>
      <c r="Q24" s="346">
        <v>18.399999999999999</v>
      </c>
      <c r="R24" s="346">
        <v>19.399999999999999</v>
      </c>
      <c r="S24" s="346">
        <v>18.399999999999999</v>
      </c>
      <c r="T24" s="346">
        <v>18.5</v>
      </c>
      <c r="U24" s="346">
        <v>19</v>
      </c>
      <c r="V24" s="346">
        <v>18.100000000000001</v>
      </c>
      <c r="W24" s="346" t="s">
        <v>13</v>
      </c>
      <c r="X24" s="346" t="s">
        <v>13</v>
      </c>
      <c r="Y24" s="346" t="s">
        <v>13</v>
      </c>
      <c r="Z24" s="346" t="s">
        <v>13</v>
      </c>
      <c r="AA24" s="346" t="s">
        <v>13</v>
      </c>
      <c r="AB24" s="346">
        <v>18.899999999999999</v>
      </c>
      <c r="AC24" s="346">
        <v>18.3</v>
      </c>
      <c r="AD24" s="346">
        <v>18.600000000000001</v>
      </c>
      <c r="AE24" s="346">
        <v>19.2</v>
      </c>
      <c r="AF24" s="383" t="s">
        <v>845</v>
      </c>
      <c r="AG24" s="354" t="s">
        <v>154</v>
      </c>
    </row>
    <row r="25" spans="1:33" ht="24.6">
      <c r="A25" s="397"/>
      <c r="B25" s="396" t="s">
        <v>839</v>
      </c>
      <c r="C25" s="380">
        <v>28.074999999999999</v>
      </c>
      <c r="D25" s="379">
        <v>27.725000000000001</v>
      </c>
      <c r="E25" s="380">
        <v>28.591666666666669</v>
      </c>
      <c r="F25" s="379">
        <v>29.074999999999999</v>
      </c>
      <c r="G25" s="379">
        <v>27.85</v>
      </c>
      <c r="H25" s="380">
        <v>25.475000000000001</v>
      </c>
      <c r="I25" s="380">
        <v>28.56666666666667</v>
      </c>
      <c r="J25" s="380">
        <v>28.425000000000001</v>
      </c>
      <c r="K25" s="380">
        <v>27.8</v>
      </c>
      <c r="L25" s="380">
        <v>28.041666666666668</v>
      </c>
      <c r="M25" s="380">
        <v>28.225000000000001</v>
      </c>
      <c r="N25" s="346">
        <v>28.6</v>
      </c>
      <c r="O25" s="346">
        <v>28.1</v>
      </c>
      <c r="P25" s="346">
        <v>28.8</v>
      </c>
      <c r="Q25" s="346">
        <v>28.3</v>
      </c>
      <c r="R25" s="346">
        <v>28.8</v>
      </c>
      <c r="S25" s="346">
        <v>28</v>
      </c>
      <c r="T25" s="346">
        <v>28.4</v>
      </c>
      <c r="U25" s="346">
        <v>29.1</v>
      </c>
      <c r="V25" s="346">
        <v>27.9</v>
      </c>
      <c r="W25" s="346" t="s">
        <v>13</v>
      </c>
      <c r="X25" s="346" t="s">
        <v>13</v>
      </c>
      <c r="Y25" s="346" t="s">
        <v>13</v>
      </c>
      <c r="Z25" s="346" t="s">
        <v>13</v>
      </c>
      <c r="AA25" s="346" t="s">
        <v>13</v>
      </c>
      <c r="AB25" s="346">
        <v>28.9</v>
      </c>
      <c r="AC25" s="346">
        <v>28.7</v>
      </c>
      <c r="AD25" s="346">
        <v>28</v>
      </c>
      <c r="AE25" s="346">
        <v>28.3</v>
      </c>
      <c r="AF25" s="383" t="s">
        <v>846</v>
      </c>
      <c r="AG25" s="347"/>
    </row>
    <row r="26" spans="1:33" ht="24.6">
      <c r="A26" s="397" t="s">
        <v>841</v>
      </c>
      <c r="B26" s="396" t="s">
        <v>830</v>
      </c>
      <c r="C26" s="380">
        <v>21.866666666666699</v>
      </c>
      <c r="D26" s="379">
        <v>22.433333333333334</v>
      </c>
      <c r="E26" s="380">
        <v>22.05</v>
      </c>
      <c r="F26" s="379">
        <v>22.475000000000001</v>
      </c>
      <c r="G26" s="379">
        <v>21.741666666666667</v>
      </c>
      <c r="H26" s="380">
        <v>22.324999999999999</v>
      </c>
      <c r="I26" s="380">
        <v>22.358333333333334</v>
      </c>
      <c r="J26" s="380">
        <v>22.216666666666665</v>
      </c>
      <c r="K26" s="380">
        <v>22.333333333333336</v>
      </c>
      <c r="L26" s="380">
        <v>22.4</v>
      </c>
      <c r="M26" s="380" t="s">
        <v>13</v>
      </c>
      <c r="N26" s="346">
        <v>22.2</v>
      </c>
      <c r="O26" s="346">
        <v>22.6</v>
      </c>
      <c r="P26" s="346">
        <v>22.6</v>
      </c>
      <c r="Q26" s="346">
        <v>20.9</v>
      </c>
      <c r="R26" s="346">
        <v>21.9</v>
      </c>
      <c r="S26" s="346">
        <v>21.4</v>
      </c>
      <c r="T26" s="346">
        <v>22.6</v>
      </c>
      <c r="U26" s="346">
        <v>21.5</v>
      </c>
      <c r="V26" s="346">
        <v>21.9</v>
      </c>
      <c r="W26" s="346" t="s">
        <v>854</v>
      </c>
      <c r="X26" s="346" t="s">
        <v>854</v>
      </c>
      <c r="Y26" s="346" t="s">
        <v>854</v>
      </c>
      <c r="Z26" s="346" t="s">
        <v>854</v>
      </c>
      <c r="AA26" s="346" t="s">
        <v>854</v>
      </c>
      <c r="AB26" s="346">
        <v>24.4</v>
      </c>
      <c r="AC26" s="346">
        <v>25.3</v>
      </c>
      <c r="AD26" s="346">
        <v>26.1</v>
      </c>
      <c r="AE26" s="346">
        <v>27.1</v>
      </c>
      <c r="AF26" s="383" t="s">
        <v>845</v>
      </c>
      <c r="AG26" s="354" t="s">
        <v>855</v>
      </c>
    </row>
    <row r="27" spans="1:33" ht="24.6">
      <c r="A27" s="397"/>
      <c r="B27" s="396" t="s">
        <v>839</v>
      </c>
      <c r="C27" s="380">
        <v>34.741666666666703</v>
      </c>
      <c r="D27" s="379">
        <v>35.866666666666667</v>
      </c>
      <c r="E27" s="380">
        <v>35.299999999999997</v>
      </c>
      <c r="F27" s="379">
        <v>35.5</v>
      </c>
      <c r="G27" s="379">
        <v>35.041666666666671</v>
      </c>
      <c r="H27" s="380">
        <v>36.033333333333331</v>
      </c>
      <c r="I27" s="380">
        <v>36.674999999999997</v>
      </c>
      <c r="J27" s="380">
        <v>35.758333333333333</v>
      </c>
      <c r="K27" s="380">
        <v>36.208333333333329</v>
      </c>
      <c r="L27" s="380">
        <v>36.44166666666667</v>
      </c>
      <c r="M27" s="380" t="s">
        <v>13</v>
      </c>
      <c r="N27" s="346">
        <v>36</v>
      </c>
      <c r="O27" s="346">
        <v>36.1</v>
      </c>
      <c r="P27" s="346">
        <v>36</v>
      </c>
      <c r="Q27" s="346">
        <v>36</v>
      </c>
      <c r="R27" s="346">
        <v>37.4</v>
      </c>
      <c r="S27" s="346">
        <v>36.200000000000003</v>
      </c>
      <c r="T27" s="346">
        <v>36</v>
      </c>
      <c r="U27" s="346">
        <v>35.6</v>
      </c>
      <c r="V27" s="346">
        <v>35.200000000000003</v>
      </c>
      <c r="W27" s="346" t="s">
        <v>13</v>
      </c>
      <c r="X27" s="346" t="s">
        <v>13</v>
      </c>
      <c r="Y27" s="346" t="s">
        <v>13</v>
      </c>
      <c r="Z27" s="346" t="s">
        <v>13</v>
      </c>
      <c r="AA27" s="346" t="s">
        <v>13</v>
      </c>
      <c r="AB27" s="346">
        <v>37.4</v>
      </c>
      <c r="AC27" s="346">
        <v>37.9</v>
      </c>
      <c r="AD27" s="346">
        <v>37.5</v>
      </c>
      <c r="AE27" s="346">
        <v>39.5</v>
      </c>
      <c r="AF27" s="383" t="s">
        <v>846</v>
      </c>
      <c r="AG27" s="354"/>
    </row>
    <row r="28" spans="1:33" ht="24.6">
      <c r="A28" s="397" t="s">
        <v>842</v>
      </c>
      <c r="B28" s="396" t="s">
        <v>830</v>
      </c>
      <c r="C28" s="380">
        <v>19.316666666666698</v>
      </c>
      <c r="D28" s="379">
        <v>19.675000000000001</v>
      </c>
      <c r="E28" s="380">
        <v>19.391666666666666</v>
      </c>
      <c r="F28" s="379">
        <v>19.941666666666666</v>
      </c>
      <c r="G28" s="379">
        <v>19.083333333333336</v>
      </c>
      <c r="H28" s="380">
        <v>19.383333333333333</v>
      </c>
      <c r="I28" s="380">
        <v>20.191666666666666</v>
      </c>
      <c r="J28" s="380">
        <v>19.466666666666665</v>
      </c>
      <c r="K28" s="380">
        <v>19.824999999999999</v>
      </c>
      <c r="L28" s="380">
        <v>19.383333333333333</v>
      </c>
      <c r="M28" s="380">
        <v>20.6</v>
      </c>
      <c r="N28" s="346">
        <v>20.399999999999999</v>
      </c>
      <c r="O28" s="346">
        <v>18.7</v>
      </c>
      <c r="P28" s="346">
        <v>19.7</v>
      </c>
      <c r="Q28" s="346">
        <v>19.899999999999999</v>
      </c>
      <c r="R28" s="346">
        <v>21.3</v>
      </c>
      <c r="S28" s="346">
        <v>19.8</v>
      </c>
      <c r="T28" s="346">
        <v>20.399999999999999</v>
      </c>
      <c r="U28" s="346">
        <v>20.3</v>
      </c>
      <c r="V28" s="346">
        <v>19.600000000000001</v>
      </c>
      <c r="W28" s="346" t="s">
        <v>13</v>
      </c>
      <c r="X28" s="346" t="s">
        <v>13</v>
      </c>
      <c r="Y28" s="346" t="s">
        <v>13</v>
      </c>
      <c r="Z28" s="346" t="s">
        <v>13</v>
      </c>
      <c r="AA28" s="346" t="s">
        <v>13</v>
      </c>
      <c r="AB28" s="346">
        <v>17.8</v>
      </c>
      <c r="AC28" s="346">
        <v>18.2</v>
      </c>
      <c r="AD28" s="346">
        <v>18.399999999999999</v>
      </c>
      <c r="AE28" s="346">
        <v>18</v>
      </c>
      <c r="AF28" s="383" t="s">
        <v>845</v>
      </c>
      <c r="AG28" s="354" t="s">
        <v>152</v>
      </c>
    </row>
    <row r="29" spans="1:33" ht="24.6">
      <c r="A29" s="397"/>
      <c r="B29" s="396" t="s">
        <v>839</v>
      </c>
      <c r="C29" s="380">
        <v>32.483333333333299</v>
      </c>
      <c r="D29" s="379">
        <v>32.716666666666669</v>
      </c>
      <c r="E29" s="380">
        <v>31.908333333333331</v>
      </c>
      <c r="F29" s="379">
        <v>32.75</v>
      </c>
      <c r="G29" s="379">
        <v>32.5</v>
      </c>
      <c r="H29" s="380">
        <v>33.041666666666671</v>
      </c>
      <c r="I29" s="380">
        <v>33.94166666666667</v>
      </c>
      <c r="J29" s="380">
        <v>32.616666666666667</v>
      </c>
      <c r="K29" s="380">
        <v>32.825000000000003</v>
      </c>
      <c r="L29" s="380">
        <v>32.158333333333331</v>
      </c>
      <c r="M29" s="380">
        <v>32.858333333333334</v>
      </c>
      <c r="N29" s="346">
        <v>30.2</v>
      </c>
      <c r="O29" s="346">
        <v>32.5</v>
      </c>
      <c r="P29" s="346">
        <v>32.200000000000003</v>
      </c>
      <c r="Q29" s="346">
        <v>32.9</v>
      </c>
      <c r="R29" s="346">
        <v>34.200000000000003</v>
      </c>
      <c r="S29" s="346">
        <v>33.4</v>
      </c>
      <c r="T29" s="346">
        <v>33.4</v>
      </c>
      <c r="U29" s="346">
        <v>33.700000000000003</v>
      </c>
      <c r="V29" s="346">
        <v>33</v>
      </c>
      <c r="W29" s="346" t="s">
        <v>13</v>
      </c>
      <c r="X29" s="346" t="s">
        <v>13</v>
      </c>
      <c r="Y29" s="346" t="s">
        <v>13</v>
      </c>
      <c r="Z29" s="346" t="s">
        <v>13</v>
      </c>
      <c r="AA29" s="346" t="s">
        <v>13</v>
      </c>
      <c r="AB29" s="346">
        <v>30.5</v>
      </c>
      <c r="AC29" s="346">
        <v>31.2</v>
      </c>
      <c r="AD29" s="346">
        <v>30.9</v>
      </c>
      <c r="AE29" s="346">
        <v>34.5</v>
      </c>
      <c r="AF29" s="383" t="s">
        <v>846</v>
      </c>
      <c r="AG29" s="354"/>
    </row>
    <row r="30" spans="1:33" ht="24.6">
      <c r="A30" s="397" t="s">
        <v>843</v>
      </c>
      <c r="B30" s="396" t="s">
        <v>830</v>
      </c>
      <c r="C30" s="380">
        <v>21.45</v>
      </c>
      <c r="D30" s="379">
        <v>22.158333333333335</v>
      </c>
      <c r="E30" s="380">
        <v>23.266666666666666</v>
      </c>
      <c r="F30" s="379">
        <v>22.383333333333333</v>
      </c>
      <c r="G30" s="379">
        <v>21.741666666666667</v>
      </c>
      <c r="H30" s="380">
        <v>22.066666666666666</v>
      </c>
      <c r="I30" s="380">
        <v>22.875</v>
      </c>
      <c r="J30" s="380">
        <v>22.55</v>
      </c>
      <c r="K30" s="380">
        <v>21.916666666666664</v>
      </c>
      <c r="L30" s="380">
        <v>21.966666666666665</v>
      </c>
      <c r="M30" s="380">
        <v>23.016666666666666</v>
      </c>
      <c r="N30" s="346">
        <v>23.3</v>
      </c>
      <c r="O30" s="346">
        <v>22</v>
      </c>
      <c r="P30" s="346" t="s">
        <v>13</v>
      </c>
      <c r="Q30" s="346" t="s">
        <v>13</v>
      </c>
      <c r="R30" s="346">
        <v>21.9</v>
      </c>
      <c r="S30" s="346">
        <v>22.6</v>
      </c>
      <c r="T30" s="346">
        <v>22.1</v>
      </c>
      <c r="U30" s="346">
        <v>23.6</v>
      </c>
      <c r="V30" s="346">
        <v>23.6</v>
      </c>
      <c r="W30" s="346" t="s">
        <v>13</v>
      </c>
      <c r="X30" s="346" t="s">
        <v>13</v>
      </c>
      <c r="Y30" s="346" t="s">
        <v>13</v>
      </c>
      <c r="Z30" s="346" t="s">
        <v>13</v>
      </c>
      <c r="AA30" s="346" t="s">
        <v>13</v>
      </c>
      <c r="AB30" s="346">
        <v>23.5</v>
      </c>
      <c r="AC30" s="346">
        <v>24.8</v>
      </c>
      <c r="AD30" s="346">
        <v>25</v>
      </c>
      <c r="AE30" s="346">
        <v>26.5</v>
      </c>
      <c r="AF30" s="383" t="s">
        <v>845</v>
      </c>
      <c r="AG30" s="354" t="s">
        <v>856</v>
      </c>
    </row>
    <row r="31" spans="1:33" ht="24.6">
      <c r="A31" s="398"/>
      <c r="B31" s="396" t="s">
        <v>839</v>
      </c>
      <c r="C31" s="380">
        <v>36.049999999999997</v>
      </c>
      <c r="D31" s="379">
        <v>36.31666666666667</v>
      </c>
      <c r="E31" s="380">
        <v>36.491666666666667</v>
      </c>
      <c r="F31" s="379">
        <v>36.35</v>
      </c>
      <c r="G31" s="379">
        <v>35.866666666666667</v>
      </c>
      <c r="H31" s="380">
        <v>36.325000000000003</v>
      </c>
      <c r="I31" s="380">
        <v>37.091666666666669</v>
      </c>
      <c r="J31" s="380">
        <v>36.091666666666669</v>
      </c>
      <c r="K31" s="380">
        <v>35.708333333333329</v>
      </c>
      <c r="L31" s="380">
        <v>35.741666666666667</v>
      </c>
      <c r="M31" s="380">
        <v>36.716666666666669</v>
      </c>
      <c r="N31" s="346">
        <v>36.6</v>
      </c>
      <c r="O31" s="346">
        <v>35.5</v>
      </c>
      <c r="P31" s="346" t="s">
        <v>13</v>
      </c>
      <c r="Q31" s="346" t="s">
        <v>13</v>
      </c>
      <c r="R31" s="346">
        <v>37.5</v>
      </c>
      <c r="S31" s="346">
        <v>36.299999999999997</v>
      </c>
      <c r="T31" s="346">
        <v>34.5</v>
      </c>
      <c r="U31" s="346">
        <v>37</v>
      </c>
      <c r="V31" s="346">
        <v>36.4</v>
      </c>
      <c r="W31" s="346" t="s">
        <v>13</v>
      </c>
      <c r="X31" s="346" t="s">
        <v>13</v>
      </c>
      <c r="Y31" s="346" t="s">
        <v>13</v>
      </c>
      <c r="Z31" s="346" t="s">
        <v>13</v>
      </c>
      <c r="AA31" s="346" t="s">
        <v>13</v>
      </c>
      <c r="AB31" s="346">
        <v>37</v>
      </c>
      <c r="AC31" s="346">
        <v>37.1</v>
      </c>
      <c r="AD31" s="346">
        <v>38.1</v>
      </c>
      <c r="AE31" s="346">
        <v>40.5</v>
      </c>
      <c r="AF31" s="383" t="s">
        <v>846</v>
      </c>
      <c r="AG31" s="354"/>
    </row>
    <row r="32" spans="1:33" ht="24.6">
      <c r="A32" s="753" t="s">
        <v>844</v>
      </c>
      <c r="B32" s="750" t="s">
        <v>830</v>
      </c>
      <c r="C32" s="751">
        <f>AVERAGE(C30,C28,C26,C24,C22,C20,C18,C16,C14,C12,C10,C8)</f>
        <v>21.853009259259263</v>
      </c>
      <c r="D32" s="751">
        <f t="shared" ref="D32:M33" si="0">AVERAGE(D30,D28,D26,D24,D22,D20,D18,D16,D14,D12,D10,D8)</f>
        <v>22.163194444444443</v>
      </c>
      <c r="E32" s="751">
        <f t="shared" si="0"/>
        <v>22.553009259259255</v>
      </c>
      <c r="F32" s="751">
        <f t="shared" si="0"/>
        <v>22.841666666666669</v>
      </c>
      <c r="G32" s="751">
        <f t="shared" si="0"/>
        <v>21.794907407407408</v>
      </c>
      <c r="H32" s="751">
        <f t="shared" si="0"/>
        <v>22.204166666666666</v>
      </c>
      <c r="I32" s="751">
        <f t="shared" si="0"/>
        <v>22.28250661375662</v>
      </c>
      <c r="J32" s="751">
        <f t="shared" si="0"/>
        <v>22.348905723905727</v>
      </c>
      <c r="K32" s="751">
        <f t="shared" si="0"/>
        <v>22.411805555555556</v>
      </c>
      <c r="L32" s="751">
        <f t="shared" si="0"/>
        <v>22.316898148148152</v>
      </c>
      <c r="M32" s="751">
        <f t="shared" si="0"/>
        <v>22.861547291092744</v>
      </c>
      <c r="N32" s="381">
        <v>21.77</v>
      </c>
      <c r="O32" s="381">
        <f t="shared" ref="O32:Q33" si="1">AVERAGE(O8,O10,O12,O14,O16,O18,O20,O22,O24,O26,O28)</f>
        <v>22.063636363636363</v>
      </c>
      <c r="P32" s="381">
        <f t="shared" si="1"/>
        <v>22.654545454545453</v>
      </c>
      <c r="Q32" s="381">
        <f t="shared" si="1"/>
        <v>22.170000000000005</v>
      </c>
      <c r="R32" s="381">
        <f t="shared" ref="R32:V33" si="2">AVERAGE(R8,R10,R12,R14,R16,R18,R20,R22,R24,R26,R28)</f>
        <v>23.318181818181817</v>
      </c>
      <c r="S32" s="381">
        <f t="shared" si="2"/>
        <v>22.472727272727273</v>
      </c>
      <c r="T32" s="381">
        <f t="shared" si="2"/>
        <v>22.336363636363636</v>
      </c>
      <c r="U32" s="381">
        <f t="shared" si="2"/>
        <v>22.581818181818178</v>
      </c>
      <c r="V32" s="381">
        <f t="shared" si="2"/>
        <v>21.945454545454542</v>
      </c>
      <c r="W32" s="346" t="s">
        <v>13</v>
      </c>
      <c r="X32" s="346" t="s">
        <v>13</v>
      </c>
      <c r="Y32" s="346" t="s">
        <v>13</v>
      </c>
      <c r="Z32" s="346" t="s">
        <v>13</v>
      </c>
      <c r="AA32" s="346" t="s">
        <v>13</v>
      </c>
      <c r="AB32" s="346">
        <v>22.7</v>
      </c>
      <c r="AC32" s="346">
        <v>23.3</v>
      </c>
      <c r="AD32" s="346">
        <v>23.9</v>
      </c>
      <c r="AE32" s="346">
        <v>24.6</v>
      </c>
      <c r="AF32" s="395" t="s">
        <v>845</v>
      </c>
      <c r="AG32" s="389" t="s">
        <v>857</v>
      </c>
    </row>
    <row r="33" spans="1:33" ht="25.2" thickBot="1">
      <c r="A33" s="754"/>
      <c r="B33" s="755" t="s">
        <v>839</v>
      </c>
      <c r="C33" s="756">
        <f>AVERAGE(C31,C29,C27,C25,C23,C21,C19,C17,C15,C13,C11,C9)</f>
        <v>34.927083333333336</v>
      </c>
      <c r="D33" s="756">
        <f t="shared" si="0"/>
        <v>35.520138888888887</v>
      </c>
      <c r="E33" s="756">
        <f t="shared" si="0"/>
        <v>35.575462962962966</v>
      </c>
      <c r="F33" s="756">
        <f t="shared" si="0"/>
        <v>35.634027777777781</v>
      </c>
      <c r="G33" s="756">
        <f t="shared" si="0"/>
        <v>34.722685185185185</v>
      </c>
      <c r="H33" s="756">
        <f t="shared" si="0"/>
        <v>35.355694444444445</v>
      </c>
      <c r="I33" s="756">
        <f t="shared" si="0"/>
        <v>36.44325396825397</v>
      </c>
      <c r="J33" s="756">
        <f t="shared" si="0"/>
        <v>35.435248316498317</v>
      </c>
      <c r="K33" s="756">
        <f t="shared" si="0"/>
        <v>35.30324074074074</v>
      </c>
      <c r="L33" s="756">
        <f t="shared" si="0"/>
        <v>35.564351851851853</v>
      </c>
      <c r="M33" s="756">
        <f t="shared" si="0"/>
        <v>35.061388888888899</v>
      </c>
      <c r="N33" s="399">
        <v>35.799999999999997</v>
      </c>
      <c r="O33" s="399">
        <f t="shared" si="1"/>
        <v>35.190909090909095</v>
      </c>
      <c r="P33" s="399">
        <f t="shared" si="1"/>
        <v>35.272727272727273</v>
      </c>
      <c r="Q33" s="399">
        <f t="shared" si="1"/>
        <v>35.04</v>
      </c>
      <c r="R33" s="399">
        <f t="shared" si="2"/>
        <v>36.22727272727272</v>
      </c>
      <c r="S33" s="399">
        <f t="shared" si="2"/>
        <v>35.418181818181807</v>
      </c>
      <c r="T33" s="399">
        <f t="shared" si="2"/>
        <v>33.645454545454541</v>
      </c>
      <c r="U33" s="399">
        <f t="shared" si="2"/>
        <v>35.663636363636364</v>
      </c>
      <c r="V33" s="399">
        <f t="shared" si="2"/>
        <v>35.163636363636357</v>
      </c>
      <c r="W33" s="358" t="s">
        <v>13</v>
      </c>
      <c r="X33" s="358" t="s">
        <v>13</v>
      </c>
      <c r="Y33" s="358" t="s">
        <v>13</v>
      </c>
      <c r="Z33" s="358" t="s">
        <v>13</v>
      </c>
      <c r="AA33" s="358" t="s">
        <v>13</v>
      </c>
      <c r="AB33" s="346">
        <v>31.4</v>
      </c>
      <c r="AC33" s="346">
        <v>31.9</v>
      </c>
      <c r="AD33" s="346">
        <v>32.4</v>
      </c>
      <c r="AE33" s="346">
        <v>33.799999999999997</v>
      </c>
      <c r="AF33" s="400" t="s">
        <v>846</v>
      </c>
      <c r="AG33" s="359"/>
    </row>
    <row r="34" spans="1:33" ht="24.6">
      <c r="A34" s="392"/>
      <c r="B34" s="361"/>
      <c r="C34" s="393"/>
      <c r="D34" s="394"/>
      <c r="E34" s="393"/>
      <c r="F34" s="394"/>
      <c r="G34" s="394"/>
      <c r="H34" s="393"/>
      <c r="I34" s="393"/>
      <c r="J34" s="393"/>
      <c r="K34" s="393"/>
      <c r="L34" s="393"/>
      <c r="M34" s="393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3" ht="24.6">
      <c r="A35" s="364" t="s">
        <v>998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61"/>
      <c r="M35" s="361"/>
      <c r="N35" s="338"/>
      <c r="O35" s="338"/>
      <c r="P35" s="338"/>
      <c r="Q35" s="338"/>
      <c r="R35" s="391"/>
      <c r="S35" s="391"/>
      <c r="T35" s="391"/>
      <c r="U35" s="391"/>
      <c r="V35" s="391"/>
      <c r="W35" s="391"/>
      <c r="X35" s="391"/>
      <c r="Y35" s="391"/>
      <c r="Z35" s="391"/>
      <c r="AA35" s="391"/>
      <c r="AB35" s="391"/>
      <c r="AC35" s="391"/>
      <c r="AD35" s="391"/>
      <c r="AE35" s="391"/>
      <c r="AF35" s="391"/>
      <c r="AG35" s="338"/>
    </row>
    <row r="36" spans="1:33" ht="24.6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338"/>
      <c r="AB36" s="338"/>
      <c r="AC36" s="338"/>
      <c r="AD36" s="338"/>
      <c r="AE36" s="338"/>
      <c r="AF36" s="338"/>
      <c r="AG36" s="365" t="s">
        <v>1004</v>
      </c>
    </row>
  </sheetData>
  <mergeCells count="2">
    <mergeCell ref="A7:B7"/>
    <mergeCell ref="AF7:A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2:AE35"/>
  <sheetViews>
    <sheetView topLeftCell="A4" zoomScale="54" workbookViewId="0">
      <selection activeCell="AE2" sqref="AE2"/>
    </sheetView>
  </sheetViews>
  <sheetFormatPr baseColWidth="10" defaultRowHeight="14.4"/>
  <cols>
    <col min="1" max="1" width="28.21875" customWidth="1"/>
    <col min="5" max="5" width="14.88671875" customWidth="1"/>
    <col min="20" max="20" width="12.5546875" customWidth="1"/>
    <col min="21" max="21" width="13.6640625" customWidth="1"/>
    <col min="22" max="22" width="14.88671875" customWidth="1"/>
    <col min="23" max="24" width="13.77734375" customWidth="1"/>
    <col min="25" max="25" width="14.44140625" customWidth="1"/>
    <col min="26" max="26" width="16.109375" customWidth="1"/>
    <col min="29" max="29" width="16.44140625" customWidth="1"/>
    <col min="30" max="30" width="24.88671875" customWidth="1"/>
    <col min="31" max="31" width="34.44140625" customWidth="1"/>
  </cols>
  <sheetData>
    <row r="2" spans="1:31" ht="30" customHeight="1">
      <c r="A2" s="306" t="s">
        <v>43</v>
      </c>
      <c r="B2" s="306"/>
      <c r="C2" s="306"/>
      <c r="D2" s="306"/>
      <c r="E2" s="306"/>
      <c r="F2" s="306"/>
      <c r="G2" s="306"/>
      <c r="AE2" s="306" t="s">
        <v>42</v>
      </c>
    </row>
    <row r="3" spans="1:31" ht="14.4" customHeight="1">
      <c r="A3" s="306"/>
      <c r="B3" s="306"/>
      <c r="C3" s="306"/>
      <c r="D3" s="306"/>
      <c r="E3" s="306"/>
      <c r="F3" s="306"/>
      <c r="G3" s="306"/>
    </row>
    <row r="4" spans="1:31" ht="15" customHeight="1" thickBot="1">
      <c r="A4" s="306"/>
      <c r="B4" s="306"/>
      <c r="C4" s="306"/>
      <c r="D4" s="306"/>
      <c r="E4" s="306"/>
      <c r="F4" s="306"/>
      <c r="G4" s="306"/>
    </row>
    <row r="5" spans="1:31" ht="33" customHeight="1">
      <c r="A5" s="307" t="s">
        <v>44</v>
      </c>
      <c r="B5" s="307">
        <v>1995</v>
      </c>
      <c r="C5" s="307">
        <v>1996</v>
      </c>
      <c r="D5" s="307">
        <v>1997</v>
      </c>
      <c r="E5" s="307">
        <v>1998</v>
      </c>
      <c r="F5" s="307">
        <v>1999</v>
      </c>
      <c r="G5" s="307">
        <v>2000</v>
      </c>
      <c r="H5" s="307">
        <v>2001</v>
      </c>
      <c r="I5" s="307">
        <v>2002</v>
      </c>
      <c r="J5" s="307">
        <v>2003</v>
      </c>
      <c r="K5" s="307">
        <v>2004</v>
      </c>
      <c r="L5" s="307">
        <v>2005</v>
      </c>
      <c r="M5" s="307">
        <v>2006</v>
      </c>
      <c r="N5" s="307">
        <v>2007</v>
      </c>
      <c r="O5" s="307">
        <v>2008</v>
      </c>
      <c r="P5" s="307">
        <v>2009</v>
      </c>
      <c r="Q5" s="307" t="s">
        <v>45</v>
      </c>
      <c r="R5" s="307">
        <v>2011</v>
      </c>
      <c r="S5" s="307">
        <v>2012</v>
      </c>
      <c r="T5" s="307">
        <v>2013</v>
      </c>
      <c r="U5" s="307">
        <v>2014</v>
      </c>
      <c r="V5" s="307">
        <v>2015</v>
      </c>
      <c r="W5" s="307">
        <v>2016</v>
      </c>
      <c r="X5" s="307">
        <v>2017</v>
      </c>
      <c r="Y5" s="307">
        <v>2018</v>
      </c>
      <c r="Z5" s="307">
        <v>2019</v>
      </c>
      <c r="AA5" s="307" t="s">
        <v>46</v>
      </c>
      <c r="AB5" s="307">
        <v>2021</v>
      </c>
      <c r="AC5" s="307">
        <v>2022</v>
      </c>
      <c r="AD5" s="307" t="s">
        <v>47</v>
      </c>
    </row>
    <row r="6" spans="1:31" ht="26.4">
      <c r="A6" s="310" t="s">
        <v>48</v>
      </c>
      <c r="B6" s="310">
        <v>378</v>
      </c>
      <c r="C6" s="310">
        <v>453</v>
      </c>
      <c r="D6" s="310">
        <v>396</v>
      </c>
      <c r="E6" s="310">
        <v>404</v>
      </c>
      <c r="F6" s="310">
        <v>369</v>
      </c>
      <c r="G6" s="310">
        <v>334</v>
      </c>
      <c r="H6" s="310">
        <v>344</v>
      </c>
      <c r="I6" s="310">
        <v>381</v>
      </c>
      <c r="J6" s="310">
        <v>405</v>
      </c>
      <c r="K6" s="310">
        <v>504</v>
      </c>
      <c r="L6" s="310">
        <v>357</v>
      </c>
      <c r="M6" s="310">
        <v>266</v>
      </c>
      <c r="N6" s="310">
        <v>368</v>
      </c>
      <c r="O6" s="310">
        <v>220</v>
      </c>
      <c r="P6" s="310">
        <v>289</v>
      </c>
      <c r="Q6" s="310">
        <v>246</v>
      </c>
      <c r="R6" s="310">
        <v>183</v>
      </c>
      <c r="S6" s="310">
        <v>303</v>
      </c>
      <c r="T6" s="310">
        <v>198</v>
      </c>
      <c r="U6" s="310">
        <v>214</v>
      </c>
      <c r="V6" s="310">
        <v>172</v>
      </c>
      <c r="W6" s="310"/>
      <c r="X6" s="310"/>
      <c r="Y6" s="310">
        <v>449</v>
      </c>
      <c r="Z6" s="310">
        <v>482</v>
      </c>
      <c r="AA6" s="310">
        <v>445</v>
      </c>
      <c r="AB6" s="310">
        <v>400</v>
      </c>
      <c r="AC6" s="310">
        <v>411</v>
      </c>
      <c r="AD6" s="310" t="s">
        <v>4</v>
      </c>
    </row>
    <row r="7" spans="1:31" ht="26.4">
      <c r="A7" s="310" t="s">
        <v>49</v>
      </c>
      <c r="B7" s="310">
        <v>168</v>
      </c>
      <c r="C7" s="310">
        <v>200</v>
      </c>
      <c r="D7" s="310">
        <v>177</v>
      </c>
      <c r="E7" s="310">
        <v>148</v>
      </c>
      <c r="F7" s="310">
        <v>128</v>
      </c>
      <c r="G7" s="310">
        <v>113</v>
      </c>
      <c r="H7" s="310">
        <v>121</v>
      </c>
      <c r="I7" s="310">
        <v>132</v>
      </c>
      <c r="J7" s="310">
        <v>137</v>
      </c>
      <c r="K7" s="310">
        <v>198</v>
      </c>
      <c r="L7" s="310">
        <v>165</v>
      </c>
      <c r="M7" s="310">
        <v>133</v>
      </c>
      <c r="N7" s="310">
        <v>193</v>
      </c>
      <c r="O7" s="310">
        <v>116</v>
      </c>
      <c r="P7" s="310">
        <v>133</v>
      </c>
      <c r="Q7" s="310">
        <v>101</v>
      </c>
      <c r="R7" s="310">
        <v>87</v>
      </c>
      <c r="S7" s="310">
        <v>111</v>
      </c>
      <c r="T7" s="310">
        <v>108</v>
      </c>
      <c r="U7" s="310">
        <v>103</v>
      </c>
      <c r="V7" s="310">
        <v>109</v>
      </c>
      <c r="W7" s="310"/>
      <c r="X7" s="310"/>
      <c r="Y7" s="310">
        <v>187</v>
      </c>
      <c r="Z7" s="310">
        <v>234</v>
      </c>
      <c r="AA7" s="310">
        <v>262</v>
      </c>
      <c r="AB7" s="310">
        <v>245</v>
      </c>
      <c r="AC7" s="310">
        <v>236</v>
      </c>
      <c r="AD7" s="310" t="s">
        <v>50</v>
      </c>
    </row>
    <row r="8" spans="1:31" ht="26.4">
      <c r="A8" s="310" t="s">
        <v>51</v>
      </c>
      <c r="B8" s="310">
        <v>210</v>
      </c>
      <c r="C8" s="310">
        <v>253</v>
      </c>
      <c r="D8" s="310">
        <v>219</v>
      </c>
      <c r="E8" s="310">
        <v>256</v>
      </c>
      <c r="F8" s="310">
        <v>241</v>
      </c>
      <c r="G8" s="310">
        <v>221</v>
      </c>
      <c r="H8" s="310">
        <v>223</v>
      </c>
      <c r="I8" s="310">
        <v>249</v>
      </c>
      <c r="J8" s="310">
        <v>268</v>
      </c>
      <c r="K8" s="310">
        <v>306</v>
      </c>
      <c r="L8" s="310">
        <v>192</v>
      </c>
      <c r="M8" s="310">
        <v>133</v>
      </c>
      <c r="N8" s="310">
        <v>175</v>
      </c>
      <c r="O8" s="310">
        <v>104</v>
      </c>
      <c r="P8" s="310">
        <v>156</v>
      </c>
      <c r="Q8" s="310">
        <v>145</v>
      </c>
      <c r="R8" s="310">
        <v>96</v>
      </c>
      <c r="S8" s="310">
        <v>192</v>
      </c>
      <c r="T8" s="310">
        <v>90</v>
      </c>
      <c r="U8" s="310">
        <v>111</v>
      </c>
      <c r="V8" s="310">
        <v>63</v>
      </c>
      <c r="W8" s="310"/>
      <c r="X8" s="310"/>
      <c r="Y8" s="310">
        <v>262</v>
      </c>
      <c r="Z8" s="310">
        <v>248</v>
      </c>
      <c r="AA8" s="310">
        <v>183</v>
      </c>
      <c r="AB8" s="310">
        <v>155</v>
      </c>
      <c r="AC8" s="310">
        <v>175</v>
      </c>
      <c r="AD8" s="310" t="s">
        <v>52</v>
      </c>
    </row>
    <row r="9" spans="1:31" ht="26.4">
      <c r="A9" s="310" t="s">
        <v>53</v>
      </c>
      <c r="B9" s="310">
        <v>48</v>
      </c>
      <c r="C9" s="310">
        <v>77</v>
      </c>
      <c r="D9" s="310">
        <v>49</v>
      </c>
      <c r="E9" s="310">
        <v>64</v>
      </c>
      <c r="F9" s="310">
        <v>80</v>
      </c>
      <c r="G9" s="310">
        <v>54</v>
      </c>
      <c r="H9" s="310">
        <v>53</v>
      </c>
      <c r="I9" s="310">
        <v>69</v>
      </c>
      <c r="J9" s="310">
        <v>70</v>
      </c>
      <c r="K9" s="310">
        <v>74</v>
      </c>
      <c r="L9" s="310">
        <v>71</v>
      </c>
      <c r="M9" s="310">
        <v>20</v>
      </c>
      <c r="N9" s="310">
        <v>154</v>
      </c>
      <c r="O9" s="310">
        <v>30</v>
      </c>
      <c r="P9" s="310">
        <v>46</v>
      </c>
      <c r="Q9" s="310">
        <v>57</v>
      </c>
      <c r="R9" s="310">
        <v>64</v>
      </c>
      <c r="S9" s="310">
        <v>84</v>
      </c>
      <c r="T9" s="310">
        <v>34</v>
      </c>
      <c r="U9" s="310">
        <v>56</v>
      </c>
      <c r="V9" s="310">
        <v>45</v>
      </c>
      <c r="W9" s="310"/>
      <c r="X9" s="310"/>
      <c r="Y9" s="310">
        <v>137</v>
      </c>
      <c r="Z9" s="310">
        <v>145</v>
      </c>
      <c r="AA9" s="310">
        <v>118</v>
      </c>
      <c r="AB9" s="310">
        <v>95</v>
      </c>
      <c r="AC9" s="310">
        <v>101</v>
      </c>
      <c r="AD9" s="310" t="s">
        <v>54</v>
      </c>
    </row>
    <row r="10" spans="1:31" ht="26.4">
      <c r="A10" s="310" t="s">
        <v>49</v>
      </c>
      <c r="B10" s="310">
        <v>1</v>
      </c>
      <c r="C10" s="310">
        <v>1</v>
      </c>
      <c r="D10" s="310">
        <v>1</v>
      </c>
      <c r="E10" s="310">
        <v>1</v>
      </c>
      <c r="F10" s="310">
        <v>0</v>
      </c>
      <c r="G10" s="310">
        <v>0</v>
      </c>
      <c r="H10" s="310">
        <v>0</v>
      </c>
      <c r="I10" s="310">
        <v>0</v>
      </c>
      <c r="J10" s="310">
        <v>0</v>
      </c>
      <c r="K10" s="310">
        <v>0</v>
      </c>
      <c r="L10" s="310">
        <v>4</v>
      </c>
      <c r="M10" s="310">
        <v>0</v>
      </c>
      <c r="N10" s="310">
        <v>77</v>
      </c>
      <c r="O10" s="310">
        <v>0</v>
      </c>
      <c r="P10" s="310">
        <v>1</v>
      </c>
      <c r="Q10" s="310">
        <v>0</v>
      </c>
      <c r="R10" s="310">
        <v>0</v>
      </c>
      <c r="S10" s="310">
        <v>2</v>
      </c>
      <c r="T10" s="310">
        <v>10</v>
      </c>
      <c r="U10" s="310">
        <v>11</v>
      </c>
      <c r="V10" s="310">
        <v>13</v>
      </c>
      <c r="W10" s="310"/>
      <c r="X10" s="310"/>
      <c r="Y10" s="310">
        <v>19</v>
      </c>
      <c r="Z10" s="310">
        <v>17</v>
      </c>
      <c r="AA10" s="310">
        <v>25</v>
      </c>
      <c r="AB10" s="310">
        <v>18</v>
      </c>
      <c r="AC10" s="310">
        <v>16</v>
      </c>
      <c r="AD10" s="310" t="s">
        <v>50</v>
      </c>
    </row>
    <row r="11" spans="1:31" ht="26.4">
      <c r="A11" s="310" t="s">
        <v>51</v>
      </c>
      <c r="B11" s="310">
        <v>47</v>
      </c>
      <c r="C11" s="310">
        <v>76</v>
      </c>
      <c r="D11" s="310">
        <v>48</v>
      </c>
      <c r="E11" s="310">
        <v>63</v>
      </c>
      <c r="F11" s="310">
        <v>80</v>
      </c>
      <c r="G11" s="310">
        <v>54</v>
      </c>
      <c r="H11" s="310">
        <v>53</v>
      </c>
      <c r="I11" s="310">
        <v>69</v>
      </c>
      <c r="J11" s="310">
        <v>70</v>
      </c>
      <c r="K11" s="310">
        <v>74</v>
      </c>
      <c r="L11" s="310">
        <v>67</v>
      </c>
      <c r="M11" s="310">
        <v>20</v>
      </c>
      <c r="N11" s="310">
        <v>77</v>
      </c>
      <c r="O11" s="310">
        <v>30</v>
      </c>
      <c r="P11" s="310">
        <v>45</v>
      </c>
      <c r="Q11" s="310">
        <v>57</v>
      </c>
      <c r="R11" s="310">
        <v>64</v>
      </c>
      <c r="S11" s="310">
        <v>82</v>
      </c>
      <c r="T11" s="310">
        <v>24</v>
      </c>
      <c r="U11" s="310">
        <v>45</v>
      </c>
      <c r="V11" s="310">
        <v>32</v>
      </c>
      <c r="W11" s="310"/>
      <c r="X11" s="310"/>
      <c r="Y11" s="310">
        <v>118</v>
      </c>
      <c r="Z11" s="310">
        <v>128</v>
      </c>
      <c r="AA11" s="310">
        <v>93</v>
      </c>
      <c r="AB11" s="310">
        <v>77</v>
      </c>
      <c r="AC11" s="310">
        <v>85</v>
      </c>
      <c r="AD11" s="310" t="s">
        <v>52</v>
      </c>
    </row>
    <row r="12" spans="1:31" ht="26.4">
      <c r="A12" s="310" t="s">
        <v>55</v>
      </c>
      <c r="B12" s="310">
        <v>107</v>
      </c>
      <c r="C12" s="310">
        <v>117</v>
      </c>
      <c r="D12" s="310">
        <v>139</v>
      </c>
      <c r="E12" s="310">
        <v>159</v>
      </c>
      <c r="F12" s="310">
        <v>130</v>
      </c>
      <c r="G12" s="310">
        <v>131</v>
      </c>
      <c r="H12" s="310">
        <v>133</v>
      </c>
      <c r="I12" s="310">
        <v>142</v>
      </c>
      <c r="J12" s="310">
        <v>165</v>
      </c>
      <c r="K12" s="310">
        <v>203</v>
      </c>
      <c r="L12" s="310">
        <v>75</v>
      </c>
      <c r="M12" s="310">
        <v>91</v>
      </c>
      <c r="N12" s="310">
        <v>77</v>
      </c>
      <c r="O12" s="310">
        <v>60</v>
      </c>
      <c r="P12" s="310">
        <v>72</v>
      </c>
      <c r="Q12" s="310">
        <v>63</v>
      </c>
      <c r="R12" s="310">
        <v>0</v>
      </c>
      <c r="S12" s="310">
        <v>76</v>
      </c>
      <c r="T12" s="310">
        <v>62</v>
      </c>
      <c r="U12" s="310">
        <v>60</v>
      </c>
      <c r="V12" s="310">
        <v>28</v>
      </c>
      <c r="W12" s="310"/>
      <c r="X12" s="310"/>
      <c r="Y12" s="310">
        <v>112</v>
      </c>
      <c r="Z12" s="310">
        <v>90</v>
      </c>
      <c r="AA12" s="310">
        <v>92</v>
      </c>
      <c r="AB12" s="310">
        <v>81</v>
      </c>
      <c r="AC12" s="310">
        <v>103</v>
      </c>
      <c r="AD12" s="310" t="s">
        <v>56</v>
      </c>
    </row>
    <row r="13" spans="1:31" ht="26.4">
      <c r="A13" s="310" t="s">
        <v>49</v>
      </c>
      <c r="B13" s="310">
        <v>4</v>
      </c>
      <c r="C13" s="310">
        <v>4</v>
      </c>
      <c r="D13" s="310">
        <v>8</v>
      </c>
      <c r="E13" s="310">
        <v>11</v>
      </c>
      <c r="F13" s="310">
        <v>18</v>
      </c>
      <c r="G13" s="310">
        <v>13</v>
      </c>
      <c r="H13" s="310">
        <v>18</v>
      </c>
      <c r="I13" s="310">
        <v>17</v>
      </c>
      <c r="J13" s="310">
        <v>28</v>
      </c>
      <c r="K13" s="310">
        <v>25</v>
      </c>
      <c r="L13" s="310">
        <v>0</v>
      </c>
      <c r="M13" s="310">
        <v>16</v>
      </c>
      <c r="N13" s="310">
        <v>9</v>
      </c>
      <c r="O13" s="310">
        <v>9</v>
      </c>
      <c r="P13" s="310">
        <v>6</v>
      </c>
      <c r="Q13" s="310">
        <v>6</v>
      </c>
      <c r="R13" s="310"/>
      <c r="S13" s="310">
        <v>4</v>
      </c>
      <c r="T13" s="310">
        <v>4</v>
      </c>
      <c r="U13" s="310">
        <v>1</v>
      </c>
      <c r="V13" s="310">
        <v>2</v>
      </c>
      <c r="W13" s="310"/>
      <c r="X13" s="310"/>
      <c r="Y13" s="310">
        <v>17</v>
      </c>
      <c r="Z13" s="310">
        <v>16</v>
      </c>
      <c r="AA13" s="310">
        <v>17</v>
      </c>
      <c r="AB13" s="310">
        <v>22</v>
      </c>
      <c r="AC13" s="310">
        <v>28</v>
      </c>
      <c r="AD13" s="310" t="s">
        <v>57</v>
      </c>
    </row>
    <row r="14" spans="1:31" ht="26.4">
      <c r="A14" s="310" t="s">
        <v>51</v>
      </c>
      <c r="B14" s="310">
        <v>103</v>
      </c>
      <c r="C14" s="310">
        <v>113</v>
      </c>
      <c r="D14" s="310">
        <v>131</v>
      </c>
      <c r="E14" s="310">
        <v>148</v>
      </c>
      <c r="F14" s="310">
        <v>112</v>
      </c>
      <c r="G14" s="310">
        <v>118</v>
      </c>
      <c r="H14" s="310">
        <v>115</v>
      </c>
      <c r="I14" s="310">
        <v>125</v>
      </c>
      <c r="J14" s="310">
        <v>137</v>
      </c>
      <c r="K14" s="310">
        <v>178</v>
      </c>
      <c r="L14" s="310">
        <v>75</v>
      </c>
      <c r="M14" s="310">
        <v>75</v>
      </c>
      <c r="N14" s="310">
        <v>68</v>
      </c>
      <c r="O14" s="310">
        <v>51</v>
      </c>
      <c r="P14" s="310">
        <v>66</v>
      </c>
      <c r="Q14" s="310">
        <v>57</v>
      </c>
      <c r="R14" s="310"/>
      <c r="S14" s="310">
        <v>72</v>
      </c>
      <c r="T14" s="310">
        <v>58</v>
      </c>
      <c r="U14" s="310">
        <v>59</v>
      </c>
      <c r="V14" s="310">
        <v>26</v>
      </c>
      <c r="W14" s="310"/>
      <c r="X14" s="310"/>
      <c r="Y14" s="310">
        <v>95</v>
      </c>
      <c r="Z14" s="310">
        <v>84</v>
      </c>
      <c r="AA14" s="310">
        <v>66</v>
      </c>
      <c r="AB14" s="310">
        <v>59</v>
      </c>
      <c r="AC14" s="310">
        <v>75</v>
      </c>
      <c r="AD14" s="310" t="s">
        <v>52</v>
      </c>
    </row>
    <row r="15" spans="1:31" ht="26.4">
      <c r="A15" s="310" t="s">
        <v>58</v>
      </c>
      <c r="B15" s="310">
        <v>223</v>
      </c>
      <c r="C15" s="310">
        <v>259</v>
      </c>
      <c r="D15" s="310">
        <v>208</v>
      </c>
      <c r="E15" s="310">
        <v>181</v>
      </c>
      <c r="F15" s="310">
        <v>159</v>
      </c>
      <c r="G15" s="310">
        <v>149</v>
      </c>
      <c r="H15" s="310">
        <v>158</v>
      </c>
      <c r="I15" s="310">
        <v>170</v>
      </c>
      <c r="J15" s="310">
        <v>170</v>
      </c>
      <c r="K15" s="310">
        <v>227</v>
      </c>
      <c r="L15" s="310">
        <v>211</v>
      </c>
      <c r="M15" s="310">
        <v>155</v>
      </c>
      <c r="N15" s="310">
        <v>137</v>
      </c>
      <c r="O15" s="310">
        <v>130</v>
      </c>
      <c r="P15" s="310">
        <v>171</v>
      </c>
      <c r="Q15" s="310">
        <v>126</v>
      </c>
      <c r="R15" s="310">
        <v>119</v>
      </c>
      <c r="S15" s="310">
        <v>143</v>
      </c>
      <c r="T15" s="310">
        <v>102</v>
      </c>
      <c r="U15" s="310">
        <v>98</v>
      </c>
      <c r="V15" s="310">
        <v>99</v>
      </c>
      <c r="W15" s="310"/>
      <c r="X15" s="310"/>
      <c r="Y15" s="310">
        <v>200</v>
      </c>
      <c r="Z15" s="310">
        <v>237</v>
      </c>
      <c r="AA15" s="310">
        <v>244</v>
      </c>
      <c r="AB15" s="310">
        <v>224</v>
      </c>
      <c r="AC15" s="310">
        <v>207</v>
      </c>
      <c r="AD15" s="310" t="s">
        <v>59</v>
      </c>
    </row>
    <row r="16" spans="1:31" ht="26.4">
      <c r="A16" s="310" t="s">
        <v>49</v>
      </c>
      <c r="B16" s="310">
        <v>163</v>
      </c>
      <c r="C16" s="310">
        <v>195</v>
      </c>
      <c r="D16" s="310">
        <v>168</v>
      </c>
      <c r="E16" s="310">
        <v>136</v>
      </c>
      <c r="F16" s="310">
        <v>110</v>
      </c>
      <c r="G16" s="310">
        <v>100</v>
      </c>
      <c r="H16" s="310">
        <v>103</v>
      </c>
      <c r="I16" s="310">
        <v>115</v>
      </c>
      <c r="J16" s="310">
        <v>109</v>
      </c>
      <c r="K16" s="310">
        <v>173</v>
      </c>
      <c r="L16" s="310">
        <v>161</v>
      </c>
      <c r="M16" s="310">
        <v>117</v>
      </c>
      <c r="N16" s="310">
        <v>107</v>
      </c>
      <c r="O16" s="310">
        <v>107</v>
      </c>
      <c r="P16" s="310">
        <v>126</v>
      </c>
      <c r="Q16" s="310">
        <v>95</v>
      </c>
      <c r="R16" s="310">
        <v>87</v>
      </c>
      <c r="S16" s="310">
        <v>105</v>
      </c>
      <c r="T16" s="310">
        <v>94</v>
      </c>
      <c r="U16" s="310">
        <v>91</v>
      </c>
      <c r="V16" s="310">
        <v>94</v>
      </c>
      <c r="W16" s="310"/>
      <c r="X16" s="310"/>
      <c r="Y16" s="310">
        <v>151</v>
      </c>
      <c r="Z16" s="310">
        <v>201</v>
      </c>
      <c r="AA16" s="310">
        <v>220</v>
      </c>
      <c r="AB16" s="310">
        <v>205</v>
      </c>
      <c r="AC16" s="310">
        <v>192</v>
      </c>
      <c r="AD16" s="310" t="s">
        <v>50</v>
      </c>
    </row>
    <row r="17" spans="1:31" ht="26.4">
      <c r="A17" s="310" t="s">
        <v>51</v>
      </c>
      <c r="B17" s="310">
        <v>60</v>
      </c>
      <c r="C17" s="310">
        <v>64</v>
      </c>
      <c r="D17" s="310">
        <v>40</v>
      </c>
      <c r="E17" s="310">
        <v>45</v>
      </c>
      <c r="F17" s="310">
        <v>49</v>
      </c>
      <c r="G17" s="310">
        <v>49</v>
      </c>
      <c r="H17" s="310">
        <v>55</v>
      </c>
      <c r="I17" s="310">
        <v>55</v>
      </c>
      <c r="J17" s="310">
        <v>61</v>
      </c>
      <c r="K17" s="310">
        <v>54</v>
      </c>
      <c r="L17" s="310">
        <v>50</v>
      </c>
      <c r="M17" s="310">
        <v>38</v>
      </c>
      <c r="N17" s="310">
        <v>30</v>
      </c>
      <c r="O17" s="310">
        <v>23</v>
      </c>
      <c r="P17" s="310">
        <v>45</v>
      </c>
      <c r="Q17" s="310">
        <v>31</v>
      </c>
      <c r="R17" s="310">
        <v>32</v>
      </c>
      <c r="S17" s="310">
        <v>38</v>
      </c>
      <c r="T17" s="310">
        <v>8</v>
      </c>
      <c r="U17" s="310">
        <v>7</v>
      </c>
      <c r="V17" s="310">
        <v>5</v>
      </c>
      <c r="W17" s="310"/>
      <c r="X17" s="310"/>
      <c r="Y17" s="310">
        <v>49</v>
      </c>
      <c r="Z17" s="310">
        <v>36</v>
      </c>
      <c r="AA17" s="310">
        <v>24</v>
      </c>
      <c r="AB17" s="310">
        <v>19</v>
      </c>
      <c r="AC17" s="310">
        <v>15</v>
      </c>
      <c r="AD17" s="310" t="s">
        <v>52</v>
      </c>
    </row>
    <row r="19" spans="1:31" ht="20.399999999999999">
      <c r="A19" s="306" t="s">
        <v>60</v>
      </c>
      <c r="AE19" s="306" t="s">
        <v>61</v>
      </c>
    </row>
    <row r="22" spans="1:31" ht="20.399999999999999">
      <c r="A22" s="306" t="s">
        <v>63</v>
      </c>
      <c r="AE22" s="306" t="s">
        <v>62</v>
      </c>
    </row>
    <row r="23" spans="1:31" ht="15" thickBot="1"/>
    <row r="24" spans="1:31" ht="30">
      <c r="A24" s="307" t="s">
        <v>64</v>
      </c>
      <c r="B24" s="307">
        <v>1995</v>
      </c>
      <c r="C24" s="307">
        <v>1996</v>
      </c>
      <c r="D24" s="307">
        <v>1997</v>
      </c>
      <c r="E24" s="307">
        <v>1998</v>
      </c>
      <c r="F24" s="307">
        <v>1999</v>
      </c>
      <c r="G24" s="307">
        <v>2000</v>
      </c>
      <c r="H24" s="307">
        <v>2001</v>
      </c>
      <c r="I24" s="307">
        <v>2002</v>
      </c>
      <c r="J24" s="307">
        <v>2003</v>
      </c>
      <c r="K24" s="307">
        <v>2004</v>
      </c>
      <c r="L24" s="307">
        <v>2005</v>
      </c>
      <c r="M24" s="307">
        <v>2006</v>
      </c>
      <c r="N24" s="307">
        <v>2007</v>
      </c>
      <c r="O24" s="307">
        <v>2008</v>
      </c>
      <c r="P24" s="307">
        <v>2009</v>
      </c>
      <c r="Q24" s="307">
        <v>2010</v>
      </c>
      <c r="R24" s="307">
        <v>2011</v>
      </c>
      <c r="S24" s="307">
        <v>2012</v>
      </c>
      <c r="T24" s="307">
        <v>2013</v>
      </c>
      <c r="U24" s="307">
        <v>2014</v>
      </c>
      <c r="V24" s="307">
        <v>2015</v>
      </c>
      <c r="W24" s="307">
        <v>2016</v>
      </c>
      <c r="X24" s="307">
        <v>2017</v>
      </c>
      <c r="Y24" s="307">
        <v>2018</v>
      </c>
      <c r="Z24" s="307">
        <v>2019</v>
      </c>
      <c r="AA24" s="307">
        <v>2020</v>
      </c>
      <c r="AB24" s="307">
        <v>2021</v>
      </c>
      <c r="AC24" s="307">
        <v>2022</v>
      </c>
      <c r="AD24" s="307">
        <v>2023</v>
      </c>
      <c r="AE24" s="307" t="s">
        <v>21</v>
      </c>
    </row>
    <row r="25" spans="1:31" ht="26.4">
      <c r="A25" s="311" t="s">
        <v>65</v>
      </c>
      <c r="B25" s="309">
        <v>502843</v>
      </c>
      <c r="C25" s="309">
        <v>679305</v>
      </c>
      <c r="D25" s="309">
        <v>596724</v>
      </c>
      <c r="E25" s="309">
        <v>644942</v>
      </c>
      <c r="F25" s="310">
        <v>591780</v>
      </c>
      <c r="G25" s="309">
        <v>544925</v>
      </c>
      <c r="H25" s="309">
        <v>642285</v>
      </c>
      <c r="I25" s="309">
        <v>672643</v>
      </c>
      <c r="J25" s="309">
        <v>622098</v>
      </c>
      <c r="K25" s="310">
        <v>820257</v>
      </c>
      <c r="L25" s="309">
        <v>678249</v>
      </c>
      <c r="M25" s="309">
        <v>571496</v>
      </c>
      <c r="N25" s="309">
        <v>902541</v>
      </c>
      <c r="O25" s="309">
        <v>944983.23202526791</v>
      </c>
      <c r="P25" s="310">
        <v>913594.82499999995</v>
      </c>
      <c r="Q25" s="309">
        <v>1147161</v>
      </c>
      <c r="R25" s="309">
        <v>1161976</v>
      </c>
      <c r="S25" s="309">
        <v>845357</v>
      </c>
      <c r="T25" s="309">
        <v>536544</v>
      </c>
      <c r="U25" s="310">
        <v>908285</v>
      </c>
      <c r="V25" s="309">
        <v>837666</v>
      </c>
      <c r="W25" s="309">
        <v>1103593</v>
      </c>
      <c r="X25" s="309">
        <v>1191449</v>
      </c>
      <c r="Y25" s="309">
        <v>1533231</v>
      </c>
      <c r="Z25" s="310">
        <v>1356802</v>
      </c>
      <c r="AA25" s="404">
        <v>1255713</v>
      </c>
      <c r="AB25" s="404">
        <v>948219</v>
      </c>
      <c r="AC25" s="404" t="s">
        <v>936</v>
      </c>
      <c r="AD25" s="776"/>
      <c r="AE25" s="312" t="s">
        <v>66</v>
      </c>
    </row>
    <row r="26" spans="1:31" ht="26.4">
      <c r="A26" s="311"/>
      <c r="B26" s="309"/>
      <c r="C26" s="309"/>
      <c r="D26" s="309"/>
      <c r="E26" s="309"/>
      <c r="F26" s="310"/>
      <c r="G26" s="309"/>
      <c r="H26" s="309"/>
      <c r="I26" s="309"/>
      <c r="J26" s="309"/>
      <c r="K26" s="310"/>
      <c r="L26" s="309"/>
      <c r="M26" s="309"/>
      <c r="N26" s="309"/>
      <c r="O26" s="309"/>
      <c r="P26" s="310"/>
      <c r="Q26" s="309"/>
      <c r="R26" s="309"/>
      <c r="S26" s="309"/>
      <c r="T26" s="309"/>
      <c r="U26" s="310"/>
      <c r="V26" s="309"/>
      <c r="W26" s="309"/>
      <c r="X26" s="309"/>
      <c r="Y26" s="309"/>
      <c r="Z26" s="310"/>
      <c r="AA26" s="404"/>
      <c r="AB26" s="404"/>
      <c r="AC26" s="404"/>
      <c r="AD26" s="776"/>
      <c r="AE26" s="312"/>
    </row>
    <row r="27" spans="1:31" ht="26.4">
      <c r="A27" s="311" t="s">
        <v>67</v>
      </c>
      <c r="B27" s="309">
        <v>20978</v>
      </c>
      <c r="C27" s="309">
        <v>22236</v>
      </c>
      <c r="D27" s="309">
        <v>15827</v>
      </c>
      <c r="E27" s="309">
        <v>18043</v>
      </c>
      <c r="F27" s="310">
        <v>14527</v>
      </c>
      <c r="G27" s="309">
        <v>19456</v>
      </c>
      <c r="H27" s="309">
        <v>22139</v>
      </c>
      <c r="I27" s="309">
        <v>26131</v>
      </c>
      <c r="J27" s="309">
        <v>23899</v>
      </c>
      <c r="K27" s="310">
        <v>28179</v>
      </c>
      <c r="L27" s="309">
        <v>35386</v>
      </c>
      <c r="M27" s="309">
        <v>79619</v>
      </c>
      <c r="N27" s="309">
        <v>79619</v>
      </c>
      <c r="O27" s="309">
        <v>75881.23202526792</v>
      </c>
      <c r="P27" s="310">
        <v>114247</v>
      </c>
      <c r="Q27" s="309">
        <v>180109</v>
      </c>
      <c r="R27" s="309">
        <v>164885</v>
      </c>
      <c r="S27" s="309">
        <v>191003</v>
      </c>
      <c r="T27" s="309">
        <v>251427</v>
      </c>
      <c r="U27" s="310">
        <v>301539</v>
      </c>
      <c r="V27" s="309">
        <v>357351</v>
      </c>
      <c r="W27" s="309">
        <v>282717</v>
      </c>
      <c r="X27" s="309">
        <v>347908</v>
      </c>
      <c r="Y27" s="309">
        <v>270706</v>
      </c>
      <c r="Z27" s="310">
        <v>289138</v>
      </c>
      <c r="AA27" s="404">
        <v>316347</v>
      </c>
      <c r="AB27" s="404">
        <v>313114</v>
      </c>
      <c r="AC27" s="404" t="s">
        <v>937</v>
      </c>
      <c r="AD27" s="776"/>
      <c r="AE27" s="312" t="s">
        <v>68</v>
      </c>
    </row>
    <row r="28" spans="1:31" ht="26.4">
      <c r="A28" s="311"/>
      <c r="B28" s="309"/>
      <c r="C28" s="309"/>
      <c r="D28" s="309"/>
      <c r="E28" s="309"/>
      <c r="F28" s="310"/>
      <c r="G28" s="309"/>
      <c r="H28" s="309"/>
      <c r="I28" s="309"/>
      <c r="J28" s="309"/>
      <c r="K28" s="310"/>
      <c r="L28" s="309"/>
      <c r="M28" s="309"/>
      <c r="N28" s="309"/>
      <c r="O28" s="309"/>
      <c r="P28" s="310"/>
      <c r="Q28" s="309"/>
      <c r="R28" s="309"/>
      <c r="S28" s="309"/>
      <c r="T28" s="309"/>
      <c r="U28" s="310"/>
      <c r="V28" s="309"/>
      <c r="W28" s="309"/>
      <c r="X28" s="309"/>
      <c r="Y28" s="309"/>
      <c r="Z28" s="310"/>
      <c r="AA28" s="404"/>
      <c r="AB28" s="404"/>
      <c r="AC28" s="404"/>
      <c r="AD28" s="776"/>
      <c r="AE28" s="312"/>
    </row>
    <row r="29" spans="1:31" ht="26.4">
      <c r="A29" s="311" t="s">
        <v>69</v>
      </c>
      <c r="B29" s="309">
        <v>481865</v>
      </c>
      <c r="C29" s="309">
        <v>657069</v>
      </c>
      <c r="D29" s="309">
        <v>580897</v>
      </c>
      <c r="E29" s="309">
        <v>626899</v>
      </c>
      <c r="F29" s="310">
        <v>577253</v>
      </c>
      <c r="G29" s="309">
        <v>525469</v>
      </c>
      <c r="H29" s="309">
        <v>620146</v>
      </c>
      <c r="I29" s="309">
        <v>646512</v>
      </c>
      <c r="J29" s="309">
        <v>598199</v>
      </c>
      <c r="K29" s="310">
        <v>792078</v>
      </c>
      <c r="L29" s="309">
        <v>642863</v>
      </c>
      <c r="M29" s="309">
        <v>491877</v>
      </c>
      <c r="N29" s="309">
        <v>822922</v>
      </c>
      <c r="O29" s="309">
        <v>869102</v>
      </c>
      <c r="P29" s="310">
        <v>799347.82499999995</v>
      </c>
      <c r="Q29" s="309">
        <v>967052</v>
      </c>
      <c r="R29" s="309">
        <v>997091</v>
      </c>
      <c r="S29" s="309">
        <v>654354</v>
      </c>
      <c r="T29" s="309">
        <v>285117</v>
      </c>
      <c r="U29" s="310">
        <v>606746</v>
      </c>
      <c r="V29" s="309">
        <v>480315</v>
      </c>
      <c r="W29" s="309">
        <v>820876</v>
      </c>
      <c r="X29" s="309">
        <v>843541</v>
      </c>
      <c r="Y29" s="309">
        <v>1262525</v>
      </c>
      <c r="Z29" s="310">
        <v>1067664</v>
      </c>
      <c r="AA29" s="404">
        <v>939366</v>
      </c>
      <c r="AB29" s="404">
        <v>635105</v>
      </c>
      <c r="AC29" s="404" t="s">
        <v>938</v>
      </c>
      <c r="AD29" s="404">
        <v>339207</v>
      </c>
      <c r="AE29" s="312" t="s">
        <v>70</v>
      </c>
    </row>
    <row r="30" spans="1:31" ht="26.4">
      <c r="A30" s="311" t="s">
        <v>71</v>
      </c>
      <c r="B30" s="309">
        <v>419232</v>
      </c>
      <c r="C30" s="309">
        <v>592380</v>
      </c>
      <c r="D30" s="309">
        <v>516545</v>
      </c>
      <c r="E30" s="309">
        <v>562855</v>
      </c>
      <c r="F30" s="310">
        <v>510145</v>
      </c>
      <c r="G30" s="309">
        <v>460026</v>
      </c>
      <c r="H30" s="309">
        <v>548025</v>
      </c>
      <c r="I30" s="309">
        <v>602565</v>
      </c>
      <c r="J30" s="309">
        <v>532714</v>
      </c>
      <c r="K30" s="310">
        <v>727811</v>
      </c>
      <c r="L30" s="309">
        <v>580312</v>
      </c>
      <c r="M30" s="309">
        <v>449538</v>
      </c>
      <c r="N30" s="309">
        <v>764660</v>
      </c>
      <c r="O30" s="309">
        <v>821355</v>
      </c>
      <c r="P30" s="310">
        <v>743275</v>
      </c>
      <c r="Q30" s="309">
        <v>921010</v>
      </c>
      <c r="R30" s="309">
        <v>938233</v>
      </c>
      <c r="S30" s="309">
        <v>604224</v>
      </c>
      <c r="T30" s="309">
        <v>244620</v>
      </c>
      <c r="U30" s="310">
        <v>556707</v>
      </c>
      <c r="V30" s="309">
        <v>429982</v>
      </c>
      <c r="W30" s="309">
        <v>738028</v>
      </c>
      <c r="X30" s="309">
        <v>780662</v>
      </c>
      <c r="Y30" s="309">
        <v>1200778</v>
      </c>
      <c r="Z30" s="310">
        <v>1009259</v>
      </c>
      <c r="AA30" s="404">
        <v>885907</v>
      </c>
      <c r="AB30" s="404">
        <v>611871</v>
      </c>
      <c r="AC30" s="404" t="s">
        <v>939</v>
      </c>
      <c r="AD30" s="404">
        <v>286935</v>
      </c>
      <c r="AE30" s="312" t="s">
        <v>72</v>
      </c>
    </row>
    <row r="31" spans="1:31" ht="26.4">
      <c r="A31" s="311" t="s">
        <v>73</v>
      </c>
      <c r="B31" s="309">
        <v>30628</v>
      </c>
      <c r="C31" s="309">
        <v>36473</v>
      </c>
      <c r="D31" s="309">
        <v>40861</v>
      </c>
      <c r="E31" s="309">
        <v>38196</v>
      </c>
      <c r="F31" s="310">
        <v>33264</v>
      </c>
      <c r="G31" s="309">
        <v>31086</v>
      </c>
      <c r="H31" s="309">
        <v>39840</v>
      </c>
      <c r="I31" s="309">
        <v>20414</v>
      </c>
      <c r="J31" s="309">
        <v>36106</v>
      </c>
      <c r="K31" s="310">
        <v>33112</v>
      </c>
      <c r="L31" s="309">
        <v>27644</v>
      </c>
      <c r="M31" s="309">
        <v>19723</v>
      </c>
      <c r="N31" s="309">
        <v>27430</v>
      </c>
      <c r="O31" s="309">
        <v>20264</v>
      </c>
      <c r="P31" s="310">
        <v>26466</v>
      </c>
      <c r="Q31" s="309">
        <v>28505</v>
      </c>
      <c r="R31" s="309">
        <v>36163</v>
      </c>
      <c r="S31" s="309">
        <v>22403</v>
      </c>
      <c r="T31" s="309">
        <v>21482</v>
      </c>
      <c r="U31" s="310">
        <v>22626</v>
      </c>
      <c r="V31" s="309">
        <v>31709</v>
      </c>
      <c r="W31" s="309">
        <v>68018</v>
      </c>
      <c r="X31" s="309">
        <v>44799</v>
      </c>
      <c r="Y31" s="309">
        <v>42537</v>
      </c>
      <c r="Z31" s="310">
        <v>35899</v>
      </c>
      <c r="AA31" s="404">
        <v>35702</v>
      </c>
      <c r="AB31" s="404">
        <v>10525</v>
      </c>
      <c r="AC31" s="404" t="s">
        <v>940</v>
      </c>
      <c r="AD31" s="404">
        <v>28223</v>
      </c>
      <c r="AE31" s="312" t="s">
        <v>74</v>
      </c>
    </row>
    <row r="32" spans="1:31" ht="26.4">
      <c r="A32" s="311" t="s">
        <v>75</v>
      </c>
      <c r="B32" s="309">
        <v>29751</v>
      </c>
      <c r="C32" s="309">
        <v>25420</v>
      </c>
      <c r="D32" s="309">
        <v>19622</v>
      </c>
      <c r="E32" s="309">
        <v>20757</v>
      </c>
      <c r="F32" s="310">
        <v>29280</v>
      </c>
      <c r="G32" s="309">
        <v>30628</v>
      </c>
      <c r="H32" s="309">
        <v>27899</v>
      </c>
      <c r="I32" s="309">
        <v>19810</v>
      </c>
      <c r="J32" s="309">
        <v>24059</v>
      </c>
      <c r="K32" s="310">
        <v>27358</v>
      </c>
      <c r="L32" s="309">
        <v>30837</v>
      </c>
      <c r="M32" s="309">
        <v>19023</v>
      </c>
      <c r="N32" s="309">
        <v>24069</v>
      </c>
      <c r="O32" s="309">
        <v>23642</v>
      </c>
      <c r="P32" s="310">
        <v>26424</v>
      </c>
      <c r="Q32" s="309">
        <v>13989</v>
      </c>
      <c r="R32" s="309">
        <v>17786</v>
      </c>
      <c r="S32" s="309">
        <v>25286</v>
      </c>
      <c r="T32" s="309">
        <v>18748</v>
      </c>
      <c r="U32" s="310">
        <v>19937</v>
      </c>
      <c r="V32" s="309">
        <v>16424</v>
      </c>
      <c r="W32" s="309">
        <v>13537</v>
      </c>
      <c r="X32" s="309">
        <v>16139</v>
      </c>
      <c r="Y32" s="309">
        <v>16368</v>
      </c>
      <c r="Z32" s="310">
        <v>20589</v>
      </c>
      <c r="AA32" s="404">
        <v>15932</v>
      </c>
      <c r="AB32" s="404">
        <v>10525</v>
      </c>
      <c r="AC32" s="404" t="s">
        <v>941</v>
      </c>
      <c r="AD32" s="404">
        <v>23751</v>
      </c>
      <c r="AE32" s="312" t="s">
        <v>76</v>
      </c>
    </row>
    <row r="33" spans="1:31" ht="27" thickBot="1">
      <c r="A33" s="313" t="s">
        <v>77</v>
      </c>
      <c r="B33" s="314">
        <v>2254</v>
      </c>
      <c r="C33" s="314">
        <v>2796</v>
      </c>
      <c r="D33" s="314">
        <v>3869</v>
      </c>
      <c r="E33" s="314">
        <v>5091</v>
      </c>
      <c r="F33" s="315">
        <v>4564</v>
      </c>
      <c r="G33" s="314">
        <v>3729</v>
      </c>
      <c r="H33" s="314">
        <v>4382</v>
      </c>
      <c r="I33" s="314">
        <v>3723</v>
      </c>
      <c r="J33" s="314">
        <v>5320</v>
      </c>
      <c r="K33" s="315">
        <v>3797</v>
      </c>
      <c r="L33" s="314">
        <v>4070</v>
      </c>
      <c r="M33" s="314">
        <v>3593</v>
      </c>
      <c r="N33" s="314">
        <v>6763</v>
      </c>
      <c r="O33" s="314">
        <v>3841</v>
      </c>
      <c r="P33" s="315">
        <v>3182.8249999999998</v>
      </c>
      <c r="Q33" s="314">
        <v>3548</v>
      </c>
      <c r="R33" s="314">
        <v>4909</v>
      </c>
      <c r="S33" s="314">
        <v>2441</v>
      </c>
      <c r="T33" s="314">
        <v>267</v>
      </c>
      <c r="U33" s="315">
        <v>7476</v>
      </c>
      <c r="V33" s="314">
        <v>2200</v>
      </c>
      <c r="W33" s="314">
        <v>1293</v>
      </c>
      <c r="X33" s="314">
        <v>1941</v>
      </c>
      <c r="Y33" s="314">
        <v>2842</v>
      </c>
      <c r="Z33" s="315">
        <v>1917</v>
      </c>
      <c r="AA33" s="405">
        <v>1825</v>
      </c>
      <c r="AB33" s="405">
        <v>2184</v>
      </c>
      <c r="AC33" s="405" t="s">
        <v>942</v>
      </c>
      <c r="AD33" s="404">
        <v>279</v>
      </c>
      <c r="AE33" s="316" t="s">
        <v>78</v>
      </c>
    </row>
    <row r="35" spans="1:31" ht="20.399999999999999">
      <c r="A35" s="306" t="s">
        <v>60</v>
      </c>
      <c r="AE35" s="306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/>
  </sheetPr>
  <dimension ref="A2:AE43"/>
  <sheetViews>
    <sheetView zoomScale="50" workbookViewId="0">
      <selection activeCell="X24" sqref="X24"/>
    </sheetView>
  </sheetViews>
  <sheetFormatPr baseColWidth="10" defaultRowHeight="14.4"/>
  <cols>
    <col min="1" max="1" width="17.5546875" customWidth="1"/>
    <col min="31" max="31" width="15.5546875" customWidth="1"/>
  </cols>
  <sheetData>
    <row r="2" spans="1:31" ht="24.6">
      <c r="A2" s="766" t="s">
        <v>1551</v>
      </c>
      <c r="B2" s="339"/>
      <c r="C2" s="339"/>
      <c r="D2" s="339"/>
      <c r="E2" s="339"/>
      <c r="F2" s="339"/>
      <c r="G2" s="339"/>
      <c r="H2" s="339"/>
      <c r="I2" s="339"/>
      <c r="J2" s="339"/>
      <c r="K2" s="340"/>
      <c r="L2" s="339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41" t="s">
        <v>1553</v>
      </c>
    </row>
    <row r="3" spans="1:31" ht="24.6">
      <c r="A3" s="342"/>
      <c r="B3" s="340"/>
      <c r="C3" s="340"/>
      <c r="D3" s="340" t="s">
        <v>858</v>
      </c>
      <c r="E3" s="340" t="s">
        <v>858</v>
      </c>
      <c r="F3" s="340" t="s">
        <v>858</v>
      </c>
      <c r="G3" s="343" t="s">
        <v>858</v>
      </c>
      <c r="H3" s="343" t="s">
        <v>858</v>
      </c>
      <c r="I3" s="340"/>
      <c r="J3" s="340"/>
      <c r="K3" s="344"/>
      <c r="L3" s="340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</row>
    <row r="4" spans="1:31" ht="26.4">
      <c r="A4" s="736" t="s">
        <v>859</v>
      </c>
      <c r="B4" s="736">
        <v>1995</v>
      </c>
      <c r="C4" s="736">
        <v>1996</v>
      </c>
      <c r="D4" s="736">
        <v>1997</v>
      </c>
      <c r="E4" s="736">
        <v>1998</v>
      </c>
      <c r="F4" s="736">
        <v>1999</v>
      </c>
      <c r="G4" s="736">
        <v>2000</v>
      </c>
      <c r="H4" s="736">
        <v>2001</v>
      </c>
      <c r="I4" s="736">
        <v>2002</v>
      </c>
      <c r="J4" s="736">
        <v>2003</v>
      </c>
      <c r="K4" s="736">
        <v>2004</v>
      </c>
      <c r="L4" s="736">
        <v>2005</v>
      </c>
      <c r="M4" s="736">
        <v>2006</v>
      </c>
      <c r="N4" s="736">
        <v>2007</v>
      </c>
      <c r="O4" s="736">
        <v>2008</v>
      </c>
      <c r="P4" s="736">
        <v>2009</v>
      </c>
      <c r="Q4" s="736">
        <v>2010</v>
      </c>
      <c r="R4" s="736">
        <v>2011</v>
      </c>
      <c r="S4" s="736">
        <v>2012</v>
      </c>
      <c r="T4" s="736">
        <v>2013</v>
      </c>
      <c r="U4" s="736">
        <v>2014</v>
      </c>
      <c r="V4" s="736">
        <v>2015</v>
      </c>
      <c r="W4" s="736">
        <v>2016</v>
      </c>
      <c r="X4" s="736">
        <v>2017</v>
      </c>
      <c r="Y4" s="736">
        <v>2018</v>
      </c>
      <c r="Z4" s="736">
        <v>2019</v>
      </c>
      <c r="AA4" s="736">
        <v>2020</v>
      </c>
      <c r="AB4" s="736">
        <v>2021</v>
      </c>
      <c r="AC4" s="736">
        <v>2022</v>
      </c>
      <c r="AD4" s="736">
        <v>2023</v>
      </c>
      <c r="AE4" s="736" t="s">
        <v>874</v>
      </c>
    </row>
    <row r="5" spans="1:31" ht="24.6">
      <c r="A5" s="757" t="s">
        <v>860</v>
      </c>
      <c r="B5" s="758">
        <v>32.166666666666664</v>
      </c>
      <c r="C5" s="758">
        <v>33.25</v>
      </c>
      <c r="D5" s="758">
        <v>29.083333333333332</v>
      </c>
      <c r="E5" s="759">
        <v>32.5</v>
      </c>
      <c r="F5" s="759">
        <v>37</v>
      </c>
      <c r="G5" s="759">
        <v>34.333333333333336</v>
      </c>
      <c r="H5" s="760">
        <v>33.583333333333336</v>
      </c>
      <c r="I5" s="760">
        <v>31.583333333333332</v>
      </c>
      <c r="J5" s="760">
        <v>33.75</v>
      </c>
      <c r="K5" s="761">
        <v>34.083333333333336</v>
      </c>
      <c r="L5" s="761">
        <v>35.75</v>
      </c>
      <c r="M5" s="345">
        <v>35</v>
      </c>
      <c r="N5" s="345">
        <v>31</v>
      </c>
      <c r="O5" s="345">
        <v>32</v>
      </c>
      <c r="P5" s="345">
        <v>37</v>
      </c>
      <c r="Q5" s="345">
        <v>37</v>
      </c>
      <c r="R5" s="346">
        <v>32.700000000000003</v>
      </c>
      <c r="S5" s="346">
        <v>32</v>
      </c>
      <c r="T5" s="346">
        <v>31</v>
      </c>
      <c r="U5" s="346">
        <v>32</v>
      </c>
      <c r="V5" s="346" t="s">
        <v>13</v>
      </c>
      <c r="W5" s="346" t="s">
        <v>13</v>
      </c>
      <c r="X5" s="346"/>
      <c r="Y5" s="346" t="s">
        <v>13</v>
      </c>
      <c r="Z5" s="346">
        <v>29.8</v>
      </c>
      <c r="AA5" s="346">
        <v>23.9</v>
      </c>
      <c r="AB5" s="346">
        <v>26.9</v>
      </c>
      <c r="AC5" s="346">
        <v>26.5</v>
      </c>
      <c r="AD5" s="346">
        <v>27.6</v>
      </c>
      <c r="AE5" s="346" t="s">
        <v>335</v>
      </c>
    </row>
    <row r="6" spans="1:31" ht="24.6">
      <c r="A6" s="348" t="s">
        <v>861</v>
      </c>
      <c r="B6" s="349">
        <v>18.8</v>
      </c>
      <c r="C6" s="349">
        <v>17.55</v>
      </c>
      <c r="D6" s="349">
        <v>21.1</v>
      </c>
      <c r="E6" s="350">
        <v>18.899999999999999</v>
      </c>
      <c r="F6" s="350">
        <v>20</v>
      </c>
      <c r="G6" s="350">
        <v>20</v>
      </c>
      <c r="H6" s="351">
        <v>19</v>
      </c>
      <c r="I6" s="351">
        <v>18</v>
      </c>
      <c r="J6" s="351">
        <v>22</v>
      </c>
      <c r="K6" s="352">
        <v>20</v>
      </c>
      <c r="L6" s="352">
        <v>26</v>
      </c>
      <c r="M6" s="353">
        <v>29</v>
      </c>
      <c r="N6" s="353">
        <v>26</v>
      </c>
      <c r="O6" s="353">
        <v>22</v>
      </c>
      <c r="P6" s="353">
        <v>19</v>
      </c>
      <c r="Q6" s="353">
        <v>20</v>
      </c>
      <c r="R6" s="346">
        <v>17</v>
      </c>
      <c r="S6" s="346">
        <v>21</v>
      </c>
      <c r="T6" s="346">
        <v>19</v>
      </c>
      <c r="U6" s="346">
        <v>17</v>
      </c>
      <c r="V6" s="346" t="s">
        <v>13</v>
      </c>
      <c r="W6" s="346" t="s">
        <v>13</v>
      </c>
      <c r="X6" s="346"/>
      <c r="Y6" s="346" t="s">
        <v>13</v>
      </c>
      <c r="Z6" s="346">
        <v>16.3</v>
      </c>
      <c r="AA6" s="346">
        <v>15.3</v>
      </c>
      <c r="AB6" s="346">
        <v>15.9</v>
      </c>
      <c r="AC6" s="346">
        <v>16</v>
      </c>
      <c r="AD6" s="346">
        <v>17</v>
      </c>
      <c r="AE6" s="346" t="s">
        <v>847</v>
      </c>
    </row>
    <row r="7" spans="1:31" ht="24.6">
      <c r="A7" s="348" t="s">
        <v>862</v>
      </c>
      <c r="B7" s="349">
        <v>19.100000000000001</v>
      </c>
      <c r="C7" s="349">
        <v>23.018181818181819</v>
      </c>
      <c r="D7" s="349">
        <v>19.3</v>
      </c>
      <c r="E7" s="350">
        <v>18.2</v>
      </c>
      <c r="F7" s="350">
        <v>21</v>
      </c>
      <c r="G7" s="350">
        <v>18</v>
      </c>
      <c r="H7" s="351">
        <v>16</v>
      </c>
      <c r="I7" s="351">
        <v>18</v>
      </c>
      <c r="J7" s="351">
        <v>21</v>
      </c>
      <c r="K7" s="352">
        <v>17</v>
      </c>
      <c r="L7" s="352">
        <v>21</v>
      </c>
      <c r="M7" s="345">
        <v>20</v>
      </c>
      <c r="N7" s="345">
        <v>20</v>
      </c>
      <c r="O7" s="345">
        <v>20</v>
      </c>
      <c r="P7" s="345">
        <v>21</v>
      </c>
      <c r="Q7" s="345">
        <v>19</v>
      </c>
      <c r="R7" s="346">
        <v>17.5</v>
      </c>
      <c r="S7" s="346">
        <v>22</v>
      </c>
      <c r="T7" s="346">
        <v>21</v>
      </c>
      <c r="U7" s="346">
        <v>20.100000000000001</v>
      </c>
      <c r="V7" s="346" t="s">
        <v>13</v>
      </c>
      <c r="W7" s="346" t="s">
        <v>13</v>
      </c>
      <c r="X7" s="346"/>
      <c r="Y7" s="346" t="s">
        <v>13</v>
      </c>
      <c r="Z7" s="346">
        <v>16</v>
      </c>
      <c r="AA7" s="346">
        <v>14.3</v>
      </c>
      <c r="AB7" s="346">
        <v>12.5</v>
      </c>
      <c r="AC7" s="346">
        <v>14.5</v>
      </c>
      <c r="AD7" s="346">
        <v>16</v>
      </c>
      <c r="AE7" s="346" t="s">
        <v>848</v>
      </c>
    </row>
    <row r="8" spans="1:31" ht="24.6">
      <c r="A8" s="348" t="s">
        <v>863</v>
      </c>
      <c r="B8" s="349">
        <v>18.5</v>
      </c>
      <c r="C8" s="349">
        <v>16.783333333333335</v>
      </c>
      <c r="D8" s="349">
        <v>17.2</v>
      </c>
      <c r="E8" s="350">
        <v>17.5</v>
      </c>
      <c r="F8" s="350">
        <v>21</v>
      </c>
      <c r="G8" s="350">
        <v>20</v>
      </c>
      <c r="H8" s="351">
        <v>17</v>
      </c>
      <c r="I8" s="351">
        <v>19</v>
      </c>
      <c r="J8" s="351">
        <v>22</v>
      </c>
      <c r="K8" s="352" t="s">
        <v>13</v>
      </c>
      <c r="L8" s="352" t="s">
        <v>13</v>
      </c>
      <c r="M8" s="353">
        <v>34</v>
      </c>
      <c r="N8" s="353">
        <v>30</v>
      </c>
      <c r="O8" s="353">
        <v>29</v>
      </c>
      <c r="P8" s="353">
        <v>26</v>
      </c>
      <c r="Q8" s="353">
        <v>24</v>
      </c>
      <c r="R8" s="346">
        <v>25</v>
      </c>
      <c r="S8" s="346">
        <v>22</v>
      </c>
      <c r="T8" s="346">
        <v>21</v>
      </c>
      <c r="U8" s="346">
        <v>18</v>
      </c>
      <c r="V8" s="346" t="s">
        <v>13</v>
      </c>
      <c r="W8" s="346" t="s">
        <v>13</v>
      </c>
      <c r="X8" s="346"/>
      <c r="Y8" s="346" t="s">
        <v>13</v>
      </c>
      <c r="Z8" s="346">
        <v>19.8</v>
      </c>
      <c r="AA8" s="346">
        <v>25.5</v>
      </c>
      <c r="AB8" s="346">
        <v>23.9</v>
      </c>
      <c r="AC8" s="346">
        <v>25</v>
      </c>
      <c r="AD8" s="346">
        <v>24</v>
      </c>
      <c r="AE8" s="346" t="s">
        <v>849</v>
      </c>
    </row>
    <row r="9" spans="1:31" ht="24.6">
      <c r="A9" s="348" t="s">
        <v>864</v>
      </c>
      <c r="B9" s="349">
        <v>27.9</v>
      </c>
      <c r="C9" s="349">
        <v>15.28</v>
      </c>
      <c r="D9" s="349">
        <v>23.3</v>
      </c>
      <c r="E9" s="349">
        <v>24</v>
      </c>
      <c r="F9" s="349">
        <v>26</v>
      </c>
      <c r="G9" s="349">
        <v>24</v>
      </c>
      <c r="H9" s="351">
        <v>23</v>
      </c>
      <c r="I9" s="351">
        <v>21</v>
      </c>
      <c r="J9" s="351">
        <v>25</v>
      </c>
      <c r="K9" s="352">
        <v>22</v>
      </c>
      <c r="L9" s="352">
        <v>19</v>
      </c>
      <c r="M9" s="353">
        <v>24</v>
      </c>
      <c r="N9" s="353">
        <v>23</v>
      </c>
      <c r="O9" s="353">
        <v>26</v>
      </c>
      <c r="P9" s="353">
        <v>23</v>
      </c>
      <c r="Q9" s="353">
        <v>27</v>
      </c>
      <c r="R9" s="346">
        <v>22</v>
      </c>
      <c r="S9" s="346">
        <v>26</v>
      </c>
      <c r="T9" s="346">
        <v>25</v>
      </c>
      <c r="U9" s="346">
        <v>24</v>
      </c>
      <c r="V9" s="346" t="s">
        <v>13</v>
      </c>
      <c r="W9" s="346" t="s">
        <v>13</v>
      </c>
      <c r="X9" s="346"/>
      <c r="Y9" s="346" t="s">
        <v>13</v>
      </c>
      <c r="Z9" s="346">
        <v>22.7</v>
      </c>
      <c r="AA9" s="346">
        <v>24.3</v>
      </c>
      <c r="AB9" s="346">
        <v>26</v>
      </c>
      <c r="AC9" s="346">
        <v>28</v>
      </c>
      <c r="AD9" s="346">
        <v>26</v>
      </c>
      <c r="AE9" s="346" t="s">
        <v>850</v>
      </c>
    </row>
    <row r="10" spans="1:31" ht="24.6">
      <c r="A10" s="348" t="s">
        <v>865</v>
      </c>
      <c r="B10" s="349">
        <v>25</v>
      </c>
      <c r="C10" s="349">
        <v>25.545454545454547</v>
      </c>
      <c r="D10" s="349">
        <v>21.2</v>
      </c>
      <c r="E10" s="350">
        <v>21.7</v>
      </c>
      <c r="F10" s="350">
        <v>28</v>
      </c>
      <c r="G10" s="350">
        <v>24</v>
      </c>
      <c r="H10" s="351">
        <v>27</v>
      </c>
      <c r="I10" s="351">
        <v>24</v>
      </c>
      <c r="J10" s="351">
        <v>28</v>
      </c>
      <c r="K10" s="352">
        <v>26</v>
      </c>
      <c r="L10" s="352">
        <v>29</v>
      </c>
      <c r="M10" s="353">
        <v>28</v>
      </c>
      <c r="N10" s="353">
        <v>23</v>
      </c>
      <c r="O10" s="353">
        <v>31</v>
      </c>
      <c r="P10" s="353">
        <v>23</v>
      </c>
      <c r="Q10" s="353">
        <v>25</v>
      </c>
      <c r="R10" s="346">
        <v>26</v>
      </c>
      <c r="S10" s="346">
        <v>27</v>
      </c>
      <c r="T10" s="346">
        <v>28</v>
      </c>
      <c r="U10" s="346">
        <v>25</v>
      </c>
      <c r="V10" s="346" t="s">
        <v>13</v>
      </c>
      <c r="W10" s="346" t="s">
        <v>13</v>
      </c>
      <c r="X10" s="346"/>
      <c r="Y10" s="346" t="s">
        <v>13</v>
      </c>
      <c r="Z10" s="346">
        <v>19</v>
      </c>
      <c r="AA10" s="346">
        <v>21.8</v>
      </c>
      <c r="AB10" s="346">
        <v>23.6</v>
      </c>
      <c r="AC10" s="346">
        <v>27</v>
      </c>
      <c r="AD10" s="346">
        <v>25</v>
      </c>
      <c r="AE10" s="346" t="s">
        <v>851</v>
      </c>
    </row>
    <row r="11" spans="1:31" ht="24.6">
      <c r="A11" s="348" t="s">
        <v>866</v>
      </c>
      <c r="B11" s="349">
        <v>27.5</v>
      </c>
      <c r="C11" s="349">
        <v>26.258333333333336</v>
      </c>
      <c r="D11" s="349">
        <v>24.5</v>
      </c>
      <c r="E11" s="350">
        <v>23.1</v>
      </c>
      <c r="F11" s="350">
        <v>25</v>
      </c>
      <c r="G11" s="350">
        <v>24</v>
      </c>
      <c r="H11" s="351">
        <v>20</v>
      </c>
      <c r="I11" s="351">
        <v>20</v>
      </c>
      <c r="J11" s="351">
        <v>33</v>
      </c>
      <c r="K11" s="352">
        <v>22</v>
      </c>
      <c r="L11" s="352">
        <v>21</v>
      </c>
      <c r="M11" s="353">
        <v>21</v>
      </c>
      <c r="N11" s="353">
        <v>21</v>
      </c>
      <c r="O11" s="353">
        <v>19</v>
      </c>
      <c r="P11" s="353">
        <v>25</v>
      </c>
      <c r="Q11" s="353">
        <v>23</v>
      </c>
      <c r="R11" s="346">
        <v>19</v>
      </c>
      <c r="S11" s="346">
        <v>20</v>
      </c>
      <c r="T11" s="346">
        <v>19</v>
      </c>
      <c r="U11" s="346">
        <v>30</v>
      </c>
      <c r="V11" s="346" t="s">
        <v>13</v>
      </c>
      <c r="W11" s="346" t="s">
        <v>13</v>
      </c>
      <c r="X11" s="346"/>
      <c r="Y11" s="346" t="s">
        <v>13</v>
      </c>
      <c r="Z11" s="346">
        <v>15.5</v>
      </c>
      <c r="AA11" s="346">
        <v>17.3</v>
      </c>
      <c r="AB11" s="346">
        <v>15.9</v>
      </c>
      <c r="AC11" s="346">
        <v>16.5</v>
      </c>
      <c r="AD11" s="346">
        <v>27</v>
      </c>
      <c r="AE11" s="346" t="s">
        <v>852</v>
      </c>
    </row>
    <row r="12" spans="1:31" ht="24.6">
      <c r="A12" s="348" t="s">
        <v>867</v>
      </c>
      <c r="B12" s="349">
        <v>23.5</v>
      </c>
      <c r="C12" s="349">
        <v>19.616666666666667</v>
      </c>
      <c r="D12" s="349">
        <v>16.899999999999999</v>
      </c>
      <c r="E12" s="350">
        <v>18.899999999999999</v>
      </c>
      <c r="F12" s="350">
        <v>17</v>
      </c>
      <c r="G12" s="350">
        <v>14.5</v>
      </c>
      <c r="H12" s="349" t="s">
        <v>298</v>
      </c>
      <c r="I12" s="349" t="s">
        <v>298</v>
      </c>
      <c r="J12" s="349">
        <v>23</v>
      </c>
      <c r="K12" s="352">
        <v>25</v>
      </c>
      <c r="L12" s="352">
        <v>29</v>
      </c>
      <c r="M12" s="353">
        <v>26</v>
      </c>
      <c r="N12" s="353">
        <v>24</v>
      </c>
      <c r="O12" s="355">
        <v>26</v>
      </c>
      <c r="P12" s="355" t="s">
        <v>13</v>
      </c>
      <c r="Q12" s="355">
        <v>28</v>
      </c>
      <c r="R12" s="346">
        <v>19</v>
      </c>
      <c r="S12" s="346">
        <v>19.7</v>
      </c>
      <c r="T12" s="346">
        <v>17</v>
      </c>
      <c r="U12" s="346">
        <v>17.899999999999999</v>
      </c>
      <c r="V12" s="346" t="s">
        <v>13</v>
      </c>
      <c r="W12" s="346" t="s">
        <v>13</v>
      </c>
      <c r="X12" s="346"/>
      <c r="Y12" s="346" t="s">
        <v>13</v>
      </c>
      <c r="Z12" s="346">
        <v>15</v>
      </c>
      <c r="AA12" s="346">
        <v>15.6</v>
      </c>
      <c r="AB12" s="346">
        <v>17.399999999999999</v>
      </c>
      <c r="AC12" s="346">
        <v>18</v>
      </c>
      <c r="AD12" s="346">
        <v>20</v>
      </c>
      <c r="AE12" s="346" t="s">
        <v>853</v>
      </c>
    </row>
    <row r="13" spans="1:31" ht="24.6">
      <c r="A13" s="348" t="s">
        <v>868</v>
      </c>
      <c r="B13" s="349">
        <v>41.2</v>
      </c>
      <c r="C13" s="349">
        <v>47.081818181818193</v>
      </c>
      <c r="D13" s="349">
        <v>41.9</v>
      </c>
      <c r="E13" s="350">
        <v>45.5</v>
      </c>
      <c r="F13" s="350">
        <v>44</v>
      </c>
      <c r="G13" s="350">
        <v>45</v>
      </c>
      <c r="H13" s="351">
        <v>45</v>
      </c>
      <c r="I13" s="351">
        <v>48</v>
      </c>
      <c r="J13" s="351">
        <v>50</v>
      </c>
      <c r="K13" s="352">
        <v>46</v>
      </c>
      <c r="L13" s="352">
        <v>47</v>
      </c>
      <c r="M13" s="353">
        <v>46</v>
      </c>
      <c r="N13" s="353">
        <v>41</v>
      </c>
      <c r="O13" s="353">
        <v>38</v>
      </c>
      <c r="P13" s="353">
        <v>46</v>
      </c>
      <c r="Q13" s="353">
        <v>50</v>
      </c>
      <c r="R13" s="346">
        <v>44</v>
      </c>
      <c r="S13" s="346">
        <v>41</v>
      </c>
      <c r="T13" s="346">
        <v>43</v>
      </c>
      <c r="U13" s="346">
        <v>48</v>
      </c>
      <c r="V13" s="346" t="s">
        <v>13</v>
      </c>
      <c r="W13" s="346" t="s">
        <v>13</v>
      </c>
      <c r="X13" s="346"/>
      <c r="Y13" s="346" t="s">
        <v>13</v>
      </c>
      <c r="Z13" s="346">
        <v>47.9</v>
      </c>
      <c r="AA13" s="346">
        <v>39.4</v>
      </c>
      <c r="AB13" s="346">
        <v>38.799999999999997</v>
      </c>
      <c r="AC13" s="346">
        <v>39</v>
      </c>
      <c r="AD13" s="346">
        <v>33</v>
      </c>
      <c r="AE13" s="346" t="s">
        <v>154</v>
      </c>
    </row>
    <row r="14" spans="1:31" ht="24.6">
      <c r="A14" s="348" t="s">
        <v>869</v>
      </c>
      <c r="B14" s="349">
        <v>19.600000000000001</v>
      </c>
      <c r="C14" s="349">
        <v>17.149999999999999</v>
      </c>
      <c r="D14" s="349">
        <v>17.8</v>
      </c>
      <c r="E14" s="350">
        <v>18.600000000000001</v>
      </c>
      <c r="F14" s="350">
        <v>18</v>
      </c>
      <c r="G14" s="350">
        <v>16</v>
      </c>
      <c r="H14" s="351">
        <v>16</v>
      </c>
      <c r="I14" s="351">
        <v>18</v>
      </c>
      <c r="J14" s="351">
        <v>20</v>
      </c>
      <c r="K14" s="352">
        <v>18</v>
      </c>
      <c r="L14" s="352">
        <v>22</v>
      </c>
      <c r="M14" s="345">
        <v>19</v>
      </c>
      <c r="N14" s="345">
        <v>17</v>
      </c>
      <c r="O14" s="345">
        <v>17</v>
      </c>
      <c r="P14" s="345">
        <v>17</v>
      </c>
      <c r="Q14" s="345">
        <v>20</v>
      </c>
      <c r="R14" s="346">
        <v>20</v>
      </c>
      <c r="S14" s="346">
        <v>19</v>
      </c>
      <c r="T14" s="346">
        <v>16</v>
      </c>
      <c r="U14" s="346">
        <v>16</v>
      </c>
      <c r="V14" s="346" t="s">
        <v>13</v>
      </c>
      <c r="W14" s="346" t="s">
        <v>13</v>
      </c>
      <c r="X14" s="346"/>
      <c r="Y14" s="346" t="s">
        <v>13</v>
      </c>
      <c r="Z14" s="346">
        <v>14.7</v>
      </c>
      <c r="AA14" s="346">
        <v>19.5</v>
      </c>
      <c r="AB14" s="346">
        <v>18.8</v>
      </c>
      <c r="AC14" s="346">
        <v>19</v>
      </c>
      <c r="AD14" s="346">
        <v>20</v>
      </c>
      <c r="AE14" s="346" t="s">
        <v>855</v>
      </c>
    </row>
    <row r="15" spans="1:31" ht="24.6">
      <c r="A15" s="348" t="s">
        <v>870</v>
      </c>
      <c r="B15" s="349" t="s">
        <v>13</v>
      </c>
      <c r="C15" s="349" t="s">
        <v>298</v>
      </c>
      <c r="D15" s="349" t="s">
        <v>298</v>
      </c>
      <c r="E15" s="349" t="s">
        <v>298</v>
      </c>
      <c r="F15" s="349" t="s">
        <v>298</v>
      </c>
      <c r="G15" s="349" t="s">
        <v>298</v>
      </c>
      <c r="H15" s="349" t="s">
        <v>298</v>
      </c>
      <c r="I15" s="349" t="s">
        <v>298</v>
      </c>
      <c r="J15" s="349" t="s">
        <v>298</v>
      </c>
      <c r="K15" s="352"/>
      <c r="L15" s="352"/>
      <c r="M15" s="356" t="s">
        <v>298</v>
      </c>
      <c r="N15" s="356" t="s">
        <v>298</v>
      </c>
      <c r="O15" s="356" t="s">
        <v>13</v>
      </c>
      <c r="P15" s="356" t="s">
        <v>13</v>
      </c>
      <c r="Q15" s="346" t="s">
        <v>13</v>
      </c>
      <c r="R15" s="346" t="s">
        <v>13</v>
      </c>
      <c r="S15" s="346" t="s">
        <v>13</v>
      </c>
      <c r="T15" s="346" t="s">
        <v>13</v>
      </c>
      <c r="U15" s="346" t="s">
        <v>13</v>
      </c>
      <c r="V15" s="346" t="s">
        <v>13</v>
      </c>
      <c r="W15" s="346" t="s">
        <v>13</v>
      </c>
      <c r="X15" s="346"/>
      <c r="Y15" s="346" t="s">
        <v>13</v>
      </c>
      <c r="Z15" s="346"/>
      <c r="AA15" s="346"/>
      <c r="AB15" s="346"/>
      <c r="AC15" s="346"/>
      <c r="AD15" s="346"/>
      <c r="AE15" s="346" t="s">
        <v>875</v>
      </c>
    </row>
    <row r="16" spans="1:31" ht="24.6">
      <c r="A16" s="348" t="s">
        <v>871</v>
      </c>
      <c r="B16" s="349">
        <v>20.3</v>
      </c>
      <c r="C16" s="349">
        <v>24.625</v>
      </c>
      <c r="D16" s="349">
        <v>19.2</v>
      </c>
      <c r="E16" s="350">
        <v>16.7</v>
      </c>
      <c r="F16" s="350">
        <v>17</v>
      </c>
      <c r="G16" s="350">
        <v>17</v>
      </c>
      <c r="H16" s="351">
        <v>15</v>
      </c>
      <c r="I16" s="351">
        <v>18</v>
      </c>
      <c r="J16" s="351">
        <v>21</v>
      </c>
      <c r="K16" s="352">
        <v>20</v>
      </c>
      <c r="L16" s="352">
        <v>22</v>
      </c>
      <c r="M16" s="353">
        <v>23</v>
      </c>
      <c r="N16" s="353">
        <v>20</v>
      </c>
      <c r="O16" s="353">
        <v>22</v>
      </c>
      <c r="P16" s="353">
        <v>22</v>
      </c>
      <c r="Q16" s="353">
        <v>20</v>
      </c>
      <c r="R16" s="346">
        <v>18</v>
      </c>
      <c r="S16" s="346">
        <v>19</v>
      </c>
      <c r="T16" s="346">
        <v>17</v>
      </c>
      <c r="U16" s="346">
        <v>16</v>
      </c>
      <c r="V16" s="346" t="s">
        <v>13</v>
      </c>
      <c r="W16" s="346" t="s">
        <v>13</v>
      </c>
      <c r="X16" s="346"/>
      <c r="Y16" s="346" t="s">
        <v>13</v>
      </c>
      <c r="Z16" s="346">
        <v>14.2</v>
      </c>
      <c r="AA16" s="346">
        <v>14.6</v>
      </c>
      <c r="AB16" s="346">
        <v>12.9</v>
      </c>
      <c r="AC16" s="346">
        <v>17.399999999999999</v>
      </c>
      <c r="AD16" s="346">
        <v>18.3</v>
      </c>
      <c r="AE16" s="346" t="s">
        <v>876</v>
      </c>
    </row>
    <row r="17" spans="1:31" ht="24.6">
      <c r="A17" s="348" t="s">
        <v>872</v>
      </c>
      <c r="B17" s="349">
        <v>40</v>
      </c>
      <c r="C17" s="349" t="s">
        <v>298</v>
      </c>
      <c r="D17" s="349" t="s">
        <v>298</v>
      </c>
      <c r="E17" s="349" t="s">
        <v>298</v>
      </c>
      <c r="F17" s="349" t="s">
        <v>298</v>
      </c>
      <c r="G17" s="349" t="s">
        <v>298</v>
      </c>
      <c r="H17" s="349" t="s">
        <v>298</v>
      </c>
      <c r="I17" s="349" t="s">
        <v>298</v>
      </c>
      <c r="J17" s="349" t="s">
        <v>298</v>
      </c>
      <c r="K17" s="352"/>
      <c r="L17" s="352"/>
      <c r="M17" s="353">
        <v>41</v>
      </c>
      <c r="N17" s="353">
        <v>35</v>
      </c>
      <c r="O17" s="353">
        <v>38</v>
      </c>
      <c r="P17" s="353">
        <v>39</v>
      </c>
      <c r="Q17" s="356">
        <v>37</v>
      </c>
      <c r="R17" s="346">
        <v>44</v>
      </c>
      <c r="S17" s="346">
        <v>40</v>
      </c>
      <c r="T17" s="346">
        <v>41</v>
      </c>
      <c r="U17" s="346">
        <v>42</v>
      </c>
      <c r="V17" s="346" t="s">
        <v>13</v>
      </c>
      <c r="W17" s="346" t="s">
        <v>13</v>
      </c>
      <c r="X17" s="346"/>
      <c r="Y17" s="346" t="s">
        <v>13</v>
      </c>
      <c r="Z17" s="346">
        <v>16</v>
      </c>
      <c r="AA17" s="346">
        <v>20</v>
      </c>
      <c r="AB17" s="346">
        <v>14</v>
      </c>
      <c r="AC17" s="346">
        <v>18</v>
      </c>
      <c r="AD17" s="346">
        <v>17.5</v>
      </c>
      <c r="AE17" s="346" t="s">
        <v>877</v>
      </c>
    </row>
    <row r="18" spans="1:31" ht="24.6">
      <c r="A18" s="348" t="s">
        <v>873</v>
      </c>
      <c r="B18" s="349">
        <v>18.2</v>
      </c>
      <c r="C18" s="349">
        <v>22.2</v>
      </c>
      <c r="D18" s="349">
        <v>26.8</v>
      </c>
      <c r="E18" s="350">
        <v>22.2</v>
      </c>
      <c r="F18" s="350">
        <v>26</v>
      </c>
      <c r="G18" s="350">
        <v>27</v>
      </c>
      <c r="H18" s="351">
        <v>26</v>
      </c>
      <c r="I18" s="351">
        <v>26</v>
      </c>
      <c r="J18" s="351">
        <v>26</v>
      </c>
      <c r="K18" s="352">
        <v>23</v>
      </c>
      <c r="L18" s="352">
        <v>24</v>
      </c>
      <c r="M18" s="353">
        <v>23</v>
      </c>
      <c r="N18" s="356">
        <v>24</v>
      </c>
      <c r="O18" s="356" t="s">
        <v>13</v>
      </c>
      <c r="P18" s="356" t="s">
        <v>13</v>
      </c>
      <c r="Q18" s="356">
        <v>22</v>
      </c>
      <c r="R18" s="346">
        <v>26</v>
      </c>
      <c r="S18" s="346">
        <v>20</v>
      </c>
      <c r="T18" s="346">
        <v>19</v>
      </c>
      <c r="U18" s="346">
        <v>26</v>
      </c>
      <c r="V18" s="346" t="s">
        <v>13</v>
      </c>
      <c r="W18" s="346" t="s">
        <v>13</v>
      </c>
      <c r="X18" s="346"/>
      <c r="Y18" s="346" t="s">
        <v>13</v>
      </c>
      <c r="Z18" s="346">
        <v>15.1</v>
      </c>
      <c r="AA18" s="346">
        <v>16.899999999999999</v>
      </c>
      <c r="AB18" s="346">
        <v>16.2</v>
      </c>
      <c r="AC18" s="346">
        <v>18</v>
      </c>
      <c r="AD18" s="346">
        <v>16.5</v>
      </c>
      <c r="AE18" s="346" t="s">
        <v>856</v>
      </c>
    </row>
    <row r="19" spans="1:31" ht="25.2" thickBot="1">
      <c r="A19" s="762" t="s">
        <v>844</v>
      </c>
      <c r="B19" s="763">
        <f t="shared" ref="B19:L19" si="0">AVERAGE(B5:B18)</f>
        <v>25.52051282051282</v>
      </c>
      <c r="C19" s="763">
        <f t="shared" si="0"/>
        <v>24.029898989898992</v>
      </c>
      <c r="D19" s="763">
        <f t="shared" si="0"/>
        <v>23.19027777777778</v>
      </c>
      <c r="E19" s="763">
        <f t="shared" si="0"/>
        <v>23.149999999999995</v>
      </c>
      <c r="F19" s="763">
        <f t="shared" si="0"/>
        <v>25</v>
      </c>
      <c r="G19" s="763">
        <f t="shared" si="0"/>
        <v>23.652777777777782</v>
      </c>
      <c r="H19" s="763">
        <f t="shared" si="0"/>
        <v>23.416666666666671</v>
      </c>
      <c r="I19" s="763">
        <f t="shared" si="0"/>
        <v>23.780303030303028</v>
      </c>
      <c r="J19" s="763">
        <f t="shared" si="0"/>
        <v>27.0625</v>
      </c>
      <c r="K19" s="763">
        <f t="shared" si="0"/>
        <v>24.825757575757578</v>
      </c>
      <c r="L19" s="763">
        <f t="shared" si="0"/>
        <v>26.886363636363637</v>
      </c>
      <c r="M19" s="357">
        <v>28.138461538461538</v>
      </c>
      <c r="N19" s="357">
        <f>AVERAGE(N5:N17)</f>
        <v>25.916666666666668</v>
      </c>
      <c r="O19" s="357">
        <f>AVERAGE(O5:O17)</f>
        <v>26.666666666666668</v>
      </c>
      <c r="P19" s="357">
        <f>AVERAGE(P5:P17)</f>
        <v>27.09090909090909</v>
      </c>
      <c r="Q19" s="357">
        <f>AVERAGE(Q5:Q17)</f>
        <v>27.5</v>
      </c>
      <c r="R19" s="357">
        <f>AVERAGE(R5:R18)</f>
        <v>25.4</v>
      </c>
      <c r="S19" s="357">
        <f>AVERAGE(S5:S18)</f>
        <v>25.284615384615385</v>
      </c>
      <c r="T19" s="357">
        <f>AVERAGE(T5:T18)</f>
        <v>24.384615384615383</v>
      </c>
      <c r="U19" s="357">
        <f>AVERAGE(U5:U18)</f>
        <v>25.53846153846154</v>
      </c>
      <c r="V19" s="358" t="s">
        <v>13</v>
      </c>
      <c r="W19" s="358" t="s">
        <v>13</v>
      </c>
      <c r="X19" s="358"/>
      <c r="Y19" s="358" t="s">
        <v>13</v>
      </c>
      <c r="Z19" s="346">
        <v>20.100000000000001</v>
      </c>
      <c r="AA19" s="346">
        <v>20.399999999999999</v>
      </c>
      <c r="AB19" s="346">
        <v>20.399999999999999</v>
      </c>
      <c r="AC19" s="346">
        <v>21.8</v>
      </c>
      <c r="AD19" s="346">
        <v>22.1</v>
      </c>
      <c r="AE19" s="346" t="s">
        <v>857</v>
      </c>
    </row>
    <row r="20" spans="1:31" ht="24.6">
      <c r="A20" s="343"/>
      <c r="B20" s="360"/>
      <c r="C20" s="360"/>
      <c r="D20" s="361"/>
      <c r="E20" s="362"/>
      <c r="F20" s="362"/>
      <c r="G20" s="362"/>
      <c r="H20" s="363"/>
      <c r="I20" s="363"/>
      <c r="J20" s="363"/>
      <c r="K20" s="340"/>
      <c r="L20" s="340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38"/>
      <c r="AB20" s="338"/>
      <c r="AC20" s="338"/>
      <c r="AD20" s="338"/>
      <c r="AE20" s="338"/>
    </row>
    <row r="21" spans="1:31" ht="24.6">
      <c r="A21" s="364" t="s">
        <v>998</v>
      </c>
      <c r="B21" s="340"/>
      <c r="C21" s="340"/>
      <c r="D21" s="340"/>
      <c r="E21" s="340"/>
      <c r="F21" s="343"/>
      <c r="G21" s="340"/>
      <c r="H21" s="343"/>
      <c r="I21" s="343"/>
      <c r="J21" s="343"/>
      <c r="K21" s="361"/>
      <c r="L21" s="361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65" t="s">
        <v>999</v>
      </c>
    </row>
    <row r="22" spans="1:31" ht="26.4"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</row>
    <row r="24" spans="1:31" ht="24.6">
      <c r="A24" s="766" t="s">
        <v>1554</v>
      </c>
      <c r="B24" s="339"/>
      <c r="C24" s="339"/>
      <c r="D24" s="339"/>
      <c r="E24" s="339"/>
      <c r="F24" s="339"/>
      <c r="G24" s="339"/>
      <c r="H24" s="366"/>
      <c r="I24" s="366"/>
      <c r="J24" s="366"/>
      <c r="K24" s="366"/>
      <c r="L24" s="367"/>
      <c r="M24" s="338"/>
      <c r="N24" s="338"/>
      <c r="O24" s="338"/>
      <c r="P24" s="338"/>
      <c r="Q24" s="338"/>
      <c r="R24" s="338"/>
      <c r="S24" s="338"/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68" t="s">
        <v>1555</v>
      </c>
    </row>
    <row r="25" spans="1:31" ht="24.6">
      <c r="A25" s="369"/>
      <c r="B25" s="340" t="s">
        <v>858</v>
      </c>
      <c r="C25" s="340"/>
      <c r="D25" s="340"/>
      <c r="E25" s="340"/>
      <c r="F25" s="340"/>
      <c r="G25" s="340" t="s">
        <v>858</v>
      </c>
      <c r="H25" s="343" t="s">
        <v>858</v>
      </c>
      <c r="I25" s="340"/>
      <c r="J25" s="340"/>
      <c r="K25" s="340"/>
      <c r="L25" s="340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8"/>
      <c r="AB25" s="338"/>
      <c r="AC25" s="338"/>
      <c r="AD25" s="338"/>
      <c r="AE25" s="338"/>
    </row>
    <row r="26" spans="1:31" ht="26.4">
      <c r="A26" s="736" t="s">
        <v>878</v>
      </c>
      <c r="B26" s="736">
        <v>1995</v>
      </c>
      <c r="C26" s="736">
        <v>1996</v>
      </c>
      <c r="D26" s="736">
        <v>1997</v>
      </c>
      <c r="E26" s="736">
        <v>1998</v>
      </c>
      <c r="F26" s="736">
        <v>1999</v>
      </c>
      <c r="G26" s="736">
        <v>2000</v>
      </c>
      <c r="H26" s="736">
        <v>2001</v>
      </c>
      <c r="I26" s="736">
        <v>2002</v>
      </c>
      <c r="J26" s="736">
        <v>2003</v>
      </c>
      <c r="K26" s="736">
        <v>2004</v>
      </c>
      <c r="L26" s="736">
        <v>2005</v>
      </c>
      <c r="M26" s="736">
        <v>2006</v>
      </c>
      <c r="N26" s="736">
        <v>2007</v>
      </c>
      <c r="O26" s="736">
        <v>2008</v>
      </c>
      <c r="P26" s="736">
        <v>2009</v>
      </c>
      <c r="Q26" s="736">
        <v>2010</v>
      </c>
      <c r="R26" s="736">
        <v>2011</v>
      </c>
      <c r="S26" s="736">
        <v>2012</v>
      </c>
      <c r="T26" s="736">
        <v>2013</v>
      </c>
      <c r="U26" s="736">
        <v>2014</v>
      </c>
      <c r="V26" s="736">
        <v>2015</v>
      </c>
      <c r="W26" s="736">
        <v>2016</v>
      </c>
      <c r="X26" s="736">
        <v>2017</v>
      </c>
      <c r="Y26" s="736">
        <v>2018</v>
      </c>
      <c r="Z26" s="736">
        <v>2019</v>
      </c>
      <c r="AA26" s="736">
        <v>2020</v>
      </c>
      <c r="AB26" s="736">
        <v>2021</v>
      </c>
      <c r="AC26" s="736">
        <v>2022</v>
      </c>
      <c r="AD26" s="736">
        <v>2023</v>
      </c>
      <c r="AE26" s="736" t="s">
        <v>874</v>
      </c>
    </row>
    <row r="27" spans="1:31" ht="24.6">
      <c r="A27" s="757" t="s">
        <v>860</v>
      </c>
      <c r="B27" s="758">
        <v>76</v>
      </c>
      <c r="C27" s="758">
        <v>79.833333333333329</v>
      </c>
      <c r="D27" s="758">
        <v>77.166666666666671</v>
      </c>
      <c r="E27" s="761">
        <v>78.666666666666671</v>
      </c>
      <c r="F27" s="761">
        <v>82.666666666666671</v>
      </c>
      <c r="G27" s="761">
        <v>78.666666666666671</v>
      </c>
      <c r="H27" s="761">
        <v>81.75</v>
      </c>
      <c r="I27" s="761">
        <v>76.583333333333329</v>
      </c>
      <c r="J27" s="761">
        <v>79.083333333333329</v>
      </c>
      <c r="K27" s="761">
        <v>79.75</v>
      </c>
      <c r="L27" s="761">
        <v>80.333333333333329</v>
      </c>
      <c r="M27" s="345">
        <v>77</v>
      </c>
      <c r="N27" s="345">
        <v>74</v>
      </c>
      <c r="O27" s="345">
        <v>75</v>
      </c>
      <c r="P27" s="345">
        <v>80.599999999999994</v>
      </c>
      <c r="Q27" s="345">
        <v>82</v>
      </c>
      <c r="R27" s="346">
        <v>75.3</v>
      </c>
      <c r="S27" s="346">
        <v>70.900000000000006</v>
      </c>
      <c r="T27" s="346">
        <v>75.5</v>
      </c>
      <c r="U27" s="346">
        <v>78.8</v>
      </c>
      <c r="V27" s="346" t="s">
        <v>13</v>
      </c>
      <c r="W27" s="346" t="s">
        <v>13</v>
      </c>
      <c r="X27" s="346"/>
      <c r="Y27" s="346" t="s">
        <v>13</v>
      </c>
      <c r="Z27" s="346">
        <v>73.3</v>
      </c>
      <c r="AA27" s="346">
        <v>66.2</v>
      </c>
      <c r="AB27" s="346">
        <v>71.8</v>
      </c>
      <c r="AC27" s="346">
        <v>72.599999999999994</v>
      </c>
      <c r="AD27" s="346">
        <v>69.099999999999994</v>
      </c>
      <c r="AE27" s="347" t="s">
        <v>335</v>
      </c>
    </row>
    <row r="28" spans="1:31" ht="24.6">
      <c r="A28" s="348" t="s">
        <v>861</v>
      </c>
      <c r="B28" s="349">
        <v>42.833333333333336</v>
      </c>
      <c r="C28" s="349">
        <v>41.916666666666664</v>
      </c>
      <c r="D28" s="349">
        <v>47</v>
      </c>
      <c r="E28" s="352">
        <v>43.5</v>
      </c>
      <c r="F28" s="352">
        <v>45.083333333333336</v>
      </c>
      <c r="G28" s="352">
        <v>43.909090909090907</v>
      </c>
      <c r="H28" s="352">
        <v>43.333333333333336</v>
      </c>
      <c r="I28" s="352">
        <v>40.583333333333336</v>
      </c>
      <c r="J28" s="352">
        <v>52.333333333333336</v>
      </c>
      <c r="K28" s="352">
        <v>46.25</v>
      </c>
      <c r="L28" s="352">
        <v>53.333333333333336</v>
      </c>
      <c r="M28" s="353">
        <v>54.9</v>
      </c>
      <c r="N28" s="353">
        <v>48.7</v>
      </c>
      <c r="O28" s="353">
        <v>45</v>
      </c>
      <c r="P28" s="353">
        <v>38.299999999999997</v>
      </c>
      <c r="Q28" s="353">
        <v>35</v>
      </c>
      <c r="R28" s="346">
        <v>35</v>
      </c>
      <c r="S28" s="346">
        <v>39</v>
      </c>
      <c r="T28" s="346">
        <v>39</v>
      </c>
      <c r="U28" s="346">
        <v>31</v>
      </c>
      <c r="V28" s="346" t="s">
        <v>13</v>
      </c>
      <c r="W28" s="346" t="s">
        <v>13</v>
      </c>
      <c r="X28" s="346"/>
      <c r="Y28" s="346" t="s">
        <v>13</v>
      </c>
      <c r="Z28" s="346">
        <v>43.5</v>
      </c>
      <c r="AA28" s="346">
        <v>44.8</v>
      </c>
      <c r="AB28" s="346">
        <v>45</v>
      </c>
      <c r="AC28" s="346">
        <v>43</v>
      </c>
      <c r="AD28" s="346">
        <v>42</v>
      </c>
      <c r="AE28" s="354" t="s">
        <v>847</v>
      </c>
    </row>
    <row r="29" spans="1:31" ht="24.6">
      <c r="A29" s="348" t="s">
        <v>862</v>
      </c>
      <c r="B29" s="349">
        <v>47.4</v>
      </c>
      <c r="C29" s="349">
        <v>47.972727272727276</v>
      </c>
      <c r="D29" s="349">
        <v>48.9</v>
      </c>
      <c r="E29" s="352">
        <v>40.1</v>
      </c>
      <c r="F29" s="352">
        <v>45</v>
      </c>
      <c r="G29" s="352">
        <v>42</v>
      </c>
      <c r="H29" s="352">
        <v>38</v>
      </c>
      <c r="I29" s="352">
        <v>40</v>
      </c>
      <c r="J29" s="352">
        <v>45</v>
      </c>
      <c r="K29" s="352">
        <v>39</v>
      </c>
      <c r="L29" s="352">
        <v>44</v>
      </c>
      <c r="M29" s="353">
        <v>43.6</v>
      </c>
      <c r="N29" s="353">
        <v>40.9</v>
      </c>
      <c r="O29" s="353">
        <v>43.3</v>
      </c>
      <c r="P29" s="353">
        <v>44.6</v>
      </c>
      <c r="Q29" s="353">
        <v>42</v>
      </c>
      <c r="R29" s="346">
        <v>37.1</v>
      </c>
      <c r="S29" s="346">
        <v>39.799999999999997</v>
      </c>
      <c r="T29" s="346">
        <v>43.4</v>
      </c>
      <c r="U29" s="346">
        <v>42</v>
      </c>
      <c r="V29" s="346" t="s">
        <v>13</v>
      </c>
      <c r="W29" s="346" t="s">
        <v>13</v>
      </c>
      <c r="X29" s="346">
        <v>42.833333333333336</v>
      </c>
      <c r="Y29" s="346">
        <v>45</v>
      </c>
      <c r="Z29" s="346">
        <v>47.2</v>
      </c>
      <c r="AA29" s="346">
        <v>49.3</v>
      </c>
      <c r="AB29" s="346">
        <v>51.5</v>
      </c>
      <c r="AC29" s="346">
        <v>41</v>
      </c>
      <c r="AD29" s="346">
        <v>43</v>
      </c>
      <c r="AE29" s="354" t="s">
        <v>848</v>
      </c>
    </row>
    <row r="30" spans="1:31" ht="24.6">
      <c r="A30" s="348" t="s">
        <v>863</v>
      </c>
      <c r="B30" s="349">
        <v>45</v>
      </c>
      <c r="C30" s="349">
        <v>42.25</v>
      </c>
      <c r="D30" s="349">
        <v>42.1</v>
      </c>
      <c r="E30" s="352">
        <v>40.6</v>
      </c>
      <c r="F30" s="352">
        <v>46</v>
      </c>
      <c r="G30" s="352">
        <v>45</v>
      </c>
      <c r="H30" s="352">
        <v>43</v>
      </c>
      <c r="I30" s="352">
        <v>44</v>
      </c>
      <c r="J30" s="352">
        <v>48</v>
      </c>
      <c r="K30" s="352">
        <v>52</v>
      </c>
      <c r="L30" s="352">
        <v>59</v>
      </c>
      <c r="M30" s="353">
        <v>60</v>
      </c>
      <c r="N30" s="353">
        <v>54.8</v>
      </c>
      <c r="O30" s="353">
        <v>53.5</v>
      </c>
      <c r="P30" s="353">
        <v>54.2</v>
      </c>
      <c r="Q30" s="353">
        <v>57</v>
      </c>
      <c r="R30" s="346">
        <v>60</v>
      </c>
      <c r="S30" s="346">
        <v>48</v>
      </c>
      <c r="T30" s="346">
        <v>39</v>
      </c>
      <c r="U30" s="346">
        <v>38</v>
      </c>
      <c r="V30" s="346" t="s">
        <v>13</v>
      </c>
      <c r="W30" s="346" t="s">
        <v>13</v>
      </c>
      <c r="X30" s="346"/>
      <c r="Y30" s="346" t="s">
        <v>13</v>
      </c>
      <c r="Z30" s="346">
        <v>49.1</v>
      </c>
      <c r="AA30" s="346">
        <v>52.5</v>
      </c>
      <c r="AB30" s="346">
        <v>52</v>
      </c>
      <c r="AC30" s="346">
        <v>52</v>
      </c>
      <c r="AD30" s="346">
        <v>51</v>
      </c>
      <c r="AE30" s="354" t="s">
        <v>849</v>
      </c>
    </row>
    <row r="31" spans="1:31" ht="24.6">
      <c r="A31" s="348" t="s">
        <v>864</v>
      </c>
      <c r="B31" s="349">
        <v>58.7</v>
      </c>
      <c r="C31" s="349">
        <v>39.68</v>
      </c>
      <c r="D31" s="349">
        <v>49.5</v>
      </c>
      <c r="E31" s="349">
        <v>50</v>
      </c>
      <c r="F31" s="349">
        <v>56</v>
      </c>
      <c r="G31" s="349">
        <v>50</v>
      </c>
      <c r="H31" s="349">
        <v>52</v>
      </c>
      <c r="I31" s="349">
        <v>49</v>
      </c>
      <c r="J31" s="349">
        <v>52</v>
      </c>
      <c r="K31" s="352">
        <v>50</v>
      </c>
      <c r="L31" s="352">
        <v>54</v>
      </c>
      <c r="M31" s="353">
        <v>52.1</v>
      </c>
      <c r="N31" s="353">
        <v>48.5</v>
      </c>
      <c r="O31" s="353">
        <v>49.2</v>
      </c>
      <c r="P31" s="353">
        <v>49.3</v>
      </c>
      <c r="Q31" s="353">
        <v>51</v>
      </c>
      <c r="R31" s="346">
        <v>45</v>
      </c>
      <c r="S31" s="346">
        <v>50</v>
      </c>
      <c r="T31" s="346">
        <v>40</v>
      </c>
      <c r="U31" s="346">
        <v>48</v>
      </c>
      <c r="V31" s="346" t="s">
        <v>13</v>
      </c>
      <c r="W31" s="346" t="s">
        <v>13</v>
      </c>
      <c r="X31" s="346"/>
      <c r="Y31" s="346" t="s">
        <v>13</v>
      </c>
      <c r="Z31" s="346">
        <v>50.6</v>
      </c>
      <c r="AA31" s="346">
        <v>50</v>
      </c>
      <c r="AB31" s="346">
        <v>47.6</v>
      </c>
      <c r="AC31" s="346">
        <v>49</v>
      </c>
      <c r="AD31" s="346">
        <v>50</v>
      </c>
      <c r="AE31" s="354" t="s">
        <v>850</v>
      </c>
    </row>
    <row r="32" spans="1:31" ht="24.6">
      <c r="A32" s="348" t="s">
        <v>865</v>
      </c>
      <c r="B32" s="349">
        <v>62.7</v>
      </c>
      <c r="C32" s="349">
        <v>68.527272727272717</v>
      </c>
      <c r="D32" s="349">
        <v>58.7</v>
      </c>
      <c r="E32" s="352">
        <v>63.5</v>
      </c>
      <c r="F32" s="352">
        <v>68</v>
      </c>
      <c r="G32" s="352">
        <v>65</v>
      </c>
      <c r="H32" s="352">
        <v>73</v>
      </c>
      <c r="I32" s="352">
        <v>71</v>
      </c>
      <c r="J32" s="352">
        <v>73</v>
      </c>
      <c r="K32" s="352">
        <v>72</v>
      </c>
      <c r="L32" s="352">
        <v>72</v>
      </c>
      <c r="M32" s="353">
        <v>69.5</v>
      </c>
      <c r="N32" s="353">
        <v>44.4</v>
      </c>
      <c r="O32" s="353">
        <v>64.099999999999994</v>
      </c>
      <c r="P32" s="353">
        <v>42.6</v>
      </c>
      <c r="Q32" s="353">
        <v>55</v>
      </c>
      <c r="R32" s="346">
        <v>60</v>
      </c>
      <c r="S32" s="346">
        <v>54</v>
      </c>
      <c r="T32" s="346">
        <v>64</v>
      </c>
      <c r="U32" s="346">
        <v>53</v>
      </c>
      <c r="V32" s="346" t="s">
        <v>13</v>
      </c>
      <c r="W32" s="346" t="s">
        <v>13</v>
      </c>
      <c r="X32" s="346"/>
      <c r="Y32" s="346" t="s">
        <v>13</v>
      </c>
      <c r="Z32" s="346">
        <v>43.3</v>
      </c>
      <c r="AA32" s="346">
        <v>39.6</v>
      </c>
      <c r="AB32" s="346">
        <v>40.6</v>
      </c>
      <c r="AC32" s="346">
        <v>42</v>
      </c>
      <c r="AD32" s="346">
        <v>43</v>
      </c>
      <c r="AE32" s="354" t="s">
        <v>851</v>
      </c>
    </row>
    <row r="33" spans="1:31" ht="24.6">
      <c r="A33" s="348" t="s">
        <v>866</v>
      </c>
      <c r="B33" s="349">
        <v>64.5</v>
      </c>
      <c r="C33" s="349">
        <v>60.891666666666673</v>
      </c>
      <c r="D33" s="349">
        <v>55.6</v>
      </c>
      <c r="E33" s="352">
        <v>54.2</v>
      </c>
      <c r="F33" s="352">
        <v>60</v>
      </c>
      <c r="G33" s="352">
        <v>58</v>
      </c>
      <c r="H33" s="352">
        <v>55</v>
      </c>
      <c r="I33" s="352">
        <v>54</v>
      </c>
      <c r="J33" s="352">
        <v>64</v>
      </c>
      <c r="K33" s="352">
        <v>56</v>
      </c>
      <c r="L33" s="352">
        <v>56</v>
      </c>
      <c r="M33" s="353">
        <v>54.7</v>
      </c>
      <c r="N33" s="353">
        <v>52</v>
      </c>
      <c r="O33" s="353">
        <v>50.5</v>
      </c>
      <c r="P33" s="353">
        <v>59.7</v>
      </c>
      <c r="Q33" s="353">
        <v>58</v>
      </c>
      <c r="R33" s="346">
        <v>52</v>
      </c>
      <c r="S33" s="346">
        <v>53</v>
      </c>
      <c r="T33" s="346">
        <v>50</v>
      </c>
      <c r="U33" s="346">
        <v>49</v>
      </c>
      <c r="V33" s="346" t="s">
        <v>13</v>
      </c>
      <c r="W33" s="346" t="s">
        <v>13</v>
      </c>
      <c r="X33" s="346"/>
      <c r="Y33" s="346" t="s">
        <v>13</v>
      </c>
      <c r="Z33" s="346">
        <v>51.2</v>
      </c>
      <c r="AA33" s="346">
        <v>49.9</v>
      </c>
      <c r="AB33" s="346">
        <v>48.1</v>
      </c>
      <c r="AC33" s="346">
        <v>49.5</v>
      </c>
      <c r="AD33" s="346">
        <v>51</v>
      </c>
      <c r="AE33" s="354" t="s">
        <v>852</v>
      </c>
    </row>
    <row r="34" spans="1:31" ht="24.6">
      <c r="A34" s="348" t="s">
        <v>867</v>
      </c>
      <c r="B34" s="349">
        <v>54.2</v>
      </c>
      <c r="C34" s="349">
        <v>52.325000000000003</v>
      </c>
      <c r="D34" s="349">
        <v>47.9</v>
      </c>
      <c r="E34" s="352">
        <v>48.7</v>
      </c>
      <c r="F34" s="352">
        <v>46</v>
      </c>
      <c r="G34" s="352">
        <v>41</v>
      </c>
      <c r="H34" s="349" t="s">
        <v>298</v>
      </c>
      <c r="I34" s="349" t="s">
        <v>298</v>
      </c>
      <c r="J34" s="349">
        <v>50</v>
      </c>
      <c r="K34" s="352">
        <v>54</v>
      </c>
      <c r="L34" s="352">
        <v>55</v>
      </c>
      <c r="M34" s="353">
        <v>54.6</v>
      </c>
      <c r="N34" s="353">
        <v>50.7</v>
      </c>
      <c r="O34" s="356">
        <v>50.9</v>
      </c>
      <c r="P34" s="356" t="s">
        <v>13</v>
      </c>
      <c r="Q34" s="356" t="s">
        <v>13</v>
      </c>
      <c r="R34" s="346">
        <v>49</v>
      </c>
      <c r="S34" s="346">
        <v>59</v>
      </c>
      <c r="T34" s="346">
        <v>48</v>
      </c>
      <c r="U34" s="346">
        <v>50</v>
      </c>
      <c r="V34" s="346" t="s">
        <v>13</v>
      </c>
      <c r="W34" s="346" t="s">
        <v>13</v>
      </c>
      <c r="X34" s="346"/>
      <c r="Y34" s="346" t="s">
        <v>13</v>
      </c>
      <c r="Z34" s="346">
        <v>40.700000000000003</v>
      </c>
      <c r="AA34" s="346">
        <v>41.1</v>
      </c>
      <c r="AB34" s="346">
        <v>42.7</v>
      </c>
      <c r="AC34" s="346">
        <v>43</v>
      </c>
      <c r="AD34" s="346">
        <v>45</v>
      </c>
      <c r="AE34" s="354" t="s">
        <v>853</v>
      </c>
    </row>
    <row r="35" spans="1:31" ht="24.6">
      <c r="A35" s="348" t="s">
        <v>868</v>
      </c>
      <c r="B35" s="349">
        <v>85.4</v>
      </c>
      <c r="C35" s="349">
        <v>88.954545454545439</v>
      </c>
      <c r="D35" s="349">
        <v>87.1</v>
      </c>
      <c r="E35" s="352">
        <v>87.8</v>
      </c>
      <c r="F35" s="352">
        <v>86</v>
      </c>
      <c r="G35" s="352">
        <v>86</v>
      </c>
      <c r="H35" s="352">
        <v>58</v>
      </c>
      <c r="I35" s="352">
        <v>90</v>
      </c>
      <c r="J35" s="352">
        <v>90</v>
      </c>
      <c r="K35" s="352">
        <v>88</v>
      </c>
      <c r="L35" s="352">
        <v>88</v>
      </c>
      <c r="M35" s="345">
        <v>88.5</v>
      </c>
      <c r="N35" s="345">
        <v>86.5</v>
      </c>
      <c r="O35" s="345">
        <v>86.1</v>
      </c>
      <c r="P35" s="345">
        <v>87.3</v>
      </c>
      <c r="Q35" s="345">
        <v>90</v>
      </c>
      <c r="R35" s="346">
        <v>86</v>
      </c>
      <c r="S35" s="346">
        <v>82</v>
      </c>
      <c r="T35" s="346">
        <v>86</v>
      </c>
      <c r="U35" s="346">
        <v>89</v>
      </c>
      <c r="V35" s="346" t="s">
        <v>13</v>
      </c>
      <c r="W35" s="346" t="s">
        <v>13</v>
      </c>
      <c r="X35" s="346"/>
      <c r="Y35" s="346" t="s">
        <v>13</v>
      </c>
      <c r="Z35" s="346">
        <v>86.5</v>
      </c>
      <c r="AA35" s="346">
        <v>82.4</v>
      </c>
      <c r="AB35" s="346">
        <v>83.5</v>
      </c>
      <c r="AC35" s="346">
        <v>83</v>
      </c>
      <c r="AD35" s="346">
        <v>84</v>
      </c>
      <c r="AE35" s="354" t="s">
        <v>154</v>
      </c>
    </row>
    <row r="36" spans="1:31" ht="24.6">
      <c r="A36" s="348" t="s">
        <v>869</v>
      </c>
      <c r="B36" s="349">
        <v>44.8</v>
      </c>
      <c r="C36" s="349">
        <v>40.799999999999997</v>
      </c>
      <c r="D36" s="349">
        <v>42.6</v>
      </c>
      <c r="E36" s="352">
        <v>42.7</v>
      </c>
      <c r="F36" s="352">
        <v>45</v>
      </c>
      <c r="G36" s="352">
        <v>41</v>
      </c>
      <c r="H36" s="352">
        <v>40</v>
      </c>
      <c r="I36" s="352">
        <v>41</v>
      </c>
      <c r="J36" s="352">
        <v>46</v>
      </c>
      <c r="K36" s="352">
        <v>42</v>
      </c>
      <c r="L36" s="352">
        <v>48</v>
      </c>
      <c r="M36" s="353">
        <v>45.5</v>
      </c>
      <c r="N36" s="353">
        <v>41.7</v>
      </c>
      <c r="O36" s="353">
        <v>41.6</v>
      </c>
      <c r="P36" s="353">
        <v>42.2</v>
      </c>
      <c r="Q36" s="353">
        <v>46</v>
      </c>
      <c r="R36" s="346">
        <v>43</v>
      </c>
      <c r="S36" s="346">
        <v>41</v>
      </c>
      <c r="T36" s="346">
        <v>38</v>
      </c>
      <c r="U36" s="346">
        <v>38</v>
      </c>
      <c r="V36" s="346" t="s">
        <v>13</v>
      </c>
      <c r="W36" s="346" t="s">
        <v>13</v>
      </c>
      <c r="X36" s="346"/>
      <c r="Y36" s="346" t="s">
        <v>13</v>
      </c>
      <c r="Z36" s="346">
        <v>39.799999999999997</v>
      </c>
      <c r="AA36" s="346">
        <v>44.3</v>
      </c>
      <c r="AB36" s="346">
        <v>43.5</v>
      </c>
      <c r="AC36" s="346">
        <v>44</v>
      </c>
      <c r="AD36" s="346">
        <v>46</v>
      </c>
      <c r="AE36" s="354" t="s">
        <v>855</v>
      </c>
    </row>
    <row r="37" spans="1:31" ht="24.6">
      <c r="A37" s="348" t="s">
        <v>870</v>
      </c>
      <c r="B37" s="349" t="s">
        <v>298</v>
      </c>
      <c r="C37" s="349" t="s">
        <v>298</v>
      </c>
      <c r="D37" s="349" t="s">
        <v>298</v>
      </c>
      <c r="E37" s="349" t="s">
        <v>298</v>
      </c>
      <c r="F37" s="349" t="s">
        <v>298</v>
      </c>
      <c r="G37" s="349" t="s">
        <v>298</v>
      </c>
      <c r="H37" s="349" t="s">
        <v>298</v>
      </c>
      <c r="I37" s="349" t="s">
        <v>298</v>
      </c>
      <c r="J37" s="349" t="s">
        <v>298</v>
      </c>
      <c r="K37" s="352"/>
      <c r="L37" s="352"/>
      <c r="M37" s="356" t="s">
        <v>298</v>
      </c>
      <c r="N37" s="356" t="s">
        <v>298</v>
      </c>
      <c r="O37" s="356" t="s">
        <v>13</v>
      </c>
      <c r="P37" s="356" t="s">
        <v>13</v>
      </c>
      <c r="Q37" s="356" t="s">
        <v>13</v>
      </c>
      <c r="R37" s="346" t="s">
        <v>13</v>
      </c>
      <c r="S37" s="346" t="s">
        <v>13</v>
      </c>
      <c r="T37" s="346" t="s">
        <v>13</v>
      </c>
      <c r="U37" s="346" t="s">
        <v>13</v>
      </c>
      <c r="V37" s="346" t="s">
        <v>13</v>
      </c>
      <c r="W37" s="346" t="s">
        <v>13</v>
      </c>
      <c r="X37" s="346"/>
      <c r="Y37" s="346" t="s">
        <v>13</v>
      </c>
      <c r="Z37" s="346"/>
      <c r="AA37" s="346"/>
      <c r="AB37" s="346"/>
      <c r="AC37" s="346"/>
      <c r="AD37" s="346"/>
      <c r="AE37" s="354" t="s">
        <v>875</v>
      </c>
    </row>
    <row r="38" spans="1:31" ht="24.6">
      <c r="A38" s="348" t="s">
        <v>871</v>
      </c>
      <c r="B38" s="349">
        <v>55.4</v>
      </c>
      <c r="C38" s="349">
        <v>60.866666666666674</v>
      </c>
      <c r="D38" s="349">
        <v>54.5</v>
      </c>
      <c r="E38" s="352">
        <v>50.5</v>
      </c>
      <c r="F38" s="352">
        <v>55</v>
      </c>
      <c r="G38" s="352">
        <v>52</v>
      </c>
      <c r="H38" s="352">
        <v>49</v>
      </c>
      <c r="I38" s="352">
        <v>54</v>
      </c>
      <c r="J38" s="352">
        <v>57</v>
      </c>
      <c r="K38" s="352">
        <v>56</v>
      </c>
      <c r="L38" s="352">
        <v>56</v>
      </c>
      <c r="M38" s="353">
        <v>59.3</v>
      </c>
      <c r="N38" s="353">
        <v>55.8</v>
      </c>
      <c r="O38" s="353">
        <v>57</v>
      </c>
      <c r="P38" s="353">
        <v>61.4</v>
      </c>
      <c r="Q38" s="353">
        <v>58</v>
      </c>
      <c r="R38" s="346">
        <v>54</v>
      </c>
      <c r="S38" s="346">
        <v>53</v>
      </c>
      <c r="T38" s="346">
        <v>53</v>
      </c>
      <c r="U38" s="346">
        <v>54</v>
      </c>
      <c r="V38" s="346" t="s">
        <v>13</v>
      </c>
      <c r="W38" s="346" t="s">
        <v>13</v>
      </c>
      <c r="X38" s="346"/>
      <c r="Y38" s="346" t="s">
        <v>13</v>
      </c>
      <c r="Z38" s="346">
        <v>54.1</v>
      </c>
      <c r="AA38" s="346">
        <v>55.5</v>
      </c>
      <c r="AB38" s="346">
        <v>52.5</v>
      </c>
      <c r="AC38" s="346">
        <v>53.2</v>
      </c>
      <c r="AD38" s="346">
        <v>51.6</v>
      </c>
      <c r="AE38" s="354" t="s">
        <v>152</v>
      </c>
    </row>
    <row r="39" spans="1:31" ht="24.6">
      <c r="A39" s="348" t="s">
        <v>872</v>
      </c>
      <c r="B39" s="349" t="s">
        <v>298</v>
      </c>
      <c r="C39" s="349" t="s">
        <v>298</v>
      </c>
      <c r="D39" s="349" t="s">
        <v>298</v>
      </c>
      <c r="E39" s="349" t="s">
        <v>298</v>
      </c>
      <c r="F39" s="349" t="s">
        <v>298</v>
      </c>
      <c r="G39" s="349" t="s">
        <v>298</v>
      </c>
      <c r="H39" s="349" t="s">
        <v>298</v>
      </c>
      <c r="I39" s="349" t="s">
        <v>298</v>
      </c>
      <c r="J39" s="349" t="s">
        <v>298</v>
      </c>
      <c r="K39" s="352"/>
      <c r="L39" s="352"/>
      <c r="M39" s="353">
        <v>75.5</v>
      </c>
      <c r="N39" s="353">
        <v>71.400000000000006</v>
      </c>
      <c r="O39" s="353">
        <v>72.3</v>
      </c>
      <c r="P39" s="353">
        <v>73.099999999999994</v>
      </c>
      <c r="Q39" s="356" t="s">
        <v>13</v>
      </c>
      <c r="R39" s="346">
        <v>70</v>
      </c>
      <c r="S39" s="346">
        <v>70</v>
      </c>
      <c r="T39" s="346">
        <v>71</v>
      </c>
      <c r="U39" s="346">
        <v>73</v>
      </c>
      <c r="V39" s="346" t="s">
        <v>13</v>
      </c>
      <c r="W39" s="346" t="s">
        <v>13</v>
      </c>
      <c r="X39" s="346"/>
      <c r="Y39" s="346" t="s">
        <v>13</v>
      </c>
      <c r="Z39" s="346">
        <v>49</v>
      </c>
      <c r="AA39" s="346">
        <v>56</v>
      </c>
      <c r="AB39" s="346">
        <v>50</v>
      </c>
      <c r="AC39" s="346">
        <v>51</v>
      </c>
      <c r="AD39" s="346">
        <v>55</v>
      </c>
      <c r="AE39" s="354" t="s">
        <v>877</v>
      </c>
    </row>
    <row r="40" spans="1:31" ht="24.6">
      <c r="A40" s="348" t="s">
        <v>873</v>
      </c>
      <c r="B40" s="349">
        <v>47</v>
      </c>
      <c r="C40" s="349">
        <v>49.309090909090905</v>
      </c>
      <c r="D40" s="349">
        <v>50.1</v>
      </c>
      <c r="E40" s="352">
        <v>45.8</v>
      </c>
      <c r="F40" s="352">
        <v>50</v>
      </c>
      <c r="G40" s="352">
        <v>57</v>
      </c>
      <c r="H40" s="352">
        <v>48</v>
      </c>
      <c r="I40" s="352">
        <v>42</v>
      </c>
      <c r="J40" s="352">
        <v>49</v>
      </c>
      <c r="K40" s="352">
        <v>49</v>
      </c>
      <c r="L40" s="352">
        <v>45</v>
      </c>
      <c r="M40" s="353">
        <v>42.4</v>
      </c>
      <c r="N40" s="356">
        <v>43.8</v>
      </c>
      <c r="O40" s="356" t="s">
        <v>13</v>
      </c>
      <c r="P40" s="356" t="s">
        <v>13</v>
      </c>
      <c r="Q40" s="356" t="s">
        <v>13</v>
      </c>
      <c r="R40" s="346">
        <v>46</v>
      </c>
      <c r="S40" s="346">
        <v>45</v>
      </c>
      <c r="T40" s="346">
        <v>47</v>
      </c>
      <c r="U40" s="346">
        <v>33</v>
      </c>
      <c r="V40" s="346" t="s">
        <v>13</v>
      </c>
      <c r="W40" s="346" t="s">
        <v>13</v>
      </c>
      <c r="X40" s="346"/>
      <c r="Y40" s="346" t="s">
        <v>13</v>
      </c>
      <c r="Z40" s="346">
        <v>43.7</v>
      </c>
      <c r="AA40" s="346">
        <v>46.8</v>
      </c>
      <c r="AB40" s="346">
        <v>45</v>
      </c>
      <c r="AC40" s="346">
        <v>46</v>
      </c>
      <c r="AD40" s="346">
        <v>49</v>
      </c>
      <c r="AE40" s="354" t="s">
        <v>856</v>
      </c>
    </row>
    <row r="41" spans="1:31" ht="25.2" thickBot="1">
      <c r="A41" s="762" t="s">
        <v>844</v>
      </c>
      <c r="B41" s="763">
        <f>AVERAGE(B27:B40)</f>
        <v>56.99444444444444</v>
      </c>
      <c r="C41" s="763">
        <f t="shared" ref="C41:L41" si="1">AVERAGE(C27:C40)</f>
        <v>56.11058080808079</v>
      </c>
      <c r="D41" s="763">
        <f t="shared" si="1"/>
        <v>55.097222222222221</v>
      </c>
      <c r="E41" s="763">
        <f t="shared" si="1"/>
        <v>53.838888888888881</v>
      </c>
      <c r="F41" s="763">
        <f t="shared" si="1"/>
        <v>57.0625</v>
      </c>
      <c r="G41" s="763">
        <f t="shared" si="1"/>
        <v>54.964646464646457</v>
      </c>
      <c r="H41" s="763">
        <f t="shared" si="1"/>
        <v>52.825757575757578</v>
      </c>
      <c r="I41" s="763">
        <f t="shared" si="1"/>
        <v>54.742424242424242</v>
      </c>
      <c r="J41" s="763">
        <f t="shared" si="1"/>
        <v>58.784722222222221</v>
      </c>
      <c r="K41" s="763">
        <f t="shared" si="1"/>
        <v>57</v>
      </c>
      <c r="L41" s="763">
        <f t="shared" si="1"/>
        <v>59.222222222222221</v>
      </c>
      <c r="M41" s="357">
        <v>59.830769230769228</v>
      </c>
      <c r="N41" s="357">
        <f t="shared" ref="N41:U41" si="2">AVERAGE(N27:N39)</f>
        <v>55.783333333333324</v>
      </c>
      <c r="O41" s="357">
        <f t="shared" si="2"/>
        <v>57.375</v>
      </c>
      <c r="P41" s="357">
        <f t="shared" si="2"/>
        <v>57.572727272727278</v>
      </c>
      <c r="Q41" s="357">
        <f t="shared" si="2"/>
        <v>57.4</v>
      </c>
      <c r="R41" s="357">
        <f t="shared" si="2"/>
        <v>55.533333333333331</v>
      </c>
      <c r="S41" s="357">
        <f t="shared" si="2"/>
        <v>54.975000000000001</v>
      </c>
      <c r="T41" s="357">
        <f t="shared" si="2"/>
        <v>53.908333333333331</v>
      </c>
      <c r="U41" s="357">
        <f t="shared" si="2"/>
        <v>53.65</v>
      </c>
      <c r="V41" s="358" t="s">
        <v>13</v>
      </c>
      <c r="W41" s="358" t="s">
        <v>13</v>
      </c>
      <c r="X41" s="358"/>
      <c r="Y41" s="358" t="s">
        <v>13</v>
      </c>
      <c r="Z41" s="346">
        <v>51.3</v>
      </c>
      <c r="AA41" s="346">
        <v>51.5</v>
      </c>
      <c r="AB41" s="346">
        <v>51.4</v>
      </c>
      <c r="AC41" s="346">
        <v>51.1</v>
      </c>
      <c r="AD41" s="346">
        <v>51.8</v>
      </c>
      <c r="AE41" s="359" t="s">
        <v>857</v>
      </c>
    </row>
    <row r="42" spans="1:31" ht="24.6">
      <c r="A42" s="343"/>
      <c r="B42" s="360"/>
      <c r="C42" s="360"/>
      <c r="D42" s="361"/>
      <c r="E42" s="370"/>
      <c r="F42" s="370"/>
      <c r="G42" s="370"/>
      <c r="H42" s="370"/>
      <c r="I42" s="370"/>
      <c r="J42" s="370"/>
      <c r="K42" s="340"/>
      <c r="L42" s="340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38"/>
      <c r="AB42" s="338"/>
      <c r="AC42" s="338"/>
      <c r="AD42" s="338"/>
      <c r="AE42" s="338"/>
    </row>
    <row r="43" spans="1:31" ht="24.6">
      <c r="A43" s="364" t="s">
        <v>1000</v>
      </c>
      <c r="B43" s="340"/>
      <c r="C43" s="340"/>
      <c r="D43" s="340"/>
      <c r="E43" s="340"/>
      <c r="F43" s="340"/>
      <c r="G43" s="340"/>
      <c r="H43" s="343"/>
      <c r="I43" s="343"/>
      <c r="J43" s="343"/>
      <c r="K43" s="371"/>
      <c r="L43" s="371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65" t="s">
        <v>999</v>
      </c>
      <c r="AD43" s="365"/>
      <c r="AE43" s="33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/>
  </sheetPr>
  <dimension ref="A1:AC24"/>
  <sheetViews>
    <sheetView topLeftCell="A3" zoomScale="78" workbookViewId="0">
      <selection activeCell="T3" sqref="T3"/>
    </sheetView>
  </sheetViews>
  <sheetFormatPr baseColWidth="10" defaultRowHeight="14.4"/>
  <cols>
    <col min="1" max="1" width="19.5546875" customWidth="1"/>
    <col min="16" max="16" width="18" customWidth="1"/>
    <col min="30" max="30" width="17.88671875" customWidth="1"/>
  </cols>
  <sheetData>
    <row r="1" spans="1:29" ht="24.6">
      <c r="A1" s="374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4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</row>
    <row r="2" spans="1:29" ht="24.6">
      <c r="A2" s="376" t="s">
        <v>898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O2" s="338"/>
      <c r="P2" s="377" t="s">
        <v>899</v>
      </c>
      <c r="Q2" s="338"/>
      <c r="R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</row>
    <row r="3" spans="1:29" ht="24.6">
      <c r="A3" s="376" t="s">
        <v>1001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O3" s="338"/>
      <c r="P3" s="378" t="s">
        <v>1002</v>
      </c>
      <c r="Q3" s="338"/>
      <c r="R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</row>
    <row r="4" spans="1:29" ht="26.4">
      <c r="A4" s="736" t="s">
        <v>900</v>
      </c>
      <c r="B4" s="736">
        <v>2010</v>
      </c>
      <c r="C4" s="736">
        <v>2011</v>
      </c>
      <c r="D4" s="736">
        <v>2012</v>
      </c>
      <c r="E4" s="736">
        <v>2013</v>
      </c>
      <c r="F4" s="736">
        <v>2014</v>
      </c>
      <c r="G4" s="736">
        <v>2015</v>
      </c>
      <c r="H4" s="736">
        <v>2016</v>
      </c>
      <c r="I4" s="736">
        <v>2017</v>
      </c>
      <c r="J4" s="736">
        <v>2018</v>
      </c>
      <c r="K4" s="736">
        <v>2019</v>
      </c>
      <c r="L4" s="736">
        <v>2020</v>
      </c>
      <c r="M4" s="736">
        <v>2021</v>
      </c>
      <c r="N4" s="736">
        <v>2022</v>
      </c>
      <c r="O4" s="736">
        <v>2023</v>
      </c>
      <c r="P4" s="736" t="s">
        <v>874</v>
      </c>
      <c r="T4" s="338"/>
      <c r="U4" s="338"/>
      <c r="V4" s="338"/>
      <c r="W4" s="338"/>
      <c r="X4" s="338"/>
      <c r="Y4" s="338"/>
      <c r="Z4" s="338"/>
      <c r="AA4" s="338"/>
      <c r="AB4" s="338"/>
      <c r="AC4" s="338"/>
    </row>
    <row r="5" spans="1:29" ht="24.6">
      <c r="A5" s="386" t="s">
        <v>829</v>
      </c>
      <c r="B5" s="372">
        <v>27</v>
      </c>
      <c r="C5" s="382">
        <v>10</v>
      </c>
      <c r="D5" s="382">
        <v>11</v>
      </c>
      <c r="E5" s="382">
        <v>19</v>
      </c>
      <c r="F5" s="382">
        <v>13</v>
      </c>
      <c r="G5" s="382" t="s">
        <v>13</v>
      </c>
      <c r="H5" s="382" t="s">
        <v>13</v>
      </c>
      <c r="I5" s="382" t="s">
        <v>13</v>
      </c>
      <c r="J5" s="382" t="s">
        <v>13</v>
      </c>
      <c r="K5" s="382">
        <v>64.3</v>
      </c>
      <c r="L5" s="382">
        <v>62.5</v>
      </c>
      <c r="M5" s="382">
        <v>15.7</v>
      </c>
      <c r="N5" s="382">
        <v>121.2</v>
      </c>
      <c r="O5" s="382">
        <v>109.5</v>
      </c>
      <c r="P5" s="347" t="s">
        <v>901</v>
      </c>
      <c r="R5" s="338"/>
      <c r="T5" s="338"/>
      <c r="U5" s="338"/>
      <c r="V5" s="338"/>
      <c r="W5" s="338"/>
      <c r="X5" s="338"/>
      <c r="Y5" s="338"/>
      <c r="Z5" s="338"/>
      <c r="AA5" s="338"/>
      <c r="AB5" s="338"/>
      <c r="AC5" s="338"/>
    </row>
    <row r="6" spans="1:29" ht="24.6">
      <c r="A6" s="387" t="s">
        <v>832</v>
      </c>
      <c r="B6" s="384">
        <v>28</v>
      </c>
      <c r="C6" s="382">
        <v>8</v>
      </c>
      <c r="D6" s="382">
        <v>16</v>
      </c>
      <c r="E6" s="382">
        <v>19</v>
      </c>
      <c r="F6" s="382">
        <v>18</v>
      </c>
      <c r="G6" s="382" t="s">
        <v>13</v>
      </c>
      <c r="H6" s="382" t="s">
        <v>13</v>
      </c>
      <c r="I6" s="382" t="s">
        <v>13</v>
      </c>
      <c r="J6" s="382" t="s">
        <v>13</v>
      </c>
      <c r="K6" s="382">
        <v>215</v>
      </c>
      <c r="L6" s="382">
        <v>342</v>
      </c>
      <c r="M6" s="382">
        <v>268</v>
      </c>
      <c r="N6" s="382">
        <v>206</v>
      </c>
      <c r="O6" s="382">
        <v>201</v>
      </c>
      <c r="P6" s="354" t="s">
        <v>882</v>
      </c>
      <c r="R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</row>
    <row r="7" spans="1:29" ht="24.6">
      <c r="A7" s="387" t="s">
        <v>833</v>
      </c>
      <c r="B7" s="384">
        <v>32</v>
      </c>
      <c r="C7" s="382">
        <v>24</v>
      </c>
      <c r="D7" s="382">
        <v>28</v>
      </c>
      <c r="E7" s="382">
        <v>29</v>
      </c>
      <c r="F7" s="382">
        <v>21</v>
      </c>
      <c r="G7" s="382" t="s">
        <v>13</v>
      </c>
      <c r="H7" s="382" t="s">
        <v>13</v>
      </c>
      <c r="I7" s="382" t="s">
        <v>13</v>
      </c>
      <c r="J7" s="382" t="s">
        <v>13</v>
      </c>
      <c r="K7" s="382">
        <v>198</v>
      </c>
      <c r="L7" s="382">
        <v>347</v>
      </c>
      <c r="M7" s="382">
        <v>142.1</v>
      </c>
      <c r="N7" s="382">
        <v>249</v>
      </c>
      <c r="O7" s="382">
        <v>271</v>
      </c>
      <c r="P7" s="354" t="s">
        <v>848</v>
      </c>
      <c r="R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</row>
    <row r="8" spans="1:29" ht="24.6">
      <c r="A8" s="387" t="s">
        <v>834</v>
      </c>
      <c r="B8" s="384">
        <v>32</v>
      </c>
      <c r="C8" s="382">
        <v>18</v>
      </c>
      <c r="D8" s="382">
        <v>24</v>
      </c>
      <c r="E8" s="382">
        <v>25</v>
      </c>
      <c r="F8" s="382">
        <v>18</v>
      </c>
      <c r="G8" s="382" t="s">
        <v>13</v>
      </c>
      <c r="H8" s="382" t="s">
        <v>13</v>
      </c>
      <c r="I8" s="382" t="s">
        <v>13</v>
      </c>
      <c r="J8" s="382" t="s">
        <v>13</v>
      </c>
      <c r="K8" s="382">
        <v>347</v>
      </c>
      <c r="L8" s="382">
        <v>426.6</v>
      </c>
      <c r="M8" s="382">
        <v>216</v>
      </c>
      <c r="N8" s="382">
        <v>412</v>
      </c>
      <c r="O8" s="382">
        <v>308.60000000000002</v>
      </c>
      <c r="P8" s="354" t="s">
        <v>849</v>
      </c>
      <c r="R8" s="338"/>
      <c r="T8" s="338"/>
      <c r="U8" s="338"/>
      <c r="V8" s="338"/>
      <c r="W8" s="338"/>
      <c r="X8" s="338"/>
      <c r="Y8" s="338"/>
      <c r="Z8" s="338"/>
      <c r="AA8" s="338"/>
      <c r="AB8" s="338"/>
      <c r="AC8" s="338"/>
    </row>
    <row r="9" spans="1:29" ht="24.6">
      <c r="A9" s="387" t="s">
        <v>835</v>
      </c>
      <c r="B9" s="384">
        <v>36</v>
      </c>
      <c r="C9" s="382">
        <v>12</v>
      </c>
      <c r="D9" s="382">
        <v>24</v>
      </c>
      <c r="E9" s="382">
        <v>18</v>
      </c>
      <c r="F9" s="382">
        <v>16</v>
      </c>
      <c r="G9" s="382" t="s">
        <v>13</v>
      </c>
      <c r="H9" s="382" t="s">
        <v>13</v>
      </c>
      <c r="I9" s="382" t="s">
        <v>13</v>
      </c>
      <c r="J9" s="382" t="s">
        <v>13</v>
      </c>
      <c r="K9" s="382">
        <v>292</v>
      </c>
      <c r="L9" s="382">
        <v>320</v>
      </c>
      <c r="M9" s="382">
        <v>281.3</v>
      </c>
      <c r="N9" s="382">
        <v>507</v>
      </c>
      <c r="O9" s="382">
        <v>346</v>
      </c>
      <c r="P9" s="354" t="s">
        <v>850</v>
      </c>
      <c r="R9" s="338"/>
      <c r="T9" s="338"/>
      <c r="U9" s="338"/>
      <c r="V9" s="338"/>
      <c r="W9" s="338"/>
      <c r="X9" s="338"/>
      <c r="Y9" s="338"/>
      <c r="Z9" s="338"/>
      <c r="AA9" s="338"/>
      <c r="AB9" s="338"/>
      <c r="AC9" s="338"/>
    </row>
    <row r="10" spans="1:29" ht="24.6">
      <c r="A10" s="387" t="s">
        <v>836</v>
      </c>
      <c r="B10" s="372">
        <v>25</v>
      </c>
      <c r="C10" s="382">
        <v>17</v>
      </c>
      <c r="D10" s="382">
        <v>21</v>
      </c>
      <c r="E10" s="382">
        <v>25</v>
      </c>
      <c r="F10" s="382">
        <v>8</v>
      </c>
      <c r="G10" s="382" t="s">
        <v>13</v>
      </c>
      <c r="H10" s="382" t="s">
        <v>13</v>
      </c>
      <c r="I10" s="382" t="s">
        <v>13</v>
      </c>
      <c r="J10" s="382" t="s">
        <v>13</v>
      </c>
      <c r="K10" s="382">
        <v>147.69999999999999</v>
      </c>
      <c r="L10" s="382">
        <v>405.5</v>
      </c>
      <c r="M10" s="382">
        <v>201.7</v>
      </c>
      <c r="N10" s="382">
        <v>223.1</v>
      </c>
      <c r="O10" s="382">
        <v>304.39999999999998</v>
      </c>
      <c r="P10" s="354" t="s">
        <v>851</v>
      </c>
      <c r="R10" s="338"/>
      <c r="T10" s="338"/>
      <c r="U10" s="338"/>
      <c r="V10" s="338"/>
      <c r="W10" s="338"/>
      <c r="X10" s="338"/>
      <c r="Y10" s="338"/>
      <c r="Z10" s="338"/>
      <c r="AA10" s="338"/>
      <c r="AB10" s="338"/>
      <c r="AC10" s="338"/>
    </row>
    <row r="11" spans="1:29" ht="24.6">
      <c r="A11" s="387" t="s">
        <v>879</v>
      </c>
      <c r="B11" s="384">
        <v>14</v>
      </c>
      <c r="C11" s="382">
        <v>7</v>
      </c>
      <c r="D11" s="382">
        <v>18</v>
      </c>
      <c r="E11" s="382">
        <v>14</v>
      </c>
      <c r="F11" s="382">
        <v>16</v>
      </c>
      <c r="G11" s="382" t="s">
        <v>13</v>
      </c>
      <c r="H11" s="382" t="s">
        <v>13</v>
      </c>
      <c r="I11" s="382" t="s">
        <v>13</v>
      </c>
      <c r="J11" s="382" t="s">
        <v>13</v>
      </c>
      <c r="K11" s="382">
        <v>78.8</v>
      </c>
      <c r="L11" s="382">
        <v>377</v>
      </c>
      <c r="M11" s="382">
        <v>112</v>
      </c>
      <c r="N11" s="382">
        <v>389</v>
      </c>
      <c r="O11" s="382">
        <v>212</v>
      </c>
      <c r="P11" s="354" t="s">
        <v>852</v>
      </c>
      <c r="R11" s="338"/>
      <c r="T11" s="338"/>
      <c r="U11" s="338"/>
      <c r="V11" s="338"/>
      <c r="W11" s="338"/>
      <c r="X11" s="338"/>
      <c r="Y11" s="338"/>
      <c r="Z11" s="338"/>
      <c r="AA11" s="338"/>
      <c r="AB11" s="338"/>
      <c r="AC11" s="338"/>
    </row>
    <row r="12" spans="1:29" ht="24.6">
      <c r="A12" s="387" t="s">
        <v>838</v>
      </c>
      <c r="B12" s="383">
        <v>8</v>
      </c>
      <c r="C12" s="382">
        <v>6</v>
      </c>
      <c r="D12" s="382">
        <v>12</v>
      </c>
      <c r="E12" s="382">
        <v>8</v>
      </c>
      <c r="F12" s="382">
        <v>11</v>
      </c>
      <c r="G12" s="382" t="s">
        <v>13</v>
      </c>
      <c r="H12" s="382" t="s">
        <v>13</v>
      </c>
      <c r="I12" s="382" t="s">
        <v>13</v>
      </c>
      <c r="J12" s="382" t="s">
        <v>13</v>
      </c>
      <c r="K12" s="382">
        <v>112</v>
      </c>
      <c r="L12" s="382">
        <v>47.7</v>
      </c>
      <c r="M12" s="382">
        <v>10.7</v>
      </c>
      <c r="N12" s="382">
        <v>264</v>
      </c>
      <c r="O12" s="382">
        <v>127</v>
      </c>
      <c r="P12" s="354" t="s">
        <v>853</v>
      </c>
      <c r="R12" s="338"/>
      <c r="T12" s="338"/>
      <c r="U12" s="338"/>
      <c r="V12" s="338"/>
      <c r="W12" s="338"/>
      <c r="X12" s="338"/>
      <c r="Y12" s="338"/>
      <c r="Z12" s="338"/>
      <c r="AA12" s="338"/>
      <c r="AB12" s="338"/>
      <c r="AC12" s="338"/>
    </row>
    <row r="13" spans="1:29" ht="24.6">
      <c r="A13" s="387" t="s">
        <v>840</v>
      </c>
      <c r="B13" s="384">
        <v>5</v>
      </c>
      <c r="C13" s="382">
        <v>3</v>
      </c>
      <c r="D13" s="382">
        <v>5</v>
      </c>
      <c r="E13" s="382">
        <v>4</v>
      </c>
      <c r="F13" s="382">
        <v>1</v>
      </c>
      <c r="G13" s="382" t="s">
        <v>13</v>
      </c>
      <c r="H13" s="382" t="s">
        <v>13</v>
      </c>
      <c r="I13" s="382" t="s">
        <v>13</v>
      </c>
      <c r="J13" s="382" t="s">
        <v>13</v>
      </c>
      <c r="K13" s="382">
        <v>6.4</v>
      </c>
      <c r="L13" s="382">
        <v>0.9</v>
      </c>
      <c r="M13" s="382">
        <v>46.3</v>
      </c>
      <c r="N13" s="382">
        <v>21</v>
      </c>
      <c r="O13" s="382">
        <v>32.5</v>
      </c>
      <c r="P13" s="354" t="s">
        <v>154</v>
      </c>
      <c r="R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</row>
    <row r="14" spans="1:29" ht="24.6">
      <c r="A14" s="387" t="s">
        <v>841</v>
      </c>
      <c r="B14" s="384">
        <v>10</v>
      </c>
      <c r="C14" s="382">
        <v>6</v>
      </c>
      <c r="D14" s="382">
        <v>9</v>
      </c>
      <c r="E14" s="382">
        <v>8</v>
      </c>
      <c r="F14" s="382">
        <v>7</v>
      </c>
      <c r="G14" s="382" t="s">
        <v>13</v>
      </c>
      <c r="H14" s="382" t="s">
        <v>13</v>
      </c>
      <c r="I14" s="382" t="s">
        <v>13</v>
      </c>
      <c r="J14" s="382" t="s">
        <v>13</v>
      </c>
      <c r="K14" s="382">
        <v>86</v>
      </c>
      <c r="L14" s="382">
        <v>59.3</v>
      </c>
      <c r="M14" s="382">
        <v>13.5</v>
      </c>
      <c r="N14" s="382">
        <v>263.3</v>
      </c>
      <c r="O14" s="382">
        <v>137</v>
      </c>
      <c r="P14" s="354" t="s">
        <v>855</v>
      </c>
      <c r="R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</row>
    <row r="15" spans="1:29" ht="24.6">
      <c r="A15" s="387" t="s">
        <v>880</v>
      </c>
      <c r="B15" s="382">
        <v>29</v>
      </c>
      <c r="C15" s="382">
        <v>19</v>
      </c>
      <c r="D15" s="382">
        <v>29</v>
      </c>
      <c r="E15" s="382">
        <v>30</v>
      </c>
      <c r="F15" s="382">
        <v>31</v>
      </c>
      <c r="G15" s="382" t="s">
        <v>13</v>
      </c>
      <c r="H15" s="382" t="s">
        <v>13</v>
      </c>
      <c r="I15" s="382" t="s">
        <v>13</v>
      </c>
      <c r="J15" s="382" t="s">
        <v>13</v>
      </c>
      <c r="K15" s="382">
        <v>465</v>
      </c>
      <c r="L15" s="382">
        <v>607</v>
      </c>
      <c r="M15" s="382">
        <v>520</v>
      </c>
      <c r="N15" s="382">
        <v>645</v>
      </c>
      <c r="O15" s="382">
        <v>480</v>
      </c>
      <c r="P15" s="354" t="s">
        <v>875</v>
      </c>
      <c r="R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</row>
    <row r="16" spans="1:29" ht="24.6">
      <c r="A16" s="387" t="s">
        <v>842</v>
      </c>
      <c r="B16" s="384">
        <v>8</v>
      </c>
      <c r="C16" s="382">
        <v>4</v>
      </c>
      <c r="D16" s="382">
        <v>12</v>
      </c>
      <c r="E16" s="382">
        <v>9</v>
      </c>
      <c r="F16" s="382">
        <v>10</v>
      </c>
      <c r="G16" s="382" t="s">
        <v>13</v>
      </c>
      <c r="H16" s="382" t="s">
        <v>13</v>
      </c>
      <c r="I16" s="382" t="s">
        <v>13</v>
      </c>
      <c r="J16" s="382" t="s">
        <v>13</v>
      </c>
      <c r="K16" s="382">
        <v>8.1999999999999993</v>
      </c>
      <c r="L16" s="382">
        <v>8</v>
      </c>
      <c r="M16" s="382">
        <v>13</v>
      </c>
      <c r="N16" s="382">
        <v>81</v>
      </c>
      <c r="O16" s="382">
        <v>79</v>
      </c>
      <c r="P16" s="354" t="s">
        <v>152</v>
      </c>
      <c r="R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38"/>
    </row>
    <row r="17" spans="1:29" ht="24.6">
      <c r="A17" s="387" t="s">
        <v>881</v>
      </c>
      <c r="B17" s="382" t="s">
        <v>13</v>
      </c>
      <c r="C17" s="382" t="s">
        <v>13</v>
      </c>
      <c r="D17" s="382" t="s">
        <v>13</v>
      </c>
      <c r="E17" s="382" t="s">
        <v>13</v>
      </c>
      <c r="F17" s="382" t="s">
        <v>13</v>
      </c>
      <c r="G17" s="382" t="s">
        <v>13</v>
      </c>
      <c r="H17" s="382" t="s">
        <v>13</v>
      </c>
      <c r="I17" s="382" t="s">
        <v>13</v>
      </c>
      <c r="J17" s="382" t="s">
        <v>13</v>
      </c>
      <c r="K17" s="382">
        <v>5.7</v>
      </c>
      <c r="L17" s="382">
        <v>9.1</v>
      </c>
      <c r="M17" s="382">
        <v>0</v>
      </c>
      <c r="N17" s="382">
        <v>8.5</v>
      </c>
      <c r="O17" s="382">
        <v>19</v>
      </c>
      <c r="P17" s="354" t="s">
        <v>877</v>
      </c>
      <c r="R17" s="338"/>
      <c r="T17" s="338"/>
      <c r="U17" s="338"/>
      <c r="V17" s="338"/>
      <c r="W17" s="338"/>
      <c r="X17" s="338"/>
      <c r="Y17" s="338"/>
      <c r="Z17" s="338"/>
      <c r="AA17" s="338"/>
      <c r="AB17" s="338"/>
      <c r="AC17" s="338"/>
    </row>
    <row r="18" spans="1:29" ht="24.6">
      <c r="A18" s="387" t="s">
        <v>843</v>
      </c>
      <c r="B18" s="382">
        <v>11</v>
      </c>
      <c r="C18" s="382">
        <v>5</v>
      </c>
      <c r="D18" s="382">
        <v>9</v>
      </c>
      <c r="E18" s="382">
        <v>11</v>
      </c>
      <c r="F18" s="382">
        <v>10</v>
      </c>
      <c r="G18" s="382" t="s">
        <v>13</v>
      </c>
      <c r="H18" s="382" t="s">
        <v>13</v>
      </c>
      <c r="I18" s="382" t="s">
        <v>13</v>
      </c>
      <c r="J18" s="382" t="s">
        <v>13</v>
      </c>
      <c r="K18" s="382">
        <v>86</v>
      </c>
      <c r="L18" s="382">
        <v>59.3</v>
      </c>
      <c r="M18" s="382">
        <v>13.5</v>
      </c>
      <c r="N18" s="382">
        <v>263.3</v>
      </c>
      <c r="O18" s="382">
        <v>41</v>
      </c>
      <c r="P18" s="354" t="s">
        <v>856</v>
      </c>
      <c r="R18" s="338"/>
      <c r="T18" s="338"/>
      <c r="U18" s="338"/>
      <c r="V18" s="338"/>
      <c r="W18" s="338"/>
      <c r="X18" s="338"/>
      <c r="Y18" s="338"/>
      <c r="Z18" s="338"/>
      <c r="AA18" s="338"/>
      <c r="AB18" s="338"/>
      <c r="AC18" s="338"/>
    </row>
    <row r="19" spans="1:29" ht="24.6">
      <c r="A19" s="388" t="s">
        <v>902</v>
      </c>
      <c r="B19" s="385">
        <f>AVERAGE(B5:B18)</f>
        <v>20.384615384615383</v>
      </c>
      <c r="C19" s="385">
        <f>AVERAGE(C5:C18)</f>
        <v>10.692307692307692</v>
      </c>
      <c r="D19" s="385">
        <f>AVERAGE(D5:D18)</f>
        <v>16.76923076923077</v>
      </c>
      <c r="E19" s="385">
        <f>AVERAGE(E5:E18)</f>
        <v>16.846153846153847</v>
      </c>
      <c r="F19" s="385">
        <f>AVERAGE(F5:F18)</f>
        <v>13.846153846153847</v>
      </c>
      <c r="G19" s="382" t="s">
        <v>13</v>
      </c>
      <c r="H19" s="382" t="s">
        <v>13</v>
      </c>
      <c r="I19" s="382" t="s">
        <v>13</v>
      </c>
      <c r="J19" s="382" t="s">
        <v>13</v>
      </c>
      <c r="K19" s="382">
        <v>130.1</v>
      </c>
      <c r="L19" s="382">
        <v>200.5</v>
      </c>
      <c r="M19" s="382">
        <v>110</v>
      </c>
      <c r="N19" s="382">
        <v>228.8</v>
      </c>
      <c r="O19" s="382">
        <v>170.9</v>
      </c>
      <c r="P19" s="389" t="s">
        <v>857</v>
      </c>
      <c r="R19" s="338"/>
      <c r="T19" s="338"/>
      <c r="U19" s="338"/>
      <c r="V19" s="338"/>
      <c r="W19" s="338"/>
      <c r="X19" s="338"/>
      <c r="Y19" s="338"/>
      <c r="Z19" s="338"/>
      <c r="AA19" s="338"/>
      <c r="AB19" s="338"/>
      <c r="AC19" s="338"/>
    </row>
    <row r="20" spans="1:29" ht="24.6">
      <c r="A20" s="377" t="s">
        <v>1003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O20" s="338"/>
      <c r="P20" s="365" t="s">
        <v>999</v>
      </c>
      <c r="R20" s="338"/>
      <c r="T20" s="338"/>
      <c r="U20" s="338"/>
      <c r="V20" s="338"/>
      <c r="W20" s="338"/>
      <c r="X20" s="338"/>
      <c r="Y20" s="338"/>
      <c r="Z20" s="338"/>
      <c r="AA20" s="338"/>
      <c r="AB20" s="338"/>
      <c r="AC20" s="338"/>
    </row>
    <row r="21" spans="1:29" ht="24.6">
      <c r="A21" s="374"/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4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</row>
    <row r="22" spans="1:29" ht="24.6">
      <c r="A22" s="338"/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  <c r="AA22" s="338"/>
      <c r="AB22" s="338"/>
      <c r="AC22" s="338"/>
    </row>
    <row r="23" spans="1:29" ht="24.6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</row>
    <row r="24" spans="1:29" ht="24.6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8"/>
      <c r="T24" s="338"/>
      <c r="U24" s="338"/>
      <c r="V24" s="338"/>
      <c r="W24" s="338"/>
      <c r="X24" s="338"/>
      <c r="Y24" s="338"/>
      <c r="Z24" s="338"/>
      <c r="AA24" s="338"/>
      <c r="AB24" s="338"/>
      <c r="AC24" s="3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AF35"/>
  <sheetViews>
    <sheetView topLeftCell="G1" zoomScale="43" workbookViewId="0">
      <selection activeCell="AI12" sqref="AI12"/>
    </sheetView>
  </sheetViews>
  <sheetFormatPr baseColWidth="10" defaultRowHeight="14.4"/>
  <cols>
    <col min="1" max="1" width="16.5546875" customWidth="1"/>
    <col min="2" max="2" width="24.109375" customWidth="1"/>
    <col min="3" max="3" width="14.21875" customWidth="1"/>
    <col min="4" max="4" width="14.44140625" customWidth="1"/>
    <col min="5" max="5" width="13.5546875" customWidth="1"/>
    <col min="6" max="6" width="14.109375" customWidth="1"/>
    <col min="7" max="8" width="14.77734375" customWidth="1"/>
    <col min="9" max="10" width="14.109375" customWidth="1"/>
    <col min="11" max="11" width="16.21875" customWidth="1"/>
    <col min="12" max="12" width="13.33203125" customWidth="1"/>
    <col min="13" max="13" width="14.109375" customWidth="1"/>
    <col min="14" max="14" width="13.33203125" customWidth="1"/>
    <col min="15" max="15" width="15" customWidth="1"/>
    <col min="16" max="16" width="16" customWidth="1"/>
    <col min="17" max="17" width="13.88671875" customWidth="1"/>
    <col min="18" max="18" width="14.5546875" customWidth="1"/>
    <col min="19" max="19" width="16.21875" customWidth="1"/>
    <col min="20" max="20" width="13.5546875" customWidth="1"/>
    <col min="21" max="21" width="13.33203125" customWidth="1"/>
    <col min="22" max="23" width="13.6640625" customWidth="1"/>
    <col min="24" max="24" width="14.44140625" customWidth="1"/>
    <col min="25" max="25" width="15.109375" customWidth="1"/>
    <col min="26" max="26" width="15" customWidth="1"/>
    <col min="27" max="27" width="14.21875" customWidth="1"/>
    <col min="28" max="28" width="14.109375" customWidth="1"/>
    <col min="29" max="29" width="16.88671875" customWidth="1"/>
    <col min="30" max="30" width="15.6640625" customWidth="1"/>
    <col min="31" max="31" width="24.109375" customWidth="1"/>
    <col min="32" max="32" width="30.21875" customWidth="1"/>
  </cols>
  <sheetData>
    <row r="2" spans="1:32" ht="20.399999999999999">
      <c r="AF2" s="308" t="s">
        <v>79</v>
      </c>
    </row>
    <row r="3" spans="1:32" ht="20.399999999999999">
      <c r="A3" s="308" t="s">
        <v>80</v>
      </c>
    </row>
    <row r="4" spans="1:32" ht="30.6" thickBot="1">
      <c r="A4" s="831" t="s">
        <v>64</v>
      </c>
      <c r="B4" s="832"/>
      <c r="AE4" s="831" t="s">
        <v>21</v>
      </c>
      <c r="AF4" s="832"/>
    </row>
    <row r="5" spans="1:32" ht="30.6" thickBot="1">
      <c r="A5" s="302" t="s">
        <v>81</v>
      </c>
      <c r="B5" s="302" t="s">
        <v>82</v>
      </c>
      <c r="C5" s="302">
        <v>1995</v>
      </c>
      <c r="D5" s="302">
        <v>1996</v>
      </c>
      <c r="E5" s="302">
        <v>1997</v>
      </c>
      <c r="F5" s="302">
        <v>1998</v>
      </c>
      <c r="G5" s="302">
        <v>1999</v>
      </c>
      <c r="H5" s="302">
        <v>2000</v>
      </c>
      <c r="I5" s="302">
        <v>2001</v>
      </c>
      <c r="J5" s="302">
        <v>2002</v>
      </c>
      <c r="K5" s="302">
        <v>2003</v>
      </c>
      <c r="L5" s="302">
        <v>2004</v>
      </c>
      <c r="M5" s="302">
        <v>2005</v>
      </c>
      <c r="N5" s="302">
        <v>2006</v>
      </c>
      <c r="O5" s="302">
        <v>2007</v>
      </c>
      <c r="P5" s="302">
        <v>2008</v>
      </c>
      <c r="Q5" s="302">
        <v>2009</v>
      </c>
      <c r="R5" s="302">
        <v>2010</v>
      </c>
      <c r="S5" s="302">
        <v>2011</v>
      </c>
      <c r="T5" s="302">
        <v>2012</v>
      </c>
      <c r="U5" s="302">
        <v>2013</v>
      </c>
      <c r="V5" s="302">
        <v>2014</v>
      </c>
      <c r="W5" s="302">
        <v>2015</v>
      </c>
      <c r="X5" s="302">
        <v>2016</v>
      </c>
      <c r="Y5" s="302">
        <v>2017</v>
      </c>
      <c r="Z5" s="302">
        <v>2018</v>
      </c>
      <c r="AA5" s="302">
        <v>2019</v>
      </c>
      <c r="AB5" s="302">
        <v>2020</v>
      </c>
      <c r="AC5" s="302">
        <v>2021</v>
      </c>
      <c r="AD5" s="302">
        <v>2022</v>
      </c>
      <c r="AE5" s="302" t="s">
        <v>83</v>
      </c>
      <c r="AF5" s="302" t="s">
        <v>84</v>
      </c>
    </row>
    <row r="6" spans="1:32" ht="26.4">
      <c r="A6" s="310" t="s">
        <v>85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</row>
    <row r="7" spans="1:32" ht="26.4">
      <c r="A7" s="310"/>
      <c r="B7" s="310" t="s">
        <v>86</v>
      </c>
      <c r="C7" s="310">
        <v>143367</v>
      </c>
      <c r="D7" s="310">
        <v>87485</v>
      </c>
      <c r="E7" s="310">
        <v>75814</v>
      </c>
      <c r="F7" s="310">
        <v>113495</v>
      </c>
      <c r="G7" s="310">
        <v>124804</v>
      </c>
      <c r="H7" s="310">
        <v>151897</v>
      </c>
      <c r="I7" s="310">
        <v>186140</v>
      </c>
      <c r="J7" s="310">
        <v>201174</v>
      </c>
      <c r="K7" s="310">
        <v>149583</v>
      </c>
      <c r="L7" s="310">
        <v>287809</v>
      </c>
      <c r="M7" s="310">
        <v>235758</v>
      </c>
      <c r="N7" s="310">
        <v>229926</v>
      </c>
      <c r="O7" s="310">
        <v>300216</v>
      </c>
      <c r="P7" s="310">
        <v>375661</v>
      </c>
      <c r="Q7" s="310">
        <v>359772</v>
      </c>
      <c r="R7" s="310">
        <v>459655</v>
      </c>
      <c r="S7" s="310">
        <v>260334</v>
      </c>
      <c r="T7" s="310">
        <v>170791</v>
      </c>
      <c r="U7" s="310">
        <v>111789</v>
      </c>
      <c r="V7" s="310">
        <v>241860</v>
      </c>
      <c r="W7" s="310">
        <v>194072</v>
      </c>
      <c r="X7" s="310">
        <v>255274</v>
      </c>
      <c r="Y7" s="310">
        <v>224555</v>
      </c>
      <c r="Z7" s="310">
        <v>242776</v>
      </c>
      <c r="AA7" s="310">
        <v>385997</v>
      </c>
      <c r="AB7" s="310">
        <v>230909</v>
      </c>
      <c r="AC7" s="310">
        <v>134415</v>
      </c>
      <c r="AD7" s="310">
        <v>158100</v>
      </c>
      <c r="AE7" s="310" t="s">
        <v>87</v>
      </c>
      <c r="AF7" s="310" t="s">
        <v>88</v>
      </c>
    </row>
    <row r="8" spans="1:32" ht="26.4">
      <c r="A8" s="310"/>
      <c r="B8" s="310" t="s">
        <v>89</v>
      </c>
      <c r="C8" s="310">
        <v>103458</v>
      </c>
      <c r="D8" s="310">
        <v>257964</v>
      </c>
      <c r="E8" s="310">
        <v>242357</v>
      </c>
      <c r="F8" s="310">
        <v>278913</v>
      </c>
      <c r="G8" s="310">
        <v>241637</v>
      </c>
      <c r="H8" s="310">
        <v>133227</v>
      </c>
      <c r="I8" s="310">
        <v>18543</v>
      </c>
      <c r="J8" s="310">
        <v>167248</v>
      </c>
      <c r="K8" s="310">
        <v>109947</v>
      </c>
      <c r="L8" s="310">
        <v>122217</v>
      </c>
      <c r="M8" s="310">
        <v>153889</v>
      </c>
      <c r="N8" s="310">
        <v>55687</v>
      </c>
      <c r="O8" s="310">
        <v>173865</v>
      </c>
      <c r="P8" s="310">
        <v>188453</v>
      </c>
      <c r="Q8" s="310">
        <v>132552</v>
      </c>
      <c r="R8" s="310">
        <v>162001</v>
      </c>
      <c r="S8" s="310">
        <v>251660</v>
      </c>
      <c r="T8" s="310">
        <v>205624</v>
      </c>
      <c r="U8" s="310">
        <v>65683</v>
      </c>
      <c r="V8" s="310">
        <v>163473</v>
      </c>
      <c r="W8" s="310">
        <v>123998</v>
      </c>
      <c r="X8" s="310">
        <v>291080</v>
      </c>
      <c r="Y8" s="310">
        <v>197375</v>
      </c>
      <c r="Z8" s="310">
        <v>311238</v>
      </c>
      <c r="AA8" s="310">
        <v>184290</v>
      </c>
      <c r="AB8" s="310">
        <v>160017</v>
      </c>
      <c r="AC8" s="310">
        <v>56594</v>
      </c>
      <c r="AD8" s="310">
        <v>92904</v>
      </c>
      <c r="AE8" s="310" t="s">
        <v>90</v>
      </c>
      <c r="AF8" s="310"/>
    </row>
    <row r="9" spans="1:32" ht="26.4">
      <c r="A9" s="310"/>
      <c r="B9" s="310" t="s">
        <v>91</v>
      </c>
      <c r="C9" s="310">
        <v>981</v>
      </c>
      <c r="D9" s="310">
        <v>3611</v>
      </c>
      <c r="E9" s="310">
        <v>34513</v>
      </c>
      <c r="F9" s="310">
        <v>79439</v>
      </c>
      <c r="G9" s="310">
        <v>93739</v>
      </c>
      <c r="H9" s="310">
        <v>91442</v>
      </c>
      <c r="I9" s="310">
        <v>98133</v>
      </c>
      <c r="J9" s="310">
        <v>105172</v>
      </c>
      <c r="K9" s="310">
        <v>116598</v>
      </c>
      <c r="L9" s="310">
        <v>139563</v>
      </c>
      <c r="M9" s="310">
        <v>79749</v>
      </c>
      <c r="N9" s="310">
        <v>81251</v>
      </c>
      <c r="O9" s="310">
        <v>119583</v>
      </c>
      <c r="P9" s="310">
        <v>106396</v>
      </c>
      <c r="Q9" s="310">
        <v>100588</v>
      </c>
      <c r="R9" s="310">
        <v>110208</v>
      </c>
      <c r="S9" s="310">
        <v>110332</v>
      </c>
      <c r="T9" s="310">
        <v>63191</v>
      </c>
      <c r="U9" s="310">
        <v>2555</v>
      </c>
      <c r="V9" s="310">
        <v>1641.7</v>
      </c>
      <c r="W9" s="310">
        <v>1438</v>
      </c>
      <c r="X9" s="310">
        <v>1569</v>
      </c>
      <c r="Y9" s="310">
        <v>1751</v>
      </c>
      <c r="Z9" s="310">
        <v>1490</v>
      </c>
      <c r="AA9" s="310">
        <v>0</v>
      </c>
      <c r="AB9" s="310">
        <v>484</v>
      </c>
      <c r="AC9" s="310">
        <v>1153</v>
      </c>
      <c r="AD9" s="310">
        <v>1705</v>
      </c>
      <c r="AE9" s="310" t="s">
        <v>92</v>
      </c>
      <c r="AF9" s="310"/>
    </row>
    <row r="10" spans="1:32" ht="26.4">
      <c r="A10" s="310"/>
      <c r="B10" s="310" t="s">
        <v>93</v>
      </c>
      <c r="C10" s="310">
        <v>59134</v>
      </c>
      <c r="D10" s="310">
        <v>84955</v>
      </c>
      <c r="E10" s="310">
        <v>57046</v>
      </c>
      <c r="F10" s="310">
        <v>41266</v>
      </c>
      <c r="G10" s="310">
        <v>27312</v>
      </c>
      <c r="H10" s="310">
        <v>55295</v>
      </c>
      <c r="I10" s="310">
        <v>56835</v>
      </c>
      <c r="J10" s="310">
        <v>78572</v>
      </c>
      <c r="K10" s="310">
        <v>80675</v>
      </c>
      <c r="L10" s="310">
        <v>93462</v>
      </c>
      <c r="M10" s="310">
        <v>38457</v>
      </c>
      <c r="N10" s="310">
        <v>23582</v>
      </c>
      <c r="O10" s="310">
        <v>79218</v>
      </c>
      <c r="P10" s="310">
        <v>64853</v>
      </c>
      <c r="Q10" s="310">
        <v>46494</v>
      </c>
      <c r="R10" s="310">
        <v>75457</v>
      </c>
      <c r="S10" s="310">
        <v>83576</v>
      </c>
      <c r="T10" s="310">
        <v>59188</v>
      </c>
      <c r="U10" s="310">
        <v>40169</v>
      </c>
      <c r="V10" s="310">
        <v>82514</v>
      </c>
      <c r="W10" s="310">
        <v>86207</v>
      </c>
      <c r="X10" s="310">
        <v>87346</v>
      </c>
      <c r="Y10" s="310">
        <v>123674</v>
      </c>
      <c r="Z10" s="310">
        <v>200241</v>
      </c>
      <c r="AA10" s="310">
        <v>75264</v>
      </c>
      <c r="AB10" s="310">
        <v>110012</v>
      </c>
      <c r="AC10" s="310">
        <v>120779</v>
      </c>
      <c r="AD10" s="310">
        <v>66069</v>
      </c>
      <c r="AE10" s="310" t="s">
        <v>94</v>
      </c>
      <c r="AF10" s="310"/>
    </row>
    <row r="11" spans="1:32" ht="26.4">
      <c r="A11" s="310"/>
      <c r="B11" s="310" t="s">
        <v>95</v>
      </c>
      <c r="C11" s="310">
        <v>19394</v>
      </c>
      <c r="D11" s="310">
        <v>31980</v>
      </c>
      <c r="E11" s="310">
        <v>32277</v>
      </c>
      <c r="F11" s="310">
        <v>18669</v>
      </c>
      <c r="G11" s="310">
        <v>13277</v>
      </c>
      <c r="H11" s="310">
        <v>20990</v>
      </c>
      <c r="I11" s="310">
        <v>176394</v>
      </c>
      <c r="J11" s="310">
        <v>35321</v>
      </c>
      <c r="K11" s="310">
        <v>47182</v>
      </c>
      <c r="L11" s="310">
        <v>66601</v>
      </c>
      <c r="M11" s="310">
        <v>62269</v>
      </c>
      <c r="N11" s="310">
        <v>53258</v>
      </c>
      <c r="O11" s="310">
        <v>83682</v>
      </c>
      <c r="P11" s="310">
        <v>81284</v>
      </c>
      <c r="Q11" s="310">
        <v>97638</v>
      </c>
      <c r="R11" s="310">
        <v>100728</v>
      </c>
      <c r="S11" s="310">
        <v>202831</v>
      </c>
      <c r="T11" s="310">
        <v>92727</v>
      </c>
      <c r="U11" s="310">
        <v>21580</v>
      </c>
      <c r="V11" s="310">
        <v>60734</v>
      </c>
      <c r="W11" s="310">
        <v>18036</v>
      </c>
      <c r="X11" s="310">
        <v>83546</v>
      </c>
      <c r="Y11" s="310">
        <v>166613</v>
      </c>
      <c r="Z11" s="310">
        <v>380321</v>
      </c>
      <c r="AA11" s="310">
        <v>333891</v>
      </c>
      <c r="AB11" s="310">
        <v>327590</v>
      </c>
      <c r="AC11" s="310">
        <v>255406</v>
      </c>
      <c r="AD11" s="310">
        <v>226146</v>
      </c>
      <c r="AE11" s="310" t="s">
        <v>96</v>
      </c>
      <c r="AF11" s="310"/>
    </row>
    <row r="12" spans="1:32" ht="26.4">
      <c r="A12" s="310"/>
      <c r="B12" s="310" t="s">
        <v>97</v>
      </c>
      <c r="C12" s="310">
        <v>92567</v>
      </c>
      <c r="D12" s="310">
        <v>123286</v>
      </c>
      <c r="E12" s="310">
        <v>71749</v>
      </c>
      <c r="F12" s="310">
        <v>26649</v>
      </c>
      <c r="G12" s="310">
        <v>6352</v>
      </c>
      <c r="H12" s="310">
        <v>5242</v>
      </c>
      <c r="I12" s="310">
        <v>8792</v>
      </c>
      <c r="J12" s="310">
        <v>11109</v>
      </c>
      <c r="K12" s="310">
        <v>7284</v>
      </c>
      <c r="L12" s="310">
        <v>15431</v>
      </c>
      <c r="M12" s="310">
        <v>8029</v>
      </c>
      <c r="N12" s="310">
        <v>4311</v>
      </c>
      <c r="O12" s="310">
        <v>7103</v>
      </c>
      <c r="P12" s="310">
        <v>2128</v>
      </c>
      <c r="Q12" s="310">
        <v>2294</v>
      </c>
      <c r="R12" s="310">
        <v>3620</v>
      </c>
      <c r="S12" s="310">
        <v>13042</v>
      </c>
      <c r="T12" s="310">
        <v>6865</v>
      </c>
      <c r="U12" s="310">
        <v>2046</v>
      </c>
      <c r="V12" s="310">
        <v>4473</v>
      </c>
      <c r="W12" s="310">
        <v>1385</v>
      </c>
      <c r="X12" s="310">
        <v>3749</v>
      </c>
      <c r="Y12" s="310">
        <v>3019</v>
      </c>
      <c r="Z12" s="310">
        <v>1568</v>
      </c>
      <c r="AA12" s="310">
        <v>4101</v>
      </c>
      <c r="AB12" s="310">
        <v>1266</v>
      </c>
      <c r="AC12" s="310">
        <v>3192</v>
      </c>
      <c r="AD12" s="310">
        <v>2976</v>
      </c>
      <c r="AE12" s="310" t="s">
        <v>98</v>
      </c>
      <c r="AF12" s="310"/>
    </row>
    <row r="13" spans="1:32" ht="26.4">
      <c r="A13" s="310"/>
      <c r="B13" s="310" t="s">
        <v>99</v>
      </c>
      <c r="C13" s="310">
        <v>331</v>
      </c>
      <c r="D13" s="310">
        <v>3099</v>
      </c>
      <c r="E13" s="310">
        <v>2789</v>
      </c>
      <c r="F13" s="310">
        <v>4424</v>
      </c>
      <c r="G13" s="310">
        <v>3024</v>
      </c>
      <c r="H13" s="310">
        <v>1933</v>
      </c>
      <c r="I13" s="310">
        <v>3188</v>
      </c>
      <c r="J13" s="310">
        <v>3969</v>
      </c>
      <c r="K13" s="310">
        <v>1676</v>
      </c>
      <c r="L13" s="310">
        <v>2728</v>
      </c>
      <c r="M13" s="310">
        <v>2161</v>
      </c>
      <c r="N13" s="310">
        <v>1523</v>
      </c>
      <c r="O13" s="310">
        <v>993</v>
      </c>
      <c r="P13" s="310">
        <v>2580</v>
      </c>
      <c r="Q13" s="310">
        <v>3937</v>
      </c>
      <c r="R13" s="310">
        <v>11194</v>
      </c>
      <c r="S13" s="310">
        <v>16458</v>
      </c>
      <c r="T13" s="310">
        <v>5838</v>
      </c>
      <c r="U13" s="310">
        <v>798</v>
      </c>
      <c r="V13" s="310">
        <v>2011</v>
      </c>
      <c r="W13" s="310">
        <v>4846</v>
      </c>
      <c r="X13" s="310">
        <v>8056</v>
      </c>
      <c r="Y13" s="310">
        <v>11623</v>
      </c>
      <c r="Z13" s="310">
        <v>10870</v>
      </c>
      <c r="AA13" s="310">
        <v>963</v>
      </c>
      <c r="AB13" s="310">
        <v>12968</v>
      </c>
      <c r="AC13" s="310">
        <v>8615</v>
      </c>
      <c r="AD13" s="310">
        <v>19234</v>
      </c>
      <c r="AE13" s="310" t="s">
        <v>100</v>
      </c>
      <c r="AF13" s="310"/>
    </row>
    <row r="14" spans="1:32" ht="26.4">
      <c r="A14" s="310"/>
      <c r="B14" s="310" t="s">
        <v>101</v>
      </c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>
        <v>7409</v>
      </c>
      <c r="Y14" s="310">
        <v>52051</v>
      </c>
      <c r="Z14" s="310">
        <v>52273</v>
      </c>
      <c r="AA14" s="310">
        <v>24752</v>
      </c>
      <c r="AB14" s="310">
        <v>42662</v>
      </c>
      <c r="AC14" s="310">
        <v>31716</v>
      </c>
      <c r="AD14" s="310">
        <v>32754</v>
      </c>
      <c r="AE14" s="310"/>
      <c r="AF14" s="310"/>
    </row>
    <row r="15" spans="1:32" ht="26.4">
      <c r="A15" s="310" t="s">
        <v>48</v>
      </c>
      <c r="B15" s="310"/>
      <c r="C15" s="310">
        <v>419232</v>
      </c>
      <c r="D15" s="310">
        <v>592380</v>
      </c>
      <c r="E15" s="310">
        <v>516545</v>
      </c>
      <c r="F15" s="310">
        <v>562855</v>
      </c>
      <c r="G15" s="310">
        <v>510145</v>
      </c>
      <c r="H15" s="310">
        <v>460026</v>
      </c>
      <c r="I15" s="310">
        <v>548025</v>
      </c>
      <c r="J15" s="310">
        <v>602565</v>
      </c>
      <c r="K15" s="310">
        <v>512945</v>
      </c>
      <c r="L15" s="310">
        <v>727811</v>
      </c>
      <c r="M15" s="310">
        <v>580312</v>
      </c>
      <c r="N15" s="310">
        <v>449538</v>
      </c>
      <c r="O15" s="310">
        <v>764660</v>
      </c>
      <c r="P15" s="310">
        <v>821355</v>
      </c>
      <c r="Q15" s="310">
        <v>743275</v>
      </c>
      <c r="R15" s="310">
        <v>922863</v>
      </c>
      <c r="S15" s="310">
        <v>938233</v>
      </c>
      <c r="T15" s="310">
        <v>604224</v>
      </c>
      <c r="U15" s="310">
        <v>244620</v>
      </c>
      <c r="V15" s="310">
        <v>556706.69999999995</v>
      </c>
      <c r="W15" s="310">
        <v>429982</v>
      </c>
      <c r="X15" s="310">
        <v>738029</v>
      </c>
      <c r="Y15" s="310">
        <v>780661</v>
      </c>
      <c r="Z15" s="310">
        <v>1200777</v>
      </c>
      <c r="AA15" s="310">
        <v>1009258</v>
      </c>
      <c r="AB15" s="310">
        <v>885908</v>
      </c>
      <c r="AC15" s="310">
        <v>611871</v>
      </c>
      <c r="AD15" s="310">
        <v>599888</v>
      </c>
      <c r="AE15" s="310"/>
      <c r="AF15" s="310" t="s">
        <v>4</v>
      </c>
    </row>
    <row r="16" spans="1:32" ht="26.4">
      <c r="A16" s="310" t="s">
        <v>102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 t="s">
        <v>103</v>
      </c>
    </row>
    <row r="17" spans="1:32" ht="26.4">
      <c r="A17" s="310"/>
      <c r="B17" s="310" t="s">
        <v>104</v>
      </c>
      <c r="C17" s="310">
        <v>16970</v>
      </c>
      <c r="D17" s="310">
        <v>21758</v>
      </c>
      <c r="E17" s="310">
        <v>28038</v>
      </c>
      <c r="F17" s="310">
        <v>27615</v>
      </c>
      <c r="G17" s="310">
        <v>20735</v>
      </c>
      <c r="H17" s="310">
        <v>17747</v>
      </c>
      <c r="I17" s="310">
        <v>23793</v>
      </c>
      <c r="J17" s="310">
        <v>15284</v>
      </c>
      <c r="K17" s="310">
        <v>32174</v>
      </c>
      <c r="L17" s="310">
        <v>20714</v>
      </c>
      <c r="M17" s="310">
        <v>16938</v>
      </c>
      <c r="N17" s="310">
        <v>9312</v>
      </c>
      <c r="O17" s="310">
        <v>18413</v>
      </c>
      <c r="P17" s="310">
        <v>12827</v>
      </c>
      <c r="Q17" s="310">
        <v>17507</v>
      </c>
      <c r="R17" s="310">
        <v>21513</v>
      </c>
      <c r="S17" s="310">
        <v>26607</v>
      </c>
      <c r="T17" s="310">
        <v>14463</v>
      </c>
      <c r="U17" s="310">
        <v>16190</v>
      </c>
      <c r="V17" s="310">
        <v>15532</v>
      </c>
      <c r="W17" s="310">
        <v>22446</v>
      </c>
      <c r="X17" s="310">
        <v>45519</v>
      </c>
      <c r="Y17" s="310">
        <v>24944</v>
      </c>
      <c r="Z17" s="310">
        <v>21789</v>
      </c>
      <c r="AA17" s="310">
        <v>16658</v>
      </c>
      <c r="AB17" s="310">
        <v>20251</v>
      </c>
      <c r="AC17" s="310">
        <v>17937</v>
      </c>
      <c r="AD17" s="310">
        <v>15809</v>
      </c>
      <c r="AE17" s="310" t="s">
        <v>105</v>
      </c>
      <c r="AF17" s="310"/>
    </row>
    <row r="18" spans="1:32" ht="26.4">
      <c r="A18" s="310"/>
      <c r="B18" s="310" t="s">
        <v>106</v>
      </c>
      <c r="C18" s="310">
        <v>10546</v>
      </c>
      <c r="D18" s="310">
        <v>10992</v>
      </c>
      <c r="E18" s="310">
        <v>9453</v>
      </c>
      <c r="F18" s="310">
        <v>8477</v>
      </c>
      <c r="G18" s="310">
        <v>10307</v>
      </c>
      <c r="H18" s="310">
        <v>11766</v>
      </c>
      <c r="I18" s="310">
        <v>13361</v>
      </c>
      <c r="J18" s="310">
        <v>2132</v>
      </c>
      <c r="K18" s="310">
        <v>19769</v>
      </c>
      <c r="L18" s="310">
        <v>10356</v>
      </c>
      <c r="M18" s="310">
        <v>8799</v>
      </c>
      <c r="N18" s="310">
        <v>8090</v>
      </c>
      <c r="O18" s="310">
        <v>7469</v>
      </c>
      <c r="P18" s="310">
        <v>6164</v>
      </c>
      <c r="Q18" s="310">
        <v>6826</v>
      </c>
      <c r="R18" s="310">
        <v>4836</v>
      </c>
      <c r="S18" s="310">
        <v>6834</v>
      </c>
      <c r="T18" s="310">
        <v>6433</v>
      </c>
      <c r="U18" s="310">
        <v>4421</v>
      </c>
      <c r="V18" s="310">
        <v>7011</v>
      </c>
      <c r="W18" s="310">
        <v>6152</v>
      </c>
      <c r="X18" s="310">
        <v>16382</v>
      </c>
      <c r="Y18" s="310">
        <v>12150</v>
      </c>
      <c r="Z18" s="310">
        <v>14032</v>
      </c>
      <c r="AA18" s="310">
        <v>12189</v>
      </c>
      <c r="AB18" s="310">
        <v>12053</v>
      </c>
      <c r="AC18" s="310">
        <v>13237</v>
      </c>
      <c r="AD18" s="310">
        <v>9504</v>
      </c>
      <c r="AE18" s="310" t="s">
        <v>107</v>
      </c>
      <c r="AF18" s="310"/>
    </row>
    <row r="19" spans="1:32" ht="26.4">
      <c r="A19" s="310"/>
      <c r="B19" s="310" t="s">
        <v>108</v>
      </c>
      <c r="C19" s="310">
        <v>2940</v>
      </c>
      <c r="D19" s="310">
        <v>3489</v>
      </c>
      <c r="E19" s="310">
        <v>3096</v>
      </c>
      <c r="F19" s="310">
        <v>1871</v>
      </c>
      <c r="G19" s="310">
        <v>2028</v>
      </c>
      <c r="H19" s="310">
        <v>1368</v>
      </c>
      <c r="I19" s="310">
        <v>2285</v>
      </c>
      <c r="J19" s="310">
        <v>2440</v>
      </c>
      <c r="K19" s="310">
        <v>3365</v>
      </c>
      <c r="L19" s="310">
        <v>1862</v>
      </c>
      <c r="M19" s="310">
        <v>1835</v>
      </c>
      <c r="N19" s="310">
        <v>905</v>
      </c>
      <c r="O19" s="310">
        <v>1050</v>
      </c>
      <c r="P19" s="310">
        <v>976</v>
      </c>
      <c r="Q19" s="310">
        <v>1922</v>
      </c>
      <c r="R19" s="310">
        <v>2163</v>
      </c>
      <c r="S19" s="310">
        <v>2492</v>
      </c>
      <c r="T19" s="310">
        <v>1425</v>
      </c>
      <c r="U19" s="310">
        <v>869</v>
      </c>
      <c r="V19" s="310">
        <v>2798</v>
      </c>
      <c r="W19" s="310">
        <v>2958</v>
      </c>
      <c r="X19" s="310">
        <v>5064</v>
      </c>
      <c r="Y19" s="310">
        <v>7493</v>
      </c>
      <c r="Z19" s="310">
        <v>6514</v>
      </c>
      <c r="AA19" s="310">
        <v>7052</v>
      </c>
      <c r="AB19" s="310">
        <v>3399</v>
      </c>
      <c r="AC19" s="310">
        <v>5750</v>
      </c>
      <c r="AD19" s="310">
        <v>5098</v>
      </c>
      <c r="AE19" s="310" t="s">
        <v>109</v>
      </c>
      <c r="AF19" s="310"/>
    </row>
    <row r="20" spans="1:32" ht="26.4">
      <c r="A20" s="310"/>
      <c r="B20" s="310" t="s">
        <v>110</v>
      </c>
      <c r="C20" s="310">
        <v>78</v>
      </c>
      <c r="D20" s="310">
        <v>35</v>
      </c>
      <c r="E20" s="310">
        <v>33</v>
      </c>
      <c r="F20" s="310">
        <v>36</v>
      </c>
      <c r="G20" s="310">
        <v>4</v>
      </c>
      <c r="H20" s="310">
        <v>14</v>
      </c>
      <c r="I20" s="310">
        <v>65</v>
      </c>
      <c r="J20" s="310">
        <v>39</v>
      </c>
      <c r="K20" s="310"/>
      <c r="L20" s="310">
        <v>180</v>
      </c>
      <c r="M20" s="310">
        <v>72</v>
      </c>
      <c r="N20" s="310">
        <v>1286</v>
      </c>
      <c r="O20" s="310">
        <v>498</v>
      </c>
      <c r="P20" s="310">
        <v>297</v>
      </c>
      <c r="Q20" s="310">
        <v>211</v>
      </c>
      <c r="R20" s="310">
        <v>176</v>
      </c>
      <c r="S20" s="310">
        <v>230</v>
      </c>
      <c r="T20" s="310">
        <v>82</v>
      </c>
      <c r="U20" s="310">
        <v>2</v>
      </c>
      <c r="V20" s="310">
        <v>284.5</v>
      </c>
      <c r="W20" s="310">
        <v>153</v>
      </c>
      <c r="X20" s="310">
        <v>540</v>
      </c>
      <c r="Y20" s="310">
        <v>0</v>
      </c>
      <c r="Z20" s="310">
        <v>0</v>
      </c>
      <c r="AA20" s="310">
        <v>0</v>
      </c>
      <c r="AB20" s="310">
        <v>0</v>
      </c>
      <c r="AC20" s="310"/>
      <c r="AD20" s="310"/>
      <c r="AE20" s="310" t="s">
        <v>111</v>
      </c>
      <c r="AF20" s="310"/>
    </row>
    <row r="21" spans="1:32" ht="26.4">
      <c r="A21" s="310" t="s">
        <v>48</v>
      </c>
      <c r="B21" s="310"/>
      <c r="C21" s="310">
        <v>30534</v>
      </c>
      <c r="D21" s="310">
        <v>36274</v>
      </c>
      <c r="E21" s="310">
        <v>40620</v>
      </c>
      <c r="F21" s="310">
        <v>37999</v>
      </c>
      <c r="G21" s="310">
        <v>33074</v>
      </c>
      <c r="H21" s="310">
        <v>30895</v>
      </c>
      <c r="I21" s="310">
        <v>39504</v>
      </c>
      <c r="J21" s="310">
        <v>19895</v>
      </c>
      <c r="K21" s="310">
        <v>55308</v>
      </c>
      <c r="L21" s="310">
        <v>33112</v>
      </c>
      <c r="M21" s="310">
        <v>27644</v>
      </c>
      <c r="N21" s="310">
        <v>19593</v>
      </c>
      <c r="O21" s="310">
        <v>27430</v>
      </c>
      <c r="P21" s="310">
        <v>20264</v>
      </c>
      <c r="Q21" s="310">
        <v>26466</v>
      </c>
      <c r="R21" s="310">
        <v>28688</v>
      </c>
      <c r="S21" s="310">
        <v>36163</v>
      </c>
      <c r="T21" s="310">
        <v>22403</v>
      </c>
      <c r="U21" s="310">
        <v>21482</v>
      </c>
      <c r="V21" s="310">
        <v>25625.5</v>
      </c>
      <c r="W21" s="310">
        <v>31709</v>
      </c>
      <c r="X21" s="310">
        <v>67505</v>
      </c>
      <c r="Y21" s="310">
        <v>44587</v>
      </c>
      <c r="Z21" s="310">
        <v>42335</v>
      </c>
      <c r="AA21" s="310">
        <v>35899</v>
      </c>
      <c r="AB21" s="310">
        <v>35703</v>
      </c>
      <c r="AC21" s="310">
        <v>10525</v>
      </c>
      <c r="AD21" s="310">
        <v>30412</v>
      </c>
      <c r="AE21" s="310"/>
      <c r="AF21" s="310" t="s">
        <v>4</v>
      </c>
    </row>
    <row r="22" spans="1:32" ht="26.4">
      <c r="A22" s="310" t="s">
        <v>112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 t="s">
        <v>76</v>
      </c>
    </row>
    <row r="23" spans="1:32" ht="26.4">
      <c r="A23" s="310"/>
      <c r="B23" s="310" t="s">
        <v>113</v>
      </c>
      <c r="C23" s="310">
        <v>21316</v>
      </c>
      <c r="D23" s="310">
        <v>18412</v>
      </c>
      <c r="E23" s="310">
        <v>13628</v>
      </c>
      <c r="F23" s="310">
        <v>13349</v>
      </c>
      <c r="G23" s="310">
        <v>18492</v>
      </c>
      <c r="H23" s="310">
        <v>22234</v>
      </c>
      <c r="I23" s="310">
        <v>18346</v>
      </c>
      <c r="J23" s="310">
        <v>6279</v>
      </c>
      <c r="K23" s="310">
        <v>32116</v>
      </c>
      <c r="L23" s="310">
        <v>21563</v>
      </c>
      <c r="M23" s="310">
        <v>24790</v>
      </c>
      <c r="N23" s="310">
        <v>15589</v>
      </c>
      <c r="O23" s="310">
        <v>18634</v>
      </c>
      <c r="P23" s="310">
        <v>18306</v>
      </c>
      <c r="Q23" s="310">
        <v>20006</v>
      </c>
      <c r="R23" s="310">
        <v>9968</v>
      </c>
      <c r="S23" s="310">
        <v>13992</v>
      </c>
      <c r="T23" s="310">
        <v>18684</v>
      </c>
      <c r="U23" s="310">
        <v>12006</v>
      </c>
      <c r="V23" s="310">
        <v>15742.4</v>
      </c>
      <c r="W23" s="310">
        <v>10744</v>
      </c>
      <c r="X23" s="310">
        <v>8774</v>
      </c>
      <c r="Y23" s="310">
        <v>11330</v>
      </c>
      <c r="Z23" s="310">
        <v>11666</v>
      </c>
      <c r="AA23" s="310">
        <v>18934</v>
      </c>
      <c r="AB23" s="310">
        <v>9309</v>
      </c>
      <c r="AC23" s="310">
        <v>6696</v>
      </c>
      <c r="AD23" s="310">
        <v>12043</v>
      </c>
      <c r="AE23" s="310" t="s">
        <v>114</v>
      </c>
      <c r="AF23" s="310"/>
    </row>
    <row r="24" spans="1:32" ht="26.4">
      <c r="A24" s="310"/>
      <c r="B24" s="310" t="s">
        <v>115</v>
      </c>
      <c r="C24" s="310">
        <v>5094</v>
      </c>
      <c r="D24" s="310">
        <v>4195</v>
      </c>
      <c r="E24" s="310">
        <v>3038</v>
      </c>
      <c r="F24" s="310">
        <v>4235</v>
      </c>
      <c r="G24" s="310">
        <v>5477</v>
      </c>
      <c r="H24" s="310">
        <v>4694</v>
      </c>
      <c r="I24" s="310">
        <v>5955</v>
      </c>
      <c r="J24" s="310">
        <v>11163</v>
      </c>
      <c r="K24" s="310">
        <v>4311</v>
      </c>
      <c r="L24" s="310">
        <v>4602</v>
      </c>
      <c r="M24" s="310">
        <v>4559</v>
      </c>
      <c r="N24" s="310">
        <v>2831</v>
      </c>
      <c r="O24" s="310">
        <v>3912</v>
      </c>
      <c r="P24" s="310">
        <v>3407</v>
      </c>
      <c r="Q24" s="310">
        <v>4495</v>
      </c>
      <c r="R24" s="310">
        <v>3014</v>
      </c>
      <c r="S24" s="310">
        <v>2621</v>
      </c>
      <c r="T24" s="310">
        <v>4674</v>
      </c>
      <c r="U24" s="310">
        <v>4601</v>
      </c>
      <c r="V24" s="310">
        <v>1846</v>
      </c>
      <c r="W24" s="310">
        <v>2640</v>
      </c>
      <c r="X24" s="310">
        <v>1800</v>
      </c>
      <c r="Y24" s="310">
        <v>1988</v>
      </c>
      <c r="Z24" s="310">
        <v>1971</v>
      </c>
      <c r="AA24" s="310">
        <v>847</v>
      </c>
      <c r="AB24" s="310">
        <v>3776</v>
      </c>
      <c r="AC24" s="310">
        <v>1781</v>
      </c>
      <c r="AD24" s="310">
        <v>1784</v>
      </c>
      <c r="AE24" s="310" t="s">
        <v>116</v>
      </c>
      <c r="AF24" s="310"/>
    </row>
    <row r="25" spans="1:32" ht="26.4">
      <c r="A25" s="310"/>
      <c r="B25" s="310" t="s">
        <v>117</v>
      </c>
      <c r="C25" s="310">
        <v>3067</v>
      </c>
      <c r="D25" s="310">
        <v>2518</v>
      </c>
      <c r="E25" s="310">
        <v>2685</v>
      </c>
      <c r="F25" s="310">
        <v>2897</v>
      </c>
      <c r="G25" s="310">
        <v>4942</v>
      </c>
      <c r="H25" s="310">
        <v>3338</v>
      </c>
      <c r="I25" s="310">
        <v>3387</v>
      </c>
      <c r="J25" s="310">
        <v>1883</v>
      </c>
      <c r="K25" s="310">
        <v>1757</v>
      </c>
      <c r="L25" s="310">
        <v>1193</v>
      </c>
      <c r="M25" s="310">
        <v>1488</v>
      </c>
      <c r="N25" s="310">
        <v>603</v>
      </c>
      <c r="O25" s="310">
        <v>1523</v>
      </c>
      <c r="P25" s="310">
        <v>1929</v>
      </c>
      <c r="Q25" s="310">
        <v>1923</v>
      </c>
      <c r="R25" s="310">
        <v>1209</v>
      </c>
      <c r="S25" s="310">
        <v>1173</v>
      </c>
      <c r="T25" s="310">
        <v>1928</v>
      </c>
      <c r="U25" s="310">
        <v>2141</v>
      </c>
      <c r="V25" s="310">
        <v>2310</v>
      </c>
      <c r="W25" s="310">
        <v>3040</v>
      </c>
      <c r="X25" s="310">
        <v>2963</v>
      </c>
      <c r="Y25" s="310">
        <v>2821</v>
      </c>
      <c r="Z25" s="310">
        <v>2732</v>
      </c>
      <c r="AA25" s="310">
        <v>809</v>
      </c>
      <c r="AB25" s="310">
        <v>2848</v>
      </c>
      <c r="AC25" s="310">
        <v>2047</v>
      </c>
      <c r="AD25" s="310">
        <v>1995</v>
      </c>
      <c r="AE25" s="310" t="s">
        <v>118</v>
      </c>
      <c r="AF25" s="310"/>
    </row>
    <row r="26" spans="1:32" ht="26.4">
      <c r="A26" s="310"/>
      <c r="B26" s="310" t="s">
        <v>119</v>
      </c>
      <c r="C26" s="310">
        <v>274</v>
      </c>
      <c r="D26" s="310">
        <v>295</v>
      </c>
      <c r="E26" s="310">
        <v>271</v>
      </c>
      <c r="F26" s="310">
        <v>276</v>
      </c>
      <c r="G26" s="310">
        <v>369</v>
      </c>
      <c r="H26" s="310">
        <v>362</v>
      </c>
      <c r="I26" s="310">
        <v>211</v>
      </c>
      <c r="J26" s="310">
        <v>485</v>
      </c>
      <c r="K26" s="310">
        <v>331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10"/>
      <c r="U26" s="310"/>
      <c r="V26" s="310">
        <v>39</v>
      </c>
      <c r="W26" s="310"/>
      <c r="X26" s="310"/>
      <c r="Y26" s="310"/>
      <c r="Z26" s="310"/>
      <c r="AA26" s="310"/>
      <c r="AB26" s="310"/>
      <c r="AC26" s="310"/>
      <c r="AD26" s="310"/>
      <c r="AE26" s="310" t="s">
        <v>120</v>
      </c>
      <c r="AF26" s="310"/>
    </row>
    <row r="27" spans="1:32" ht="26.4">
      <c r="A27" s="310" t="s">
        <v>48</v>
      </c>
      <c r="B27" s="310"/>
      <c r="C27" s="310">
        <v>29751</v>
      </c>
      <c r="D27" s="310">
        <v>25420</v>
      </c>
      <c r="E27" s="310">
        <v>19622</v>
      </c>
      <c r="F27" s="310">
        <v>20757</v>
      </c>
      <c r="G27" s="310">
        <v>29280</v>
      </c>
      <c r="H27" s="310">
        <v>30628</v>
      </c>
      <c r="I27" s="310">
        <v>27899</v>
      </c>
      <c r="J27" s="310">
        <v>19810</v>
      </c>
      <c r="K27" s="310">
        <v>38515</v>
      </c>
      <c r="L27" s="310">
        <v>27358</v>
      </c>
      <c r="M27" s="310">
        <v>30837</v>
      </c>
      <c r="N27" s="310">
        <v>19023</v>
      </c>
      <c r="O27" s="310">
        <v>24069</v>
      </c>
      <c r="P27" s="310">
        <v>23642</v>
      </c>
      <c r="Q27" s="310">
        <v>26424</v>
      </c>
      <c r="R27" s="310">
        <v>14191</v>
      </c>
      <c r="S27" s="310">
        <v>17786</v>
      </c>
      <c r="T27" s="310">
        <v>25286</v>
      </c>
      <c r="U27" s="310">
        <v>18748</v>
      </c>
      <c r="V27" s="310">
        <v>19937.400000000001</v>
      </c>
      <c r="W27" s="310">
        <v>16424</v>
      </c>
      <c r="X27" s="310">
        <v>13537</v>
      </c>
      <c r="Y27" s="310">
        <v>16139</v>
      </c>
      <c r="Z27" s="310">
        <v>16369</v>
      </c>
      <c r="AA27" s="310">
        <v>20590</v>
      </c>
      <c r="AB27" s="310">
        <v>15933</v>
      </c>
      <c r="AC27" s="310">
        <v>10525</v>
      </c>
      <c r="AD27" s="310">
        <v>15823</v>
      </c>
      <c r="AE27" s="310"/>
      <c r="AF27" s="310" t="s">
        <v>4</v>
      </c>
    </row>
    <row r="28" spans="1:32" ht="26.4">
      <c r="A28" s="310" t="s">
        <v>121</v>
      </c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 t="s">
        <v>122</v>
      </c>
    </row>
    <row r="29" spans="1:32" ht="26.4">
      <c r="A29" s="310"/>
      <c r="B29" s="310" t="s">
        <v>123</v>
      </c>
      <c r="C29" s="310">
        <v>236</v>
      </c>
      <c r="D29" s="310">
        <v>183</v>
      </c>
      <c r="E29" s="310">
        <v>334</v>
      </c>
      <c r="F29" s="310">
        <v>238</v>
      </c>
      <c r="G29" s="310">
        <v>170</v>
      </c>
      <c r="H29" s="310">
        <v>132</v>
      </c>
      <c r="I29" s="310">
        <v>226</v>
      </c>
      <c r="J29" s="310">
        <v>66</v>
      </c>
      <c r="K29" s="310">
        <v>3148</v>
      </c>
      <c r="L29" s="310">
        <v>3743</v>
      </c>
      <c r="M29" s="310">
        <v>3881</v>
      </c>
      <c r="N29" s="310">
        <v>2703</v>
      </c>
      <c r="O29" s="310">
        <v>6733</v>
      </c>
      <c r="P29" s="310">
        <v>3699</v>
      </c>
      <c r="Q29" s="310">
        <v>2917</v>
      </c>
      <c r="R29" s="310">
        <v>3437</v>
      </c>
      <c r="S29" s="310">
        <v>4903</v>
      </c>
      <c r="T29" s="310">
        <v>2439</v>
      </c>
      <c r="U29" s="310">
        <v>262</v>
      </c>
      <c r="V29" s="310">
        <v>6982</v>
      </c>
      <c r="W29" s="310">
        <v>2113</v>
      </c>
      <c r="X29" s="310">
        <v>1250</v>
      </c>
      <c r="Y29" s="310">
        <v>1670</v>
      </c>
      <c r="Z29" s="310">
        <v>2327</v>
      </c>
      <c r="AA29" s="310">
        <v>1294</v>
      </c>
      <c r="AB29" s="310">
        <v>1363</v>
      </c>
      <c r="AC29" s="310">
        <v>1476</v>
      </c>
      <c r="AD29" s="310">
        <v>2720</v>
      </c>
      <c r="AE29" s="310" t="s">
        <v>124</v>
      </c>
      <c r="AF29" s="310"/>
    </row>
    <row r="30" spans="1:32" ht="26.4">
      <c r="A30" s="310"/>
      <c r="B30" s="310" t="s">
        <v>125</v>
      </c>
      <c r="C30" s="310">
        <v>8</v>
      </c>
      <c r="D30" s="310">
        <v>8</v>
      </c>
      <c r="E30" s="310">
        <v>59</v>
      </c>
      <c r="F30" s="310">
        <v>23</v>
      </c>
      <c r="G30" s="310">
        <v>14</v>
      </c>
      <c r="H30" s="310">
        <v>4</v>
      </c>
      <c r="I30" s="310">
        <v>109</v>
      </c>
      <c r="J30" s="310">
        <v>126</v>
      </c>
      <c r="K30" s="310">
        <v>42</v>
      </c>
      <c r="L30" s="310">
        <v>54</v>
      </c>
      <c r="M30" s="310">
        <v>189</v>
      </c>
      <c r="N30" s="310">
        <v>48</v>
      </c>
      <c r="O30" s="310">
        <v>30</v>
      </c>
      <c r="P30" s="310">
        <v>142</v>
      </c>
      <c r="Q30" s="310">
        <v>64</v>
      </c>
      <c r="R30" s="310">
        <v>111</v>
      </c>
      <c r="S30" s="310">
        <v>6</v>
      </c>
      <c r="T30" s="310">
        <v>2</v>
      </c>
      <c r="U30" s="310">
        <v>5</v>
      </c>
      <c r="V30" s="310">
        <v>305</v>
      </c>
      <c r="W30" s="310">
        <v>186</v>
      </c>
      <c r="X30" s="310">
        <v>325</v>
      </c>
      <c r="Y30" s="310">
        <v>215</v>
      </c>
      <c r="Z30" s="310">
        <v>216</v>
      </c>
      <c r="AA30" s="310">
        <v>205</v>
      </c>
      <c r="AB30" s="310">
        <v>184</v>
      </c>
      <c r="AC30" s="310">
        <v>366</v>
      </c>
      <c r="AD30" s="310">
        <v>410</v>
      </c>
      <c r="AE30" s="310" t="s">
        <v>126</v>
      </c>
      <c r="AF30" s="310"/>
    </row>
    <row r="31" spans="1:32" ht="26.4">
      <c r="A31" s="310"/>
      <c r="B31" s="310" t="s">
        <v>127</v>
      </c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>
        <v>189</v>
      </c>
      <c r="W31" s="310">
        <v>0</v>
      </c>
      <c r="X31" s="310">
        <v>188</v>
      </c>
      <c r="Y31" s="310">
        <v>269</v>
      </c>
      <c r="Z31" s="310">
        <v>500</v>
      </c>
      <c r="AA31" s="310">
        <v>418</v>
      </c>
      <c r="AB31" s="310">
        <v>278</v>
      </c>
      <c r="AC31" s="310">
        <v>342</v>
      </c>
      <c r="AD31" s="310">
        <v>524</v>
      </c>
      <c r="AE31" s="310" t="s">
        <v>126</v>
      </c>
      <c r="AF31" s="310"/>
    </row>
    <row r="32" spans="1:32" ht="26.4">
      <c r="A32" s="310" t="s">
        <v>48</v>
      </c>
      <c r="B32" s="310"/>
      <c r="C32" s="310">
        <v>244</v>
      </c>
      <c r="D32" s="310">
        <v>191</v>
      </c>
      <c r="E32" s="310">
        <v>393</v>
      </c>
      <c r="F32" s="310">
        <v>261</v>
      </c>
      <c r="G32" s="310">
        <v>184</v>
      </c>
      <c r="H32" s="310">
        <v>136</v>
      </c>
      <c r="I32" s="310">
        <v>335</v>
      </c>
      <c r="J32" s="310">
        <v>192</v>
      </c>
      <c r="K32" s="310">
        <v>3190</v>
      </c>
      <c r="L32" s="310">
        <v>3797</v>
      </c>
      <c r="M32" s="310">
        <v>4070</v>
      </c>
      <c r="N32" s="310">
        <v>2751</v>
      </c>
      <c r="O32" s="310">
        <v>6763</v>
      </c>
      <c r="P32" s="310">
        <v>3841</v>
      </c>
      <c r="Q32" s="310">
        <v>2981</v>
      </c>
      <c r="R32" s="310">
        <v>3548</v>
      </c>
      <c r="S32" s="310">
        <v>4909</v>
      </c>
      <c r="T32" s="310">
        <v>2441</v>
      </c>
      <c r="U32" s="310">
        <v>267</v>
      </c>
      <c r="V32" s="310">
        <v>7476</v>
      </c>
      <c r="W32" s="310">
        <v>2299</v>
      </c>
      <c r="X32" s="310">
        <v>1763</v>
      </c>
      <c r="Y32" s="310">
        <v>2154</v>
      </c>
      <c r="Z32" s="310">
        <v>3043</v>
      </c>
      <c r="AA32" s="310">
        <v>1917</v>
      </c>
      <c r="AB32" s="310">
        <v>1825</v>
      </c>
      <c r="AC32" s="310">
        <v>2184</v>
      </c>
      <c r="AD32" s="310">
        <v>3655</v>
      </c>
      <c r="AE32" s="310"/>
      <c r="AF32" s="310" t="s">
        <v>4</v>
      </c>
    </row>
    <row r="33" spans="1:32" ht="26.4">
      <c r="A33" s="310" t="s">
        <v>128</v>
      </c>
      <c r="B33" s="310"/>
      <c r="C33" s="310">
        <v>479761</v>
      </c>
      <c r="D33" s="310">
        <v>654265</v>
      </c>
      <c r="E33" s="310">
        <v>577180</v>
      </c>
      <c r="F33" s="310">
        <v>621872</v>
      </c>
      <c r="G33" s="310">
        <v>572683</v>
      </c>
      <c r="H33" s="310">
        <v>521685</v>
      </c>
      <c r="I33" s="310">
        <v>615763</v>
      </c>
      <c r="J33" s="310">
        <v>642462</v>
      </c>
      <c r="K33" s="310">
        <v>609958</v>
      </c>
      <c r="L33" s="310">
        <v>792078</v>
      </c>
      <c r="M33" s="310">
        <v>642863</v>
      </c>
      <c r="N33" s="310">
        <v>490905</v>
      </c>
      <c r="O33" s="310">
        <v>822922</v>
      </c>
      <c r="P33" s="310">
        <v>869102</v>
      </c>
      <c r="Q33" s="310">
        <v>799146</v>
      </c>
      <c r="R33" s="310">
        <v>969290</v>
      </c>
      <c r="S33" s="310">
        <v>997091</v>
      </c>
      <c r="T33" s="310">
        <v>654354</v>
      </c>
      <c r="U33" s="310">
        <v>285117</v>
      </c>
      <c r="V33" s="310">
        <v>609745.6</v>
      </c>
      <c r="W33" s="310">
        <v>480414</v>
      </c>
      <c r="X33" s="310">
        <v>820834</v>
      </c>
      <c r="Y33" s="310">
        <v>843541</v>
      </c>
      <c r="Z33" s="310">
        <v>1262524</v>
      </c>
      <c r="AA33" s="310">
        <v>1067664</v>
      </c>
      <c r="AB33" s="310">
        <v>939369</v>
      </c>
      <c r="AC33" s="310">
        <v>661504</v>
      </c>
      <c r="AD33" s="310">
        <v>649777</v>
      </c>
      <c r="AE33" s="310"/>
      <c r="AF33" s="310" t="s">
        <v>129</v>
      </c>
    </row>
    <row r="34" spans="1:32">
      <c r="AB34" t="s">
        <v>130</v>
      </c>
    </row>
    <row r="35" spans="1:32" ht="21">
      <c r="A35" s="1" t="s">
        <v>60</v>
      </c>
      <c r="AF35" s="1" t="s">
        <v>61</v>
      </c>
    </row>
  </sheetData>
  <mergeCells count="2">
    <mergeCell ref="AE4:AF4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B427-57BD-4177-A131-C1F8F04153F7}">
  <dimension ref="A1:I63"/>
  <sheetViews>
    <sheetView showGridLines="0" view="pageLayout" topLeftCell="B16" workbookViewId="0">
      <selection activeCell="A36" sqref="A36:I36"/>
    </sheetView>
  </sheetViews>
  <sheetFormatPr baseColWidth="10" defaultColWidth="14.44140625" defaultRowHeight="15" customHeight="1"/>
  <cols>
    <col min="1" max="1" width="4.5546875" style="304" hidden="1" customWidth="1"/>
    <col min="2" max="2" width="21.5546875" style="304" customWidth="1"/>
    <col min="3" max="5" width="14.6640625" style="304" customWidth="1"/>
    <col min="6" max="6" width="4.6640625" style="304" customWidth="1"/>
    <col min="7" max="7" width="18.6640625" style="304" customWidth="1"/>
    <col min="8" max="8" width="14.44140625" style="304"/>
    <col min="9" max="9" width="13" style="304" customWidth="1"/>
    <col min="10" max="16384" width="14.44140625" style="304"/>
  </cols>
  <sheetData>
    <row r="1" spans="1:7" ht="12.75" customHeight="1">
      <c r="A1" s="305"/>
      <c r="B1" s="305"/>
      <c r="C1" s="305"/>
      <c r="D1" s="305"/>
      <c r="E1" s="305"/>
      <c r="F1" s="305"/>
      <c r="G1" s="305"/>
    </row>
    <row r="2" spans="1:7" ht="12.75" customHeight="1">
      <c r="A2" s="305"/>
      <c r="B2" s="305"/>
      <c r="C2" s="305"/>
      <c r="D2" s="305"/>
      <c r="E2" s="305"/>
      <c r="F2" s="305"/>
      <c r="G2" s="305"/>
    </row>
    <row r="3" spans="1:7" ht="12.75" customHeight="1">
      <c r="A3" s="305"/>
      <c r="B3" s="305"/>
      <c r="C3" s="305"/>
      <c r="D3" s="305"/>
      <c r="E3" s="305"/>
      <c r="F3" s="305"/>
      <c r="G3" s="305"/>
    </row>
    <row r="4" spans="1:7" ht="12.75" customHeight="1">
      <c r="A4" s="305"/>
      <c r="B4" s="305"/>
      <c r="C4" s="305"/>
      <c r="D4" s="305"/>
      <c r="E4" s="305"/>
      <c r="F4" s="305"/>
      <c r="G4" s="305"/>
    </row>
    <row r="5" spans="1:7" ht="12.75" customHeight="1">
      <c r="A5" s="305"/>
      <c r="B5" s="305"/>
      <c r="C5" s="305"/>
      <c r="D5" s="305"/>
      <c r="E5" s="305"/>
      <c r="F5" s="305"/>
      <c r="G5" s="305"/>
    </row>
    <row r="6" spans="1:7" ht="12.75" customHeight="1">
      <c r="A6" s="305"/>
      <c r="B6" s="305"/>
      <c r="C6" s="305"/>
      <c r="D6" s="305"/>
      <c r="E6" s="305"/>
      <c r="F6" s="305"/>
      <c r="G6" s="305"/>
    </row>
    <row r="7" spans="1:7" ht="12.75" customHeight="1">
      <c r="A7" s="305"/>
      <c r="B7" s="305"/>
      <c r="C7" s="305"/>
      <c r="D7" s="305"/>
      <c r="E7" s="305"/>
      <c r="F7" s="305"/>
      <c r="G7" s="305"/>
    </row>
    <row r="8" spans="1:7" ht="12.75" customHeight="1">
      <c r="A8" s="305"/>
      <c r="B8" s="305"/>
      <c r="C8" s="305"/>
      <c r="D8" s="305"/>
      <c r="E8" s="305"/>
      <c r="F8" s="305"/>
      <c r="G8" s="305"/>
    </row>
    <row r="9" spans="1:7" ht="12.75" customHeight="1">
      <c r="A9" s="305"/>
      <c r="B9" s="305"/>
      <c r="C9" s="305"/>
      <c r="D9" s="305"/>
      <c r="E9" s="305"/>
      <c r="F9" s="305"/>
      <c r="G9" s="305"/>
    </row>
    <row r="10" spans="1:7" ht="12.75" customHeight="1">
      <c r="A10" s="305"/>
      <c r="B10" s="305"/>
      <c r="C10" s="305"/>
      <c r="D10" s="305"/>
      <c r="E10" s="305"/>
      <c r="F10" s="305"/>
      <c r="G10" s="305"/>
    </row>
    <row r="11" spans="1:7" ht="12.75" customHeight="1">
      <c r="A11" s="305"/>
      <c r="B11" s="305"/>
      <c r="C11" s="305"/>
      <c r="D11" s="305"/>
      <c r="E11" s="305"/>
      <c r="F11" s="305"/>
      <c r="G11" s="305"/>
    </row>
    <row r="12" spans="1:7" ht="12.75" customHeight="1">
      <c r="A12" s="305"/>
      <c r="B12" s="305"/>
      <c r="C12" s="305"/>
      <c r="D12" s="305"/>
      <c r="E12" s="305"/>
      <c r="F12" s="305"/>
      <c r="G12" s="305"/>
    </row>
    <row r="13" spans="1:7" ht="12.75" customHeight="1">
      <c r="A13" s="305"/>
      <c r="B13" s="305"/>
      <c r="C13" s="305"/>
      <c r="D13" s="305"/>
      <c r="E13" s="305"/>
      <c r="F13" s="305"/>
      <c r="G13" s="305"/>
    </row>
    <row r="14" spans="1:7" ht="12.75" customHeight="1">
      <c r="A14" s="305"/>
      <c r="B14" s="305"/>
      <c r="C14" s="305"/>
      <c r="D14" s="305"/>
      <c r="E14" s="305"/>
      <c r="F14" s="305"/>
      <c r="G14" s="305"/>
    </row>
    <row r="15" spans="1:7" ht="12.75" customHeight="1">
      <c r="A15" s="305"/>
      <c r="B15" s="305"/>
      <c r="C15" s="305"/>
      <c r="D15" s="305"/>
      <c r="E15" s="305"/>
      <c r="F15" s="305"/>
      <c r="G15" s="305"/>
    </row>
    <row r="16" spans="1:7" ht="12.75" customHeight="1">
      <c r="A16" s="305"/>
      <c r="B16" s="305"/>
      <c r="C16" s="305"/>
      <c r="D16" s="305"/>
      <c r="E16" s="305"/>
      <c r="F16" s="305"/>
      <c r="G16" s="305"/>
    </row>
    <row r="17" spans="1:7" ht="12.75" customHeight="1">
      <c r="A17" s="305"/>
      <c r="B17" s="305"/>
      <c r="C17" s="305"/>
      <c r="D17" s="305"/>
      <c r="E17" s="305"/>
      <c r="F17" s="305"/>
      <c r="G17" s="305"/>
    </row>
    <row r="18" spans="1:7" ht="12.75" customHeight="1">
      <c r="A18" s="305"/>
      <c r="B18" s="305"/>
      <c r="C18" s="305"/>
      <c r="D18" s="305"/>
      <c r="E18" s="305"/>
      <c r="F18" s="305"/>
      <c r="G18" s="305"/>
    </row>
    <row r="19" spans="1:7" ht="12.75" customHeight="1">
      <c r="A19" s="305"/>
      <c r="B19" s="305"/>
      <c r="C19" s="305"/>
      <c r="D19" s="305"/>
      <c r="E19" s="305"/>
      <c r="F19" s="305"/>
      <c r="G19" s="305"/>
    </row>
    <row r="20" spans="1:7" ht="12.75" customHeight="1">
      <c r="A20" s="305"/>
      <c r="B20" s="305"/>
      <c r="C20" s="305"/>
      <c r="D20" s="305"/>
      <c r="E20" s="305"/>
      <c r="F20" s="305"/>
      <c r="G20" s="305"/>
    </row>
    <row r="21" spans="1:7" ht="12.75" hidden="1" customHeight="1">
      <c r="A21" s="305"/>
      <c r="B21" s="305"/>
      <c r="C21" s="305"/>
      <c r="D21" s="305"/>
      <c r="E21" s="305"/>
      <c r="F21" s="305"/>
      <c r="G21" s="305"/>
    </row>
    <row r="22" spans="1:7" ht="12.75" hidden="1" customHeight="1">
      <c r="A22" s="305"/>
      <c r="B22" s="305"/>
      <c r="C22" s="305"/>
      <c r="D22" s="305"/>
      <c r="E22" s="305"/>
      <c r="F22" s="305"/>
      <c r="G22" s="305"/>
    </row>
    <row r="23" spans="1:7" ht="12.75" hidden="1" customHeight="1">
      <c r="A23" s="305"/>
      <c r="B23" s="305"/>
      <c r="C23" s="305"/>
      <c r="D23" s="305"/>
      <c r="E23" s="305"/>
      <c r="F23" s="305"/>
      <c r="G23" s="305"/>
    </row>
    <row r="24" spans="1:7" ht="12.75" hidden="1" customHeight="1">
      <c r="A24" s="305"/>
      <c r="B24" s="305"/>
      <c r="C24" s="305"/>
      <c r="D24" s="305"/>
      <c r="E24" s="305"/>
      <c r="F24" s="305"/>
      <c r="G24" s="305"/>
    </row>
    <row r="25" spans="1:7" ht="12.75" hidden="1" customHeight="1">
      <c r="A25" s="305"/>
      <c r="B25" s="305"/>
      <c r="C25" s="305"/>
      <c r="D25" s="305"/>
      <c r="E25" s="305"/>
      <c r="F25" s="305"/>
      <c r="G25" s="305"/>
    </row>
    <row r="26" spans="1:7" ht="12.75" hidden="1" customHeight="1">
      <c r="A26" s="305"/>
      <c r="B26" s="305"/>
      <c r="C26" s="305"/>
      <c r="D26" s="305"/>
      <c r="E26" s="305"/>
      <c r="F26" s="305"/>
      <c r="G26" s="305"/>
    </row>
    <row r="27" spans="1:7" ht="12.75" hidden="1" customHeight="1">
      <c r="A27" s="305"/>
      <c r="B27" s="305"/>
      <c r="C27" s="305"/>
      <c r="D27" s="305"/>
      <c r="E27" s="305"/>
      <c r="F27" s="305"/>
      <c r="G27" s="305"/>
    </row>
    <row r="28" spans="1:7" ht="12.75" hidden="1" customHeight="1">
      <c r="A28" s="305"/>
      <c r="B28" s="305"/>
      <c r="C28" s="305"/>
      <c r="D28" s="305"/>
      <c r="E28" s="305"/>
      <c r="F28" s="305"/>
      <c r="G28" s="305"/>
    </row>
    <row r="29" spans="1:7" ht="12.75" hidden="1" customHeight="1">
      <c r="A29" s="305"/>
      <c r="B29" s="305"/>
      <c r="C29" s="305"/>
      <c r="D29" s="305"/>
      <c r="E29" s="305"/>
      <c r="F29" s="305"/>
      <c r="G29" s="305"/>
    </row>
    <row r="30" spans="1:7" ht="12.75" hidden="1" customHeight="1">
      <c r="A30" s="305"/>
      <c r="B30" s="305"/>
      <c r="C30" s="305"/>
      <c r="D30" s="305"/>
      <c r="E30" s="305"/>
      <c r="F30" s="305"/>
      <c r="G30" s="305"/>
    </row>
    <row r="31" spans="1:7" ht="12.75" hidden="1" customHeight="1">
      <c r="A31" s="305"/>
      <c r="B31" s="305"/>
      <c r="C31" s="305"/>
      <c r="D31" s="305"/>
      <c r="E31" s="305"/>
      <c r="F31" s="305"/>
      <c r="G31" s="305"/>
    </row>
    <row r="32" spans="1:7" ht="12.75" hidden="1" customHeight="1">
      <c r="A32" s="305"/>
      <c r="B32" s="305"/>
      <c r="C32" s="305"/>
      <c r="D32" s="305"/>
      <c r="E32" s="305"/>
      <c r="F32" s="305"/>
      <c r="G32" s="305"/>
    </row>
    <row r="33" spans="1:9" ht="12.75" hidden="1" customHeight="1">
      <c r="A33" s="305"/>
      <c r="B33" s="305"/>
      <c r="C33" s="305"/>
      <c r="D33" s="305"/>
      <c r="E33" s="305"/>
      <c r="F33" s="305"/>
      <c r="G33" s="305"/>
    </row>
    <row r="34" spans="1:9" ht="37.5" customHeight="1">
      <c r="A34" s="828" t="s">
        <v>997</v>
      </c>
      <c r="B34" s="828"/>
      <c r="C34" s="828"/>
      <c r="D34" s="828"/>
      <c r="E34" s="828"/>
      <c r="F34" s="828"/>
      <c r="G34" s="828"/>
      <c r="H34" s="828"/>
      <c r="I34" s="828"/>
    </row>
    <row r="35" spans="1:9" ht="12" customHeight="1">
      <c r="A35" s="305"/>
      <c r="B35" s="305"/>
      <c r="C35" s="305"/>
      <c r="D35" s="305"/>
      <c r="E35" s="305"/>
      <c r="F35" s="305"/>
      <c r="G35" s="305"/>
    </row>
    <row r="36" spans="1:9" ht="49.5" customHeight="1">
      <c r="A36" s="828" t="s">
        <v>887</v>
      </c>
      <c r="B36" s="828"/>
      <c r="C36" s="828"/>
      <c r="D36" s="828"/>
      <c r="E36" s="828"/>
      <c r="F36" s="828"/>
      <c r="G36" s="828"/>
      <c r="H36" s="828"/>
      <c r="I36" s="828"/>
    </row>
    <row r="37" spans="1:9" ht="12" customHeight="1">
      <c r="A37" s="305"/>
      <c r="B37" s="305"/>
      <c r="C37" s="305"/>
      <c r="D37" s="305"/>
      <c r="E37" s="305"/>
      <c r="F37" s="305"/>
      <c r="G37" s="305"/>
    </row>
    <row r="38" spans="1:9" ht="12" customHeight="1">
      <c r="A38" s="305"/>
      <c r="B38" s="305"/>
      <c r="C38" s="305"/>
      <c r="D38" s="305"/>
      <c r="E38" s="305"/>
      <c r="F38" s="305"/>
      <c r="G38" s="305"/>
    </row>
    <row r="39" spans="1:9" ht="25.5" customHeight="1">
      <c r="A39" s="828" t="s">
        <v>996</v>
      </c>
      <c r="B39" s="828"/>
      <c r="C39" s="828"/>
      <c r="D39" s="828"/>
      <c r="E39" s="828"/>
      <c r="F39" s="828"/>
      <c r="G39" s="828"/>
      <c r="H39" s="828"/>
      <c r="I39" s="828"/>
    </row>
    <row r="40" spans="1:9" ht="12" customHeight="1">
      <c r="A40" s="305"/>
      <c r="B40" s="305"/>
      <c r="C40" s="305"/>
      <c r="D40" s="305"/>
      <c r="E40" s="305"/>
      <c r="F40" s="305"/>
      <c r="G40" s="305"/>
    </row>
    <row r="41" spans="1:9" ht="123" customHeight="1">
      <c r="A41" s="829" t="s">
        <v>888</v>
      </c>
      <c r="B41" s="829"/>
      <c r="C41" s="829"/>
      <c r="D41" s="829"/>
      <c r="E41" s="829"/>
      <c r="F41" s="829"/>
      <c r="G41" s="829"/>
      <c r="H41" s="829"/>
      <c r="I41" s="829"/>
    </row>
    <row r="42" spans="1:9" ht="12.75" customHeight="1">
      <c r="A42" s="305"/>
      <c r="B42" s="305"/>
      <c r="C42" s="305"/>
      <c r="D42" s="305"/>
      <c r="E42" s="305"/>
      <c r="F42" s="305"/>
      <c r="G42" s="305"/>
    </row>
    <row r="43" spans="1:9" ht="12.75" customHeight="1">
      <c r="A43" s="305"/>
      <c r="B43" s="305"/>
      <c r="C43" s="305"/>
      <c r="D43" s="305"/>
      <c r="E43" s="305"/>
      <c r="F43" s="305"/>
      <c r="G43" s="305"/>
    </row>
    <row r="44" spans="1:9" ht="12.75" customHeight="1">
      <c r="A44" s="305"/>
      <c r="B44" s="305"/>
      <c r="C44" s="305"/>
      <c r="D44" s="305"/>
      <c r="E44" s="305"/>
      <c r="F44" s="305"/>
      <c r="G44" s="305"/>
    </row>
    <row r="45" spans="1:9" ht="12.75" customHeight="1">
      <c r="A45" s="305"/>
      <c r="B45" s="305"/>
      <c r="C45" s="305"/>
      <c r="D45" s="305"/>
      <c r="E45" s="305"/>
      <c r="F45" s="305"/>
      <c r="G45" s="305"/>
    </row>
    <row r="46" spans="1:9" ht="12.75" customHeight="1">
      <c r="A46" s="305"/>
      <c r="B46" s="305"/>
      <c r="C46" s="305"/>
      <c r="D46" s="305"/>
      <c r="E46" s="305"/>
      <c r="F46" s="305"/>
      <c r="G46" s="305"/>
    </row>
    <row r="47" spans="1:9" ht="12.75" customHeight="1">
      <c r="A47" s="305"/>
      <c r="B47" s="305"/>
      <c r="C47" s="305"/>
      <c r="D47" s="305"/>
      <c r="E47" s="305"/>
      <c r="F47" s="305"/>
      <c r="G47" s="305"/>
    </row>
    <row r="48" spans="1:9" ht="12.75" customHeight="1">
      <c r="A48" s="305"/>
      <c r="B48" s="305"/>
      <c r="C48" s="305"/>
      <c r="D48" s="305"/>
      <c r="E48" s="305"/>
      <c r="F48" s="305"/>
      <c r="G48" s="305"/>
    </row>
    <row r="49" spans="1:7" ht="12.75" customHeight="1">
      <c r="A49" s="305"/>
      <c r="B49" s="305"/>
      <c r="C49" s="305"/>
      <c r="D49" s="305"/>
      <c r="E49" s="305"/>
      <c r="F49" s="305"/>
      <c r="G49" s="305"/>
    </row>
    <row r="50" spans="1:7" ht="12.75" customHeight="1">
      <c r="A50" s="305"/>
      <c r="B50" s="305"/>
      <c r="C50" s="305"/>
      <c r="D50" s="305"/>
      <c r="E50" s="305"/>
      <c r="F50" s="305"/>
      <c r="G50" s="305"/>
    </row>
    <row r="51" spans="1:7" ht="12.75" customHeight="1">
      <c r="A51" s="305"/>
      <c r="B51" s="305"/>
      <c r="C51" s="305"/>
      <c r="D51" s="305"/>
      <c r="E51" s="305"/>
      <c r="F51" s="305"/>
      <c r="G51" s="305"/>
    </row>
    <row r="52" spans="1:7" ht="12.75" customHeight="1">
      <c r="A52" s="305"/>
      <c r="B52" s="305"/>
      <c r="C52" s="305"/>
      <c r="D52" s="305"/>
      <c r="E52" s="305"/>
      <c r="F52" s="305"/>
      <c r="G52" s="305"/>
    </row>
    <row r="53" spans="1:7" ht="12.75" customHeight="1">
      <c r="A53" s="305"/>
      <c r="B53" s="305"/>
      <c r="C53" s="305"/>
      <c r="D53" s="305"/>
      <c r="E53" s="305"/>
      <c r="F53" s="305"/>
      <c r="G53" s="305"/>
    </row>
    <row r="54" spans="1:7" ht="12.75" customHeight="1">
      <c r="A54" s="305"/>
      <c r="B54" s="305"/>
      <c r="C54" s="305"/>
      <c r="D54" s="305"/>
      <c r="E54" s="305"/>
      <c r="F54" s="305"/>
      <c r="G54" s="305"/>
    </row>
    <row r="55" spans="1:7" ht="12.75" customHeight="1">
      <c r="A55" s="305"/>
      <c r="B55" s="305"/>
      <c r="C55" s="305"/>
      <c r="D55" s="305"/>
      <c r="E55" s="305"/>
      <c r="F55" s="305"/>
      <c r="G55" s="305"/>
    </row>
    <row r="56" spans="1:7" ht="12.75" customHeight="1">
      <c r="A56" s="305"/>
      <c r="B56" s="305"/>
      <c r="C56" s="305"/>
      <c r="D56" s="305"/>
      <c r="E56" s="305"/>
      <c r="F56" s="305"/>
      <c r="G56" s="305"/>
    </row>
    <row r="57" spans="1:7" ht="12.75" customHeight="1">
      <c r="A57" s="305"/>
      <c r="B57" s="305"/>
      <c r="C57" s="305"/>
      <c r="D57" s="305"/>
      <c r="E57" s="305"/>
      <c r="F57" s="305"/>
      <c r="G57" s="305"/>
    </row>
    <row r="58" spans="1:7" ht="12.75" customHeight="1">
      <c r="A58" s="305"/>
      <c r="B58" s="305"/>
      <c r="C58" s="305"/>
      <c r="D58" s="305"/>
      <c r="E58" s="305"/>
      <c r="F58" s="305"/>
      <c r="G58" s="305"/>
    </row>
    <row r="59" spans="1:7" ht="12.75" customHeight="1">
      <c r="A59" s="305"/>
      <c r="B59" s="305"/>
      <c r="C59" s="305"/>
      <c r="D59" s="305"/>
      <c r="E59" s="305"/>
      <c r="F59" s="305"/>
      <c r="G59" s="305"/>
    </row>
    <row r="60" spans="1:7" ht="12.75" customHeight="1">
      <c r="A60" s="305"/>
      <c r="B60" s="305"/>
      <c r="C60" s="305"/>
      <c r="D60" s="305"/>
      <c r="E60" s="305"/>
      <c r="F60" s="305"/>
      <c r="G60" s="305"/>
    </row>
    <row r="61" spans="1:7" ht="12.75" customHeight="1">
      <c r="A61" s="305"/>
      <c r="B61" s="305"/>
      <c r="C61" s="305"/>
      <c r="D61" s="305"/>
      <c r="E61" s="305"/>
      <c r="F61" s="305"/>
      <c r="G61" s="305"/>
    </row>
    <row r="62" spans="1:7" ht="12.75" customHeight="1">
      <c r="A62" s="305"/>
      <c r="B62" s="305"/>
      <c r="C62" s="305"/>
      <c r="D62" s="305"/>
      <c r="E62" s="305"/>
      <c r="F62" s="305"/>
      <c r="G62" s="305"/>
    </row>
    <row r="63" spans="1:7" ht="12.75" customHeight="1">
      <c r="A63" s="305"/>
      <c r="B63" s="305"/>
      <c r="C63" s="305"/>
      <c r="D63" s="305"/>
      <c r="E63" s="305"/>
      <c r="F63" s="305"/>
      <c r="G63" s="305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:AH55"/>
  <sheetViews>
    <sheetView topLeftCell="A16" zoomScale="44" workbookViewId="0">
      <selection activeCell="F24" sqref="F24"/>
    </sheetView>
  </sheetViews>
  <sheetFormatPr baseColWidth="10" defaultRowHeight="14.4"/>
  <cols>
    <col min="1" max="1" width="42.109375" customWidth="1"/>
    <col min="13" max="13" width="18.77734375" customWidth="1"/>
    <col min="14" max="14" width="20.77734375" customWidth="1"/>
    <col min="16" max="16" width="17.88671875" customWidth="1"/>
    <col min="20" max="20" width="18.109375" customWidth="1"/>
    <col min="28" max="28" width="16.6640625" customWidth="1"/>
    <col min="31" max="31" width="25.5546875" customWidth="1"/>
  </cols>
  <sheetData>
    <row r="2" spans="1:31" ht="21.6">
      <c r="AE2" s="420" t="s">
        <v>131</v>
      </c>
    </row>
    <row r="3" spans="1:31" ht="21.6">
      <c r="A3" s="420" t="s">
        <v>132</v>
      </c>
    </row>
    <row r="4" spans="1:31" ht="15" thickBot="1"/>
    <row r="5" spans="1:31" ht="30">
      <c r="A5" s="307" t="s">
        <v>133</v>
      </c>
      <c r="B5" s="307">
        <v>1995</v>
      </c>
      <c r="C5" s="307">
        <v>1996</v>
      </c>
      <c r="D5" s="307">
        <v>1997</v>
      </c>
      <c r="E5" s="307">
        <v>1998</v>
      </c>
      <c r="F5" s="307">
        <v>1999</v>
      </c>
      <c r="G5" s="307">
        <v>2000</v>
      </c>
      <c r="H5" s="307">
        <v>2001</v>
      </c>
      <c r="I5" s="307">
        <v>2002</v>
      </c>
      <c r="J5" s="307">
        <v>2003</v>
      </c>
      <c r="K5" s="307">
        <v>2004</v>
      </c>
      <c r="L5" s="307">
        <v>2005</v>
      </c>
      <c r="M5" s="307">
        <v>2006</v>
      </c>
      <c r="N5" s="307">
        <v>2007</v>
      </c>
      <c r="O5" s="307">
        <v>2008</v>
      </c>
      <c r="P5" s="307">
        <v>2009</v>
      </c>
      <c r="Q5" s="307">
        <v>2010</v>
      </c>
      <c r="R5" s="307">
        <v>2011</v>
      </c>
      <c r="S5" s="307">
        <v>2012</v>
      </c>
      <c r="T5" s="307">
        <v>2013</v>
      </c>
      <c r="U5" s="307">
        <v>2014</v>
      </c>
      <c r="V5" s="307">
        <v>2015</v>
      </c>
      <c r="W5" s="307">
        <v>2016</v>
      </c>
      <c r="X5" s="307">
        <v>2017</v>
      </c>
      <c r="Y5" s="307">
        <v>2018</v>
      </c>
      <c r="Z5" s="307">
        <v>2019</v>
      </c>
      <c r="AA5" s="307">
        <v>2020</v>
      </c>
      <c r="AB5" s="307">
        <v>2021</v>
      </c>
      <c r="AC5" s="307">
        <v>2022</v>
      </c>
      <c r="AD5" s="307">
        <v>2023</v>
      </c>
      <c r="AE5" s="307" t="s">
        <v>134</v>
      </c>
    </row>
    <row r="6" spans="1:31" ht="26.4">
      <c r="A6" s="411" t="s">
        <v>135</v>
      </c>
      <c r="B6" s="407">
        <v>11500</v>
      </c>
      <c r="C6" s="407">
        <v>11364</v>
      </c>
      <c r="D6" s="407">
        <v>11640</v>
      </c>
      <c r="E6" s="407">
        <v>11455</v>
      </c>
      <c r="F6" s="407">
        <v>10517</v>
      </c>
      <c r="G6" s="407">
        <v>11390</v>
      </c>
      <c r="H6" s="407">
        <v>10272</v>
      </c>
      <c r="I6" s="407">
        <v>9424</v>
      </c>
      <c r="J6" s="407">
        <v>10153</v>
      </c>
      <c r="K6" s="407">
        <v>10675</v>
      </c>
      <c r="L6" s="407">
        <v>10752</v>
      </c>
      <c r="M6" s="407">
        <v>11155</v>
      </c>
      <c r="N6" s="412">
        <v>11232.77</v>
      </c>
      <c r="O6" s="411">
        <v>11297</v>
      </c>
      <c r="P6" s="407">
        <v>10524</v>
      </c>
      <c r="Q6" s="407">
        <v>11534</v>
      </c>
      <c r="R6" s="407">
        <v>11176.466999999999</v>
      </c>
      <c r="S6" s="407">
        <v>11170</v>
      </c>
      <c r="T6" s="407">
        <v>12531</v>
      </c>
      <c r="U6" s="407">
        <v>13306</v>
      </c>
      <c r="V6" s="407">
        <v>11609</v>
      </c>
      <c r="W6" s="407">
        <v>13268</v>
      </c>
      <c r="X6" s="407">
        <v>11813</v>
      </c>
      <c r="Y6" s="407">
        <v>10710.3</v>
      </c>
      <c r="Z6" s="407">
        <v>12196.5</v>
      </c>
      <c r="AA6" s="407">
        <v>12515.5</v>
      </c>
      <c r="AB6" s="412">
        <v>12617.8</v>
      </c>
      <c r="AC6" s="411"/>
      <c r="AD6" s="413">
        <v>14007</v>
      </c>
      <c r="AE6" s="407" t="s">
        <v>136</v>
      </c>
    </row>
    <row r="7" spans="1:31" ht="26.4">
      <c r="A7" s="406" t="s">
        <v>137</v>
      </c>
      <c r="B7" s="407">
        <v>4700</v>
      </c>
      <c r="C7" s="407">
        <v>4597</v>
      </c>
      <c r="D7" s="407">
        <v>4311</v>
      </c>
      <c r="E7" s="407">
        <v>3659</v>
      </c>
      <c r="F7" s="407">
        <v>2669</v>
      </c>
      <c r="G7" s="407">
        <v>3043</v>
      </c>
      <c r="H7" s="407">
        <v>2804</v>
      </c>
      <c r="I7" s="407">
        <v>2380</v>
      </c>
      <c r="J7" s="407">
        <v>3417</v>
      </c>
      <c r="K7" s="407">
        <v>4932</v>
      </c>
      <c r="L7" s="407">
        <v>4125</v>
      </c>
      <c r="M7" s="407">
        <v>3826</v>
      </c>
      <c r="N7" s="408">
        <v>4127.8999999999996</v>
      </c>
      <c r="O7" s="406">
        <v>3751</v>
      </c>
      <c r="P7" s="407">
        <v>2824</v>
      </c>
      <c r="Q7" s="407">
        <v>3647</v>
      </c>
      <c r="R7" s="407">
        <v>3505.8209999999995</v>
      </c>
      <c r="S7" s="407">
        <v>4694.2</v>
      </c>
      <c r="T7" s="407">
        <v>5219</v>
      </c>
      <c r="U7" s="407">
        <v>4934</v>
      </c>
      <c r="V7" s="407">
        <v>4240</v>
      </c>
      <c r="W7" s="407">
        <v>4971</v>
      </c>
      <c r="X7" s="407">
        <v>5012</v>
      </c>
      <c r="Y7" s="407">
        <v>3770.1</v>
      </c>
      <c r="Z7" s="407">
        <v>4209.2</v>
      </c>
      <c r="AA7" s="407">
        <v>4550.7</v>
      </c>
      <c r="AB7" s="408">
        <v>4033.5</v>
      </c>
      <c r="AC7" s="406"/>
      <c r="AD7" s="414"/>
      <c r="AE7" s="407" t="s">
        <v>138</v>
      </c>
    </row>
    <row r="8" spans="1:31" ht="26.4">
      <c r="A8" s="406" t="s">
        <v>139</v>
      </c>
      <c r="B8" s="407">
        <v>3000</v>
      </c>
      <c r="C8" s="407">
        <v>3303</v>
      </c>
      <c r="D8" s="407">
        <v>3245</v>
      </c>
      <c r="E8" s="407">
        <v>3420</v>
      </c>
      <c r="F8" s="407">
        <v>3597</v>
      </c>
      <c r="G8" s="407">
        <v>3519</v>
      </c>
      <c r="H8" s="407">
        <v>3440</v>
      </c>
      <c r="I8" s="407">
        <v>3883</v>
      </c>
      <c r="J8" s="407">
        <v>3903</v>
      </c>
      <c r="K8" s="407">
        <v>3990</v>
      </c>
      <c r="L8" s="407">
        <v>4091</v>
      </c>
      <c r="M8" s="407">
        <v>4294</v>
      </c>
      <c r="N8" s="408">
        <v>4367.0200000000004</v>
      </c>
      <c r="O8" s="406">
        <v>4625</v>
      </c>
      <c r="P8" s="407">
        <v>4571</v>
      </c>
      <c r="Q8" s="407">
        <v>4668</v>
      </c>
      <c r="R8" s="407">
        <v>3774.0859999999989</v>
      </c>
      <c r="S8" s="407">
        <v>2827.1</v>
      </c>
      <c r="T8" s="407">
        <v>3023.5</v>
      </c>
      <c r="U8" s="407">
        <v>3330</v>
      </c>
      <c r="V8" s="407">
        <v>2769</v>
      </c>
      <c r="W8" s="407">
        <v>2309</v>
      </c>
      <c r="X8" s="407">
        <v>1669</v>
      </c>
      <c r="Y8" s="407">
        <v>1525.2</v>
      </c>
      <c r="Z8" s="407">
        <v>2419.4</v>
      </c>
      <c r="AA8" s="407">
        <v>2014.6</v>
      </c>
      <c r="AB8" s="408">
        <v>2734.8</v>
      </c>
      <c r="AC8" s="406"/>
      <c r="AD8" s="414"/>
      <c r="AE8" s="407" t="s">
        <v>140</v>
      </c>
    </row>
    <row r="9" spans="1:31" ht="26.4">
      <c r="A9" s="406" t="s">
        <v>141</v>
      </c>
      <c r="B9" s="407">
        <v>3800</v>
      </c>
      <c r="C9" s="407">
        <v>3464</v>
      </c>
      <c r="D9" s="407">
        <v>4084</v>
      </c>
      <c r="E9" s="407">
        <v>4376</v>
      </c>
      <c r="F9" s="407">
        <v>4251</v>
      </c>
      <c r="G9" s="407">
        <v>4828</v>
      </c>
      <c r="H9" s="407">
        <v>4028</v>
      </c>
      <c r="I9" s="407">
        <v>3161</v>
      </c>
      <c r="J9" s="407">
        <v>2833</v>
      </c>
      <c r="K9" s="407">
        <v>1753</v>
      </c>
      <c r="L9" s="407">
        <v>2536</v>
      </c>
      <c r="M9" s="407">
        <v>3035</v>
      </c>
      <c r="N9" s="408">
        <v>2737.85</v>
      </c>
      <c r="O9" s="406">
        <v>2921</v>
      </c>
      <c r="P9" s="407">
        <v>3129</v>
      </c>
      <c r="Q9" s="407">
        <v>3219</v>
      </c>
      <c r="R9" s="407">
        <v>3896.56</v>
      </c>
      <c r="S9" s="407">
        <v>3648.2</v>
      </c>
      <c r="T9" s="407">
        <v>4288.3999999999996</v>
      </c>
      <c r="U9" s="407">
        <v>5042</v>
      </c>
      <c r="V9" s="407">
        <v>4600</v>
      </c>
      <c r="W9" s="407">
        <v>5988</v>
      </c>
      <c r="X9" s="407">
        <v>5132</v>
      </c>
      <c r="Y9" s="407">
        <v>5415</v>
      </c>
      <c r="Z9" s="407">
        <v>5567.9</v>
      </c>
      <c r="AA9" s="407">
        <v>5950.1</v>
      </c>
      <c r="AB9" s="408">
        <v>5849.5</v>
      </c>
      <c r="AC9" s="406"/>
      <c r="AD9" s="414"/>
      <c r="AE9" s="407" t="s">
        <v>142</v>
      </c>
    </row>
    <row r="10" spans="1:31" ht="26.4">
      <c r="A10" s="411" t="s">
        <v>143</v>
      </c>
      <c r="B10" s="407">
        <v>11743</v>
      </c>
      <c r="C10" s="407">
        <v>11363</v>
      </c>
      <c r="D10" s="407">
        <v>11704</v>
      </c>
      <c r="E10" s="407">
        <v>11373</v>
      </c>
      <c r="F10" s="407">
        <v>10401</v>
      </c>
      <c r="G10" s="407">
        <v>11345</v>
      </c>
      <c r="H10" s="407">
        <v>10302</v>
      </c>
      <c r="I10" s="407">
        <v>9554</v>
      </c>
      <c r="J10" s="407">
        <v>10153</v>
      </c>
      <c r="K10" s="407">
        <v>10674</v>
      </c>
      <c r="L10" s="407">
        <v>10752</v>
      </c>
      <c r="M10" s="407">
        <v>11154</v>
      </c>
      <c r="N10" s="412">
        <v>11232.77</v>
      </c>
      <c r="O10" s="411">
        <v>11296</v>
      </c>
      <c r="P10" s="407">
        <v>10524</v>
      </c>
      <c r="Q10" s="407">
        <v>11534</v>
      </c>
      <c r="R10" s="407">
        <v>11176.466999999999</v>
      </c>
      <c r="S10" s="407">
        <v>11170</v>
      </c>
      <c r="T10" s="407">
        <v>12531</v>
      </c>
      <c r="U10" s="407">
        <v>13306</v>
      </c>
      <c r="V10" s="407">
        <v>11609</v>
      </c>
      <c r="W10" s="407">
        <v>13268</v>
      </c>
      <c r="X10" s="407">
        <v>11714</v>
      </c>
      <c r="Y10" s="407">
        <v>10710.3</v>
      </c>
      <c r="Z10" s="407">
        <v>12196.5</v>
      </c>
      <c r="AA10" s="407">
        <v>12515.3</v>
      </c>
      <c r="AB10" s="412">
        <v>12617.8</v>
      </c>
      <c r="AC10" s="411"/>
      <c r="AD10" s="414"/>
      <c r="AE10" s="407" t="s">
        <v>144</v>
      </c>
    </row>
    <row r="11" spans="1:31" ht="26.4">
      <c r="A11" s="411" t="s">
        <v>145</v>
      </c>
      <c r="B11" s="407">
        <v>0</v>
      </c>
      <c r="C11" s="407">
        <v>0</v>
      </c>
      <c r="D11" s="407">
        <v>0</v>
      </c>
      <c r="E11" s="407">
        <v>0</v>
      </c>
      <c r="F11" s="407">
        <v>0</v>
      </c>
      <c r="G11" s="407">
        <v>43570</v>
      </c>
      <c r="H11" s="407">
        <v>44556</v>
      </c>
      <c r="I11" s="407">
        <v>46438</v>
      </c>
      <c r="J11" s="407">
        <v>63335</v>
      </c>
      <c r="K11" s="407">
        <v>65552</v>
      </c>
      <c r="L11" s="407">
        <v>65849</v>
      </c>
      <c r="M11" s="407">
        <v>70964</v>
      </c>
      <c r="N11" s="412">
        <v>67152</v>
      </c>
      <c r="O11" s="411">
        <v>76103</v>
      </c>
      <c r="P11" s="407">
        <v>94348</v>
      </c>
      <c r="Q11" s="407">
        <v>86578</v>
      </c>
      <c r="R11" s="407">
        <v>105157</v>
      </c>
      <c r="S11" s="407">
        <v>111780</v>
      </c>
      <c r="T11" s="407">
        <v>117253</v>
      </c>
      <c r="U11" s="407">
        <v>130586</v>
      </c>
      <c r="V11" s="407">
        <v>85432</v>
      </c>
      <c r="W11" s="407">
        <v>96218</v>
      </c>
      <c r="X11" s="407">
        <v>105071</v>
      </c>
      <c r="Y11" s="407">
        <v>111723.3</v>
      </c>
      <c r="Z11" s="407">
        <v>109334.5</v>
      </c>
      <c r="AA11" s="407">
        <v>108247.8</v>
      </c>
      <c r="AB11" s="412">
        <v>112072</v>
      </c>
      <c r="AC11" s="411"/>
      <c r="AD11" s="414"/>
      <c r="AE11" s="407" t="s">
        <v>146</v>
      </c>
    </row>
    <row r="12" spans="1:31" ht="26.4">
      <c r="A12" s="406" t="s">
        <v>137</v>
      </c>
      <c r="B12" s="407"/>
      <c r="C12" s="407"/>
      <c r="D12" s="407"/>
      <c r="E12" s="407"/>
      <c r="F12" s="407"/>
      <c r="G12" s="407">
        <v>13253</v>
      </c>
      <c r="H12" s="407">
        <v>10501</v>
      </c>
      <c r="I12" s="407">
        <v>13115</v>
      </c>
      <c r="J12" s="407">
        <v>17472</v>
      </c>
      <c r="K12" s="407">
        <v>15819</v>
      </c>
      <c r="L12" s="407">
        <v>17344</v>
      </c>
      <c r="M12" s="407">
        <v>19026</v>
      </c>
      <c r="N12" s="408">
        <v>17929</v>
      </c>
      <c r="O12" s="406">
        <v>17685</v>
      </c>
      <c r="P12" s="407">
        <v>23311</v>
      </c>
      <c r="Q12" s="407">
        <v>21240</v>
      </c>
      <c r="R12" s="407">
        <v>29579</v>
      </c>
      <c r="S12" s="407">
        <v>31069.599999999999</v>
      </c>
      <c r="T12" s="407">
        <v>29296</v>
      </c>
      <c r="U12" s="407">
        <v>31780</v>
      </c>
      <c r="V12" s="407">
        <v>26620</v>
      </c>
      <c r="W12" s="407">
        <v>31974</v>
      </c>
      <c r="X12" s="407">
        <v>37252</v>
      </c>
      <c r="Y12" s="407">
        <v>39945.199999999997</v>
      </c>
      <c r="Z12" s="407">
        <v>37722</v>
      </c>
      <c r="AA12" s="407">
        <v>39592.6</v>
      </c>
      <c r="AB12" s="408">
        <v>38747</v>
      </c>
      <c r="AC12" s="406"/>
      <c r="AD12" s="414"/>
      <c r="AE12" s="407" t="s">
        <v>138</v>
      </c>
    </row>
    <row r="13" spans="1:31" ht="26.4">
      <c r="A13" s="406" t="s">
        <v>139</v>
      </c>
      <c r="B13" s="407"/>
      <c r="C13" s="407"/>
      <c r="D13" s="407"/>
      <c r="E13" s="407"/>
      <c r="F13" s="407"/>
      <c r="G13" s="407">
        <v>17768</v>
      </c>
      <c r="H13" s="407">
        <v>19115</v>
      </c>
      <c r="I13" s="407">
        <v>20117</v>
      </c>
      <c r="J13" s="407">
        <v>29976</v>
      </c>
      <c r="K13" s="407">
        <v>31281</v>
      </c>
      <c r="L13" s="407">
        <v>31160</v>
      </c>
      <c r="M13" s="407">
        <v>33755</v>
      </c>
      <c r="N13" s="408">
        <v>31962</v>
      </c>
      <c r="O13" s="406">
        <v>33906</v>
      </c>
      <c r="P13" s="407">
        <v>35605</v>
      </c>
      <c r="Q13" s="407">
        <v>36538</v>
      </c>
      <c r="R13" s="407">
        <v>26839</v>
      </c>
      <c r="S13" s="407">
        <v>24845</v>
      </c>
      <c r="T13" s="407">
        <v>28961</v>
      </c>
      <c r="U13" s="407">
        <v>35514</v>
      </c>
      <c r="V13" s="407">
        <v>21177</v>
      </c>
      <c r="W13" s="407">
        <v>24224</v>
      </c>
      <c r="X13" s="407">
        <v>23639</v>
      </c>
      <c r="Y13" s="407">
        <v>27620</v>
      </c>
      <c r="Z13" s="407">
        <v>30207</v>
      </c>
      <c r="AA13" s="407">
        <v>28593.200000000001</v>
      </c>
      <c r="AB13" s="408">
        <v>30559</v>
      </c>
      <c r="AC13" s="406"/>
      <c r="AD13" s="414"/>
      <c r="AE13" s="407" t="s">
        <v>140</v>
      </c>
    </row>
    <row r="14" spans="1:31" ht="26.4">
      <c r="A14" s="406" t="s">
        <v>141</v>
      </c>
      <c r="B14" s="407"/>
      <c r="C14" s="407"/>
      <c r="D14" s="407"/>
      <c r="E14" s="407"/>
      <c r="F14" s="407"/>
      <c r="G14" s="407">
        <v>12549</v>
      </c>
      <c r="H14" s="407">
        <v>14940</v>
      </c>
      <c r="I14" s="407">
        <v>13206</v>
      </c>
      <c r="J14" s="407">
        <v>15887</v>
      </c>
      <c r="K14" s="407">
        <v>18452</v>
      </c>
      <c r="L14" s="407">
        <v>17345</v>
      </c>
      <c r="M14" s="407">
        <v>18183</v>
      </c>
      <c r="N14" s="408">
        <v>17261</v>
      </c>
      <c r="O14" s="406">
        <v>24512</v>
      </c>
      <c r="P14" s="407">
        <v>35432</v>
      </c>
      <c r="Q14" s="407">
        <v>28800</v>
      </c>
      <c r="R14" s="407">
        <v>48739</v>
      </c>
      <c r="S14" s="407">
        <v>55865</v>
      </c>
      <c r="T14" s="407">
        <v>58996</v>
      </c>
      <c r="U14" s="407">
        <v>63292</v>
      </c>
      <c r="V14" s="407">
        <v>37635</v>
      </c>
      <c r="W14" s="407">
        <v>40020</v>
      </c>
      <c r="X14" s="407">
        <v>44180</v>
      </c>
      <c r="Y14" s="407">
        <v>44158</v>
      </c>
      <c r="Z14" s="407">
        <v>41405.5</v>
      </c>
      <c r="AA14" s="407">
        <v>40062</v>
      </c>
      <c r="AB14" s="408">
        <v>42766</v>
      </c>
      <c r="AC14" s="406"/>
      <c r="AD14" s="414"/>
      <c r="AE14" s="407" t="s">
        <v>142</v>
      </c>
    </row>
    <row r="15" spans="1:31" ht="26.4">
      <c r="A15" s="411" t="s">
        <v>147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412"/>
      <c r="O15" s="411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412"/>
      <c r="AC15" s="411"/>
      <c r="AD15" s="414"/>
      <c r="AE15" s="120" t="s">
        <v>148</v>
      </c>
    </row>
    <row r="16" spans="1:31" ht="26.4">
      <c r="A16" s="406" t="s">
        <v>149</v>
      </c>
      <c r="B16" s="407">
        <v>0</v>
      </c>
      <c r="C16" s="407">
        <v>0</v>
      </c>
      <c r="D16" s="407">
        <v>0</v>
      </c>
      <c r="E16" s="407">
        <v>0</v>
      </c>
      <c r="F16" s="407">
        <v>0</v>
      </c>
      <c r="G16" s="407">
        <v>0</v>
      </c>
      <c r="H16" s="407">
        <v>0</v>
      </c>
      <c r="I16" s="407">
        <v>1995.8969999999999</v>
      </c>
      <c r="J16" s="407">
        <v>2403.375</v>
      </c>
      <c r="K16" s="407">
        <v>2566.2330000000002</v>
      </c>
      <c r="L16" s="407">
        <v>2753.2640000000001</v>
      </c>
      <c r="M16" s="407">
        <v>2401.19</v>
      </c>
      <c r="N16" s="332">
        <v>0</v>
      </c>
      <c r="O16" s="406">
        <v>2791</v>
      </c>
      <c r="P16" s="407">
        <v>2936</v>
      </c>
      <c r="Q16" s="407">
        <v>2929</v>
      </c>
      <c r="R16" s="407">
        <v>0</v>
      </c>
      <c r="S16" s="407">
        <v>0</v>
      </c>
      <c r="T16" s="407">
        <v>0</v>
      </c>
      <c r="U16" s="407">
        <v>0</v>
      </c>
      <c r="V16" s="407">
        <v>0</v>
      </c>
      <c r="W16" s="407">
        <v>0</v>
      </c>
      <c r="X16" s="407">
        <v>0</v>
      </c>
      <c r="Y16" s="407">
        <v>0</v>
      </c>
      <c r="Z16" s="407">
        <v>0</v>
      </c>
      <c r="AA16" s="407">
        <v>0</v>
      </c>
      <c r="AB16" s="332">
        <v>0</v>
      </c>
      <c r="AC16" s="406"/>
      <c r="AD16" s="310"/>
      <c r="AE16" s="407" t="s">
        <v>150</v>
      </c>
    </row>
    <row r="17" spans="1:34" ht="26.4">
      <c r="A17" s="119" t="s">
        <v>151</v>
      </c>
      <c r="B17" s="407"/>
      <c r="C17" s="407"/>
      <c r="D17" s="407"/>
      <c r="E17" s="407"/>
      <c r="F17" s="407"/>
      <c r="G17" s="407"/>
      <c r="H17" s="407"/>
      <c r="I17" s="407">
        <v>1688.8969999999999</v>
      </c>
      <c r="J17" s="407">
        <v>2147.105</v>
      </c>
      <c r="K17" s="407">
        <v>2280.366</v>
      </c>
      <c r="L17" s="407">
        <v>2459.5439999999999</v>
      </c>
      <c r="M17" s="407">
        <v>2178.73</v>
      </c>
      <c r="N17" s="409" t="s">
        <v>13</v>
      </c>
      <c r="O17" s="119">
        <v>2791</v>
      </c>
      <c r="P17" s="407">
        <v>2936</v>
      </c>
      <c r="Q17" s="407">
        <v>2929</v>
      </c>
      <c r="R17" s="407" t="s">
        <v>13</v>
      </c>
      <c r="S17" s="407" t="s">
        <v>13</v>
      </c>
      <c r="T17" s="407" t="s">
        <v>13</v>
      </c>
      <c r="U17" s="407" t="s">
        <v>13</v>
      </c>
      <c r="V17" s="407"/>
      <c r="W17" s="407"/>
      <c r="X17" s="407"/>
      <c r="Y17" s="407"/>
      <c r="Z17" s="407"/>
      <c r="AA17" s="407"/>
      <c r="AB17" s="409"/>
      <c r="AC17" s="119"/>
      <c r="AD17" s="310"/>
      <c r="AE17" s="407" t="s">
        <v>152</v>
      </c>
    </row>
    <row r="18" spans="1:34" ht="26.4">
      <c r="A18" s="119" t="s">
        <v>153</v>
      </c>
      <c r="B18" s="407"/>
      <c r="C18" s="407"/>
      <c r="D18" s="407"/>
      <c r="E18" s="407"/>
      <c r="F18" s="407"/>
      <c r="G18" s="407"/>
      <c r="H18" s="407"/>
      <c r="I18" s="407">
        <v>307</v>
      </c>
      <c r="J18" s="407">
        <v>256.27</v>
      </c>
      <c r="K18" s="407">
        <v>285.86700000000002</v>
      </c>
      <c r="L18" s="407">
        <v>293.72000000000003</v>
      </c>
      <c r="M18" s="407">
        <v>222.46</v>
      </c>
      <c r="N18" s="409" t="s">
        <v>13</v>
      </c>
      <c r="O18" s="119" t="s">
        <v>13</v>
      </c>
      <c r="P18" s="407" t="s">
        <v>13</v>
      </c>
      <c r="Q18" s="407" t="s">
        <v>13</v>
      </c>
      <c r="R18" s="407" t="s">
        <v>13</v>
      </c>
      <c r="S18" s="407" t="s">
        <v>13</v>
      </c>
      <c r="T18" s="407" t="s">
        <v>13</v>
      </c>
      <c r="U18" s="407" t="s">
        <v>13</v>
      </c>
      <c r="V18" s="407"/>
      <c r="W18" s="407"/>
      <c r="X18" s="407"/>
      <c r="Y18" s="407"/>
      <c r="Z18" s="407"/>
      <c r="AA18" s="407"/>
      <c r="AB18" s="409"/>
      <c r="AC18" s="119"/>
      <c r="AD18" s="310"/>
      <c r="AE18" s="407" t="s">
        <v>154</v>
      </c>
    </row>
    <row r="19" spans="1:34" ht="26.4">
      <c r="A19" s="406" t="s">
        <v>155</v>
      </c>
      <c r="B19" s="407">
        <v>0</v>
      </c>
      <c r="C19" s="407">
        <v>0</v>
      </c>
      <c r="D19" s="407">
        <v>0</v>
      </c>
      <c r="E19" s="407">
        <v>0</v>
      </c>
      <c r="F19" s="407">
        <v>0</v>
      </c>
      <c r="G19" s="407">
        <v>0</v>
      </c>
      <c r="H19" s="407">
        <v>0</v>
      </c>
      <c r="I19" s="407">
        <v>215103</v>
      </c>
      <c r="J19" s="407">
        <v>218916</v>
      </c>
      <c r="K19" s="407">
        <v>230303</v>
      </c>
      <c r="L19" s="407">
        <v>229222.39999999999</v>
      </c>
      <c r="M19" s="407">
        <v>284822</v>
      </c>
      <c r="N19" s="410">
        <v>272856.3</v>
      </c>
      <c r="O19" s="406">
        <v>275453</v>
      </c>
      <c r="P19" s="407">
        <v>276252</v>
      </c>
      <c r="Q19" s="407">
        <v>25796.400000000001</v>
      </c>
      <c r="R19" s="407">
        <v>27013</v>
      </c>
      <c r="S19" s="407">
        <v>323384.90000000002</v>
      </c>
      <c r="T19" s="407">
        <v>325173.8</v>
      </c>
      <c r="U19" s="407">
        <v>325573.60000000003</v>
      </c>
      <c r="V19" s="407">
        <v>313935</v>
      </c>
      <c r="W19" s="407">
        <v>359723.5</v>
      </c>
      <c r="X19" s="407">
        <v>342841</v>
      </c>
      <c r="Y19" s="407">
        <v>341458.2</v>
      </c>
      <c r="Z19" s="407">
        <v>371705.8</v>
      </c>
      <c r="AA19" s="407">
        <v>379591.89999999997</v>
      </c>
      <c r="AB19" s="410">
        <v>383078.6</v>
      </c>
      <c r="AC19" s="406"/>
      <c r="AD19" s="414">
        <v>363130</v>
      </c>
      <c r="AE19" s="407" t="s">
        <v>156</v>
      </c>
    </row>
    <row r="20" spans="1:34" ht="26.4">
      <c r="A20" s="119" t="s">
        <v>151</v>
      </c>
      <c r="B20" s="407"/>
      <c r="C20" s="407"/>
      <c r="D20" s="407"/>
      <c r="E20" s="407"/>
      <c r="F20" s="407"/>
      <c r="G20" s="407"/>
      <c r="H20" s="407"/>
      <c r="I20" s="407">
        <v>191327</v>
      </c>
      <c r="J20" s="407">
        <v>193806</v>
      </c>
      <c r="K20" s="407">
        <v>203790.2</v>
      </c>
      <c r="L20" s="407">
        <v>203399.5</v>
      </c>
      <c r="M20" s="407">
        <v>243120</v>
      </c>
      <c r="N20" s="409">
        <v>240073.1</v>
      </c>
      <c r="O20" s="119">
        <v>250618</v>
      </c>
      <c r="P20" s="407">
        <v>247156</v>
      </c>
      <c r="Q20" s="407">
        <v>268375</v>
      </c>
      <c r="R20" s="407">
        <v>24200</v>
      </c>
      <c r="S20" s="407">
        <v>287310</v>
      </c>
      <c r="T20" s="407">
        <v>293850</v>
      </c>
      <c r="U20" s="407">
        <v>292861.40000000002</v>
      </c>
      <c r="V20" s="407">
        <v>281911.59999999998</v>
      </c>
      <c r="W20" s="407">
        <v>325248.5</v>
      </c>
      <c r="X20" s="407">
        <v>309514.7</v>
      </c>
      <c r="Y20" s="407">
        <v>309136.40000000002</v>
      </c>
      <c r="Z20" s="407">
        <v>324300.5</v>
      </c>
      <c r="AA20" s="407">
        <v>343937.8</v>
      </c>
      <c r="AB20" s="409">
        <v>339926.5</v>
      </c>
      <c r="AC20" s="119"/>
      <c r="AD20" s="414">
        <v>333545</v>
      </c>
      <c r="AE20" s="407" t="s">
        <v>152</v>
      </c>
    </row>
    <row r="21" spans="1:34" ht="26.4">
      <c r="A21" s="119" t="s">
        <v>153</v>
      </c>
      <c r="B21" s="407"/>
      <c r="C21" s="407"/>
      <c r="D21" s="407"/>
      <c r="E21" s="407"/>
      <c r="F21" s="407"/>
      <c r="G21" s="407"/>
      <c r="H21" s="407"/>
      <c r="I21" s="407">
        <v>23776</v>
      </c>
      <c r="J21" s="407">
        <v>25110</v>
      </c>
      <c r="K21" s="407">
        <v>26512.799999999999</v>
      </c>
      <c r="L21" s="407">
        <v>25822.9</v>
      </c>
      <c r="M21" s="407">
        <v>41702</v>
      </c>
      <c r="N21" s="409">
        <v>32783.199999999997</v>
      </c>
      <c r="O21" s="119">
        <v>24835</v>
      </c>
      <c r="P21" s="407">
        <v>29096</v>
      </c>
      <c r="Q21" s="407">
        <v>32807</v>
      </c>
      <c r="R21" s="407">
        <v>2813</v>
      </c>
      <c r="S21" s="407">
        <v>36074.9</v>
      </c>
      <c r="T21" s="407">
        <v>31323.8</v>
      </c>
      <c r="U21" s="407">
        <v>32712.2</v>
      </c>
      <c r="V21" s="407">
        <v>32023.4</v>
      </c>
      <c r="W21" s="407">
        <v>34475</v>
      </c>
      <c r="X21" s="407">
        <v>33326.300000000003</v>
      </c>
      <c r="Y21" s="407">
        <v>32321.8</v>
      </c>
      <c r="Z21" s="407">
        <v>47405.3</v>
      </c>
      <c r="AA21" s="407">
        <v>35654.1</v>
      </c>
      <c r="AB21" s="409">
        <v>43152.1</v>
      </c>
      <c r="AC21" s="119"/>
      <c r="AD21" s="414">
        <v>29585</v>
      </c>
      <c r="AE21" s="407" t="s">
        <v>154</v>
      </c>
    </row>
    <row r="22" spans="1:34" ht="27" thickBot="1">
      <c r="A22" s="193" t="s">
        <v>157</v>
      </c>
      <c r="AE22" s="194" t="s">
        <v>158</v>
      </c>
    </row>
    <row r="26" spans="1:34" ht="21.6">
      <c r="A26" s="833" t="s">
        <v>160</v>
      </c>
      <c r="B26" s="834"/>
      <c r="C26" s="834"/>
      <c r="D26" s="834"/>
      <c r="AE26" s="420" t="s">
        <v>159</v>
      </c>
      <c r="AF26" s="421"/>
      <c r="AG26" s="421"/>
      <c r="AH26" s="421"/>
    </row>
    <row r="27" spans="1:34" ht="15" thickBot="1"/>
    <row r="28" spans="1:34" ht="30">
      <c r="A28" s="307" t="s">
        <v>161</v>
      </c>
      <c r="B28" s="307">
        <v>1995</v>
      </c>
      <c r="C28" s="307">
        <v>1996</v>
      </c>
      <c r="D28" s="307">
        <v>1997</v>
      </c>
      <c r="E28" s="307">
        <v>1998</v>
      </c>
      <c r="F28" s="307">
        <v>1999</v>
      </c>
      <c r="G28" s="307">
        <v>2000</v>
      </c>
      <c r="H28" s="307">
        <v>2001</v>
      </c>
      <c r="I28" s="307">
        <v>2002</v>
      </c>
      <c r="J28" s="307">
        <v>2003</v>
      </c>
      <c r="K28" s="307">
        <v>2004</v>
      </c>
      <c r="L28" s="307">
        <v>2005</v>
      </c>
      <c r="M28" s="307">
        <v>2006</v>
      </c>
      <c r="N28" s="307">
        <v>2007</v>
      </c>
      <c r="O28" s="307">
        <v>2008</v>
      </c>
      <c r="P28" s="307">
        <v>2009</v>
      </c>
      <c r="Q28" s="307">
        <v>2010</v>
      </c>
      <c r="R28" s="307">
        <v>2011</v>
      </c>
      <c r="S28" s="307">
        <v>2012</v>
      </c>
      <c r="T28" s="307">
        <v>2013</v>
      </c>
      <c r="U28" s="307">
        <v>2014</v>
      </c>
      <c r="V28" s="307">
        <v>2015</v>
      </c>
      <c r="W28" s="307">
        <v>2016</v>
      </c>
      <c r="X28" s="307">
        <v>2017</v>
      </c>
      <c r="Y28" s="307">
        <v>2018</v>
      </c>
      <c r="Z28" s="307">
        <v>2019</v>
      </c>
      <c r="AA28" s="307">
        <v>2020</v>
      </c>
      <c r="AB28" s="307">
        <v>2021</v>
      </c>
      <c r="AC28" s="307">
        <v>2022</v>
      </c>
      <c r="AD28" s="307">
        <v>2023</v>
      </c>
      <c r="AE28" s="307" t="s">
        <v>162</v>
      </c>
    </row>
    <row r="29" spans="1:34" ht="26.4">
      <c r="A29" s="411" t="s">
        <v>163</v>
      </c>
      <c r="B29" s="407">
        <v>979</v>
      </c>
      <c r="C29" s="407">
        <v>1001</v>
      </c>
      <c r="D29" s="407">
        <v>1029</v>
      </c>
      <c r="E29" s="407">
        <v>940</v>
      </c>
      <c r="F29" s="407">
        <v>925</v>
      </c>
      <c r="G29" s="407">
        <v>878</v>
      </c>
      <c r="H29" s="407">
        <v>931</v>
      </c>
      <c r="I29" s="407">
        <v>793</v>
      </c>
      <c r="J29" s="407">
        <v>834</v>
      </c>
      <c r="K29" s="407">
        <v>844.11</v>
      </c>
      <c r="L29" s="407">
        <v>925</v>
      </c>
      <c r="M29" s="407">
        <v>923</v>
      </c>
      <c r="N29" s="412">
        <v>896</v>
      </c>
      <c r="O29" s="415">
        <v>1008</v>
      </c>
      <c r="P29" s="407">
        <v>824</v>
      </c>
      <c r="Q29" s="407">
        <v>812</v>
      </c>
      <c r="R29" s="407">
        <v>900</v>
      </c>
      <c r="S29" s="407">
        <v>1019</v>
      </c>
      <c r="T29" s="407">
        <v>1084</v>
      </c>
      <c r="U29" s="407">
        <v>1169</v>
      </c>
      <c r="V29" s="407">
        <v>1100</v>
      </c>
      <c r="W29" s="407">
        <v>1134</v>
      </c>
      <c r="X29" s="407">
        <v>1113.0450000000001</v>
      </c>
      <c r="Y29" s="407">
        <v>1017</v>
      </c>
      <c r="Z29" s="407">
        <v>1056</v>
      </c>
      <c r="AA29" s="407">
        <v>1046</v>
      </c>
      <c r="AB29" s="412">
        <v>1093</v>
      </c>
      <c r="AC29" s="415"/>
      <c r="AD29" s="412">
        <v>1113</v>
      </c>
      <c r="AE29" s="407" t="s">
        <v>164</v>
      </c>
    </row>
    <row r="30" spans="1:34" ht="26.4">
      <c r="A30" s="411" t="s">
        <v>165</v>
      </c>
      <c r="B30" s="407">
        <v>720</v>
      </c>
      <c r="C30" s="407">
        <v>925</v>
      </c>
      <c r="D30" s="407">
        <v>790</v>
      </c>
      <c r="E30" s="407">
        <v>801</v>
      </c>
      <c r="F30" s="407">
        <v>583</v>
      </c>
      <c r="G30" s="407">
        <v>842</v>
      </c>
      <c r="H30" s="407">
        <v>691</v>
      </c>
      <c r="I30" s="407">
        <v>656</v>
      </c>
      <c r="J30" s="407">
        <v>696</v>
      </c>
      <c r="K30" s="407">
        <v>868</v>
      </c>
      <c r="L30" s="407">
        <v>923</v>
      </c>
      <c r="M30" s="407">
        <v>881</v>
      </c>
      <c r="N30" s="416">
        <v>942</v>
      </c>
      <c r="O30" s="415">
        <v>977</v>
      </c>
      <c r="P30" s="407">
        <v>783</v>
      </c>
      <c r="Q30" s="407">
        <v>806</v>
      </c>
      <c r="R30" s="407">
        <v>853</v>
      </c>
      <c r="S30" s="407">
        <v>831</v>
      </c>
      <c r="T30" s="407">
        <v>990</v>
      </c>
      <c r="U30" s="407">
        <v>1072</v>
      </c>
      <c r="V30" s="407">
        <v>1045</v>
      </c>
      <c r="W30" s="407">
        <v>1032</v>
      </c>
      <c r="X30" s="407">
        <v>1047.5050000000001</v>
      </c>
      <c r="Y30" s="407">
        <v>953</v>
      </c>
      <c r="Z30" s="407">
        <v>921</v>
      </c>
      <c r="AA30" s="407">
        <v>980</v>
      </c>
      <c r="AB30" s="416">
        <v>993</v>
      </c>
      <c r="AC30" s="415"/>
      <c r="AD30" s="416">
        <v>989</v>
      </c>
      <c r="AE30" s="407" t="s">
        <v>166</v>
      </c>
    </row>
    <row r="31" spans="1:34" ht="26.4">
      <c r="A31" s="411" t="s">
        <v>167</v>
      </c>
      <c r="B31" s="407">
        <v>912</v>
      </c>
      <c r="C31" s="407">
        <v>926</v>
      </c>
      <c r="D31" s="407">
        <v>1006</v>
      </c>
      <c r="E31" s="407">
        <v>962</v>
      </c>
      <c r="F31" s="407">
        <v>403</v>
      </c>
      <c r="G31" s="407">
        <v>1029</v>
      </c>
      <c r="H31" s="407">
        <v>796</v>
      </c>
      <c r="I31" s="407">
        <v>763</v>
      </c>
      <c r="J31" s="407">
        <v>1077</v>
      </c>
      <c r="K31" s="407">
        <v>1037</v>
      </c>
      <c r="L31" s="407">
        <v>895</v>
      </c>
      <c r="M31" s="407">
        <v>921</v>
      </c>
      <c r="N31" s="416">
        <v>1052</v>
      </c>
      <c r="O31" s="415">
        <v>893</v>
      </c>
      <c r="P31" s="407">
        <v>875</v>
      </c>
      <c r="Q31" s="407">
        <v>1026</v>
      </c>
      <c r="R31" s="407">
        <v>1033</v>
      </c>
      <c r="S31" s="407">
        <v>920</v>
      </c>
      <c r="T31" s="407">
        <v>1125</v>
      </c>
      <c r="U31" s="407">
        <v>1143</v>
      </c>
      <c r="V31" s="407">
        <v>782</v>
      </c>
      <c r="W31" s="407">
        <v>1133</v>
      </c>
      <c r="X31" s="407">
        <v>1080.33</v>
      </c>
      <c r="Y31" s="407">
        <v>1005</v>
      </c>
      <c r="Z31" s="407">
        <v>1020</v>
      </c>
      <c r="AA31" s="407">
        <v>1077</v>
      </c>
      <c r="AB31" s="416">
        <v>1046</v>
      </c>
      <c r="AC31" s="415"/>
      <c r="AD31" s="416">
        <v>1210</v>
      </c>
      <c r="AE31" s="407" t="s">
        <v>168</v>
      </c>
    </row>
    <row r="32" spans="1:34" ht="26.4">
      <c r="A32" s="411" t="s">
        <v>169</v>
      </c>
      <c r="B32" s="407">
        <v>957</v>
      </c>
      <c r="C32" s="407">
        <v>902</v>
      </c>
      <c r="D32" s="407">
        <v>970</v>
      </c>
      <c r="E32" s="407">
        <v>928</v>
      </c>
      <c r="F32" s="407">
        <v>872</v>
      </c>
      <c r="G32" s="407">
        <v>868</v>
      </c>
      <c r="H32" s="407">
        <v>960</v>
      </c>
      <c r="I32" s="407">
        <v>754</v>
      </c>
      <c r="J32" s="407">
        <v>1002</v>
      </c>
      <c r="K32" s="407">
        <v>949</v>
      </c>
      <c r="L32" s="407">
        <v>838</v>
      </c>
      <c r="M32" s="407">
        <v>952</v>
      </c>
      <c r="N32" s="416">
        <v>935</v>
      </c>
      <c r="O32" s="415">
        <v>1047</v>
      </c>
      <c r="P32" s="407">
        <v>818</v>
      </c>
      <c r="Q32" s="407">
        <v>920</v>
      </c>
      <c r="R32" s="407">
        <v>978</v>
      </c>
      <c r="S32" s="407">
        <v>953</v>
      </c>
      <c r="T32" s="407">
        <v>1022</v>
      </c>
      <c r="U32" s="407">
        <v>1173</v>
      </c>
      <c r="V32" s="407">
        <v>849</v>
      </c>
      <c r="W32" s="407">
        <v>1046</v>
      </c>
      <c r="X32" s="407">
        <v>973.06500000000005</v>
      </c>
      <c r="Y32" s="407">
        <v>914</v>
      </c>
      <c r="Z32" s="407">
        <v>1061</v>
      </c>
      <c r="AA32" s="407">
        <v>1058</v>
      </c>
      <c r="AB32" s="416">
        <v>975</v>
      </c>
      <c r="AC32" s="415"/>
      <c r="AD32" s="416">
        <v>1215</v>
      </c>
      <c r="AE32" s="407" t="s">
        <v>170</v>
      </c>
    </row>
    <row r="33" spans="1:34" ht="26.4">
      <c r="A33" s="411" t="s">
        <v>171</v>
      </c>
      <c r="B33" s="407">
        <v>1043</v>
      </c>
      <c r="C33" s="407">
        <v>943</v>
      </c>
      <c r="D33" s="407">
        <v>1019</v>
      </c>
      <c r="E33" s="407">
        <v>975</v>
      </c>
      <c r="F33" s="407">
        <v>939</v>
      </c>
      <c r="G33" s="407">
        <v>1002</v>
      </c>
      <c r="H33" s="407">
        <v>1018</v>
      </c>
      <c r="I33" s="407">
        <v>880</v>
      </c>
      <c r="J33" s="407">
        <v>919</v>
      </c>
      <c r="K33" s="407">
        <v>1010</v>
      </c>
      <c r="L33" s="407">
        <v>954</v>
      </c>
      <c r="M33" s="407">
        <v>846</v>
      </c>
      <c r="N33" s="412">
        <v>950</v>
      </c>
      <c r="O33" s="415">
        <v>1074</v>
      </c>
      <c r="P33" s="407">
        <v>988</v>
      </c>
      <c r="Q33" s="407">
        <v>1090</v>
      </c>
      <c r="R33" s="407">
        <v>987</v>
      </c>
      <c r="S33" s="407">
        <v>915</v>
      </c>
      <c r="T33" s="407">
        <v>1016</v>
      </c>
      <c r="U33" s="407">
        <v>1177</v>
      </c>
      <c r="V33" s="407">
        <v>1007</v>
      </c>
      <c r="W33" s="407">
        <v>1015</v>
      </c>
      <c r="X33" s="407">
        <v>983.57600000000002</v>
      </c>
      <c r="Y33" s="407">
        <v>1056</v>
      </c>
      <c r="Z33" s="407">
        <v>1038</v>
      </c>
      <c r="AA33" s="407">
        <v>1049</v>
      </c>
      <c r="AB33" s="412">
        <v>1051</v>
      </c>
      <c r="AC33" s="415"/>
      <c r="AD33" s="412">
        <v>1231</v>
      </c>
      <c r="AE33" s="407" t="s">
        <v>172</v>
      </c>
    </row>
    <row r="34" spans="1:34" ht="26.4">
      <c r="A34" s="411" t="s">
        <v>173</v>
      </c>
      <c r="B34" s="407">
        <v>957</v>
      </c>
      <c r="C34" s="407">
        <v>870</v>
      </c>
      <c r="D34" s="407">
        <v>994</v>
      </c>
      <c r="E34" s="407">
        <v>911</v>
      </c>
      <c r="F34" s="407">
        <v>964</v>
      </c>
      <c r="G34" s="407">
        <v>936</v>
      </c>
      <c r="H34" s="407">
        <v>889</v>
      </c>
      <c r="I34" s="407">
        <v>893</v>
      </c>
      <c r="J34" s="407">
        <v>807</v>
      </c>
      <c r="K34" s="407">
        <v>718</v>
      </c>
      <c r="L34" s="407">
        <v>974</v>
      </c>
      <c r="M34" s="407">
        <v>989</v>
      </c>
      <c r="N34" s="412">
        <v>1073</v>
      </c>
      <c r="O34" s="415">
        <v>1031</v>
      </c>
      <c r="P34" s="407">
        <v>751</v>
      </c>
      <c r="Q34" s="407">
        <v>1000</v>
      </c>
      <c r="R34" s="407">
        <v>1004</v>
      </c>
      <c r="S34" s="407">
        <v>775</v>
      </c>
      <c r="T34" s="407">
        <v>983</v>
      </c>
      <c r="U34" s="407">
        <v>1014</v>
      </c>
      <c r="V34" s="407">
        <v>967</v>
      </c>
      <c r="W34" s="407">
        <v>1025</v>
      </c>
      <c r="X34" s="407">
        <v>906.23299999999995</v>
      </c>
      <c r="Y34" s="407">
        <v>952</v>
      </c>
      <c r="Z34" s="407">
        <v>1037</v>
      </c>
      <c r="AA34" s="407">
        <v>1054</v>
      </c>
      <c r="AB34" s="412">
        <v>1012</v>
      </c>
      <c r="AC34" s="415"/>
      <c r="AD34" s="412">
        <v>1153</v>
      </c>
      <c r="AE34" s="407" t="s">
        <v>174</v>
      </c>
    </row>
    <row r="35" spans="1:34" ht="26.4">
      <c r="A35" s="411" t="s">
        <v>175</v>
      </c>
      <c r="B35" s="407">
        <v>954</v>
      </c>
      <c r="C35" s="407">
        <v>947</v>
      </c>
      <c r="D35" s="407">
        <v>922</v>
      </c>
      <c r="E35" s="407">
        <v>1030</v>
      </c>
      <c r="F35" s="407">
        <v>949</v>
      </c>
      <c r="G35" s="407">
        <v>957</v>
      </c>
      <c r="H35" s="407">
        <v>1063</v>
      </c>
      <c r="I35" s="407">
        <v>879</v>
      </c>
      <c r="J35" s="407"/>
      <c r="K35" s="407">
        <v>797</v>
      </c>
      <c r="L35" s="407">
        <v>991</v>
      </c>
      <c r="M35" s="407">
        <v>906</v>
      </c>
      <c r="N35" s="416">
        <v>1021</v>
      </c>
      <c r="O35" s="415">
        <v>939</v>
      </c>
      <c r="P35" s="407">
        <v>800</v>
      </c>
      <c r="Q35" s="407">
        <v>1027</v>
      </c>
      <c r="R35" s="407">
        <v>655</v>
      </c>
      <c r="S35" s="407">
        <v>908</v>
      </c>
      <c r="T35" s="407">
        <v>959</v>
      </c>
      <c r="U35" s="407">
        <v>1072</v>
      </c>
      <c r="V35" s="407">
        <v>933</v>
      </c>
      <c r="W35" s="407">
        <v>1151</v>
      </c>
      <c r="X35" s="407">
        <v>1020.328</v>
      </c>
      <c r="Y35" s="407">
        <v>847</v>
      </c>
      <c r="Z35" s="407">
        <v>1009</v>
      </c>
      <c r="AA35" s="407">
        <v>1101</v>
      </c>
      <c r="AB35" s="416">
        <v>1127</v>
      </c>
      <c r="AC35" s="415"/>
      <c r="AD35" s="416">
        <v>1055</v>
      </c>
      <c r="AE35" s="407" t="s">
        <v>176</v>
      </c>
    </row>
    <row r="36" spans="1:34" ht="26.4">
      <c r="A36" s="411" t="s">
        <v>177</v>
      </c>
      <c r="B36" s="407">
        <v>928</v>
      </c>
      <c r="C36" s="407">
        <v>943</v>
      </c>
      <c r="D36" s="407">
        <v>961</v>
      </c>
      <c r="E36" s="407">
        <v>913</v>
      </c>
      <c r="F36" s="407">
        <v>865</v>
      </c>
      <c r="G36" s="407">
        <v>926</v>
      </c>
      <c r="H36" s="407">
        <v>783</v>
      </c>
      <c r="I36" s="407">
        <v>845</v>
      </c>
      <c r="J36" s="407" t="s">
        <v>10</v>
      </c>
      <c r="K36" s="407">
        <v>1099</v>
      </c>
      <c r="L36" s="407">
        <v>1038</v>
      </c>
      <c r="M36" s="407">
        <v>997</v>
      </c>
      <c r="N36" s="416">
        <v>989</v>
      </c>
      <c r="O36" s="415">
        <v>1002</v>
      </c>
      <c r="P36" s="407">
        <v>926</v>
      </c>
      <c r="Q36" s="407">
        <v>1008.4</v>
      </c>
      <c r="R36" s="407">
        <v>1023</v>
      </c>
      <c r="S36" s="407">
        <v>932</v>
      </c>
      <c r="T36" s="407">
        <v>1002</v>
      </c>
      <c r="U36" s="407">
        <v>1142</v>
      </c>
      <c r="V36" s="407">
        <v>1054</v>
      </c>
      <c r="W36" s="407">
        <v>1179</v>
      </c>
      <c r="X36" s="407">
        <v>892.33500000000004</v>
      </c>
      <c r="Y36" s="407">
        <v>895</v>
      </c>
      <c r="Z36" s="407">
        <v>1007</v>
      </c>
      <c r="AA36" s="407">
        <v>1025</v>
      </c>
      <c r="AB36" s="416">
        <v>1161</v>
      </c>
      <c r="AC36" s="415"/>
      <c r="AD36" s="416">
        <v>1101</v>
      </c>
      <c r="AE36" s="407" t="s">
        <v>178</v>
      </c>
    </row>
    <row r="37" spans="1:34" ht="26.4">
      <c r="A37" s="411" t="s">
        <v>179</v>
      </c>
      <c r="B37" s="407">
        <v>910</v>
      </c>
      <c r="C37" s="407">
        <v>881</v>
      </c>
      <c r="D37" s="407">
        <v>918</v>
      </c>
      <c r="E37" s="407">
        <v>860</v>
      </c>
      <c r="F37" s="407">
        <v>989</v>
      </c>
      <c r="G37" s="407">
        <v>1048</v>
      </c>
      <c r="H37" s="407">
        <v>909</v>
      </c>
      <c r="I37" s="407">
        <v>735</v>
      </c>
      <c r="J37" s="407" t="s">
        <v>10</v>
      </c>
      <c r="K37" s="407">
        <v>804</v>
      </c>
      <c r="L37" s="407">
        <v>873</v>
      </c>
      <c r="M37" s="407">
        <v>1003</v>
      </c>
      <c r="N37" s="416">
        <v>1006</v>
      </c>
      <c r="O37" s="415">
        <v>934</v>
      </c>
      <c r="P37" s="407">
        <v>922</v>
      </c>
      <c r="Q37" s="407">
        <v>677.20100000000002</v>
      </c>
      <c r="R37" s="407">
        <v>892</v>
      </c>
      <c r="S37" s="407">
        <v>846</v>
      </c>
      <c r="T37" s="407">
        <v>976</v>
      </c>
      <c r="U37" s="407">
        <v>1149</v>
      </c>
      <c r="V37" s="407">
        <v>785</v>
      </c>
      <c r="W37" s="407">
        <v>1156</v>
      </c>
      <c r="X37" s="407">
        <v>921.298</v>
      </c>
      <c r="Y37" s="407">
        <v>682</v>
      </c>
      <c r="Z37" s="407">
        <v>980</v>
      </c>
      <c r="AA37" s="407">
        <v>1068</v>
      </c>
      <c r="AB37" s="416">
        <v>1130</v>
      </c>
      <c r="AC37" s="415"/>
      <c r="AD37" s="412">
        <v>1217</v>
      </c>
      <c r="AE37" s="407" t="s">
        <v>180</v>
      </c>
    </row>
    <row r="38" spans="1:34" ht="26.4">
      <c r="A38" s="411" t="s">
        <v>181</v>
      </c>
      <c r="B38" s="407">
        <v>1015</v>
      </c>
      <c r="C38" s="407">
        <v>1005</v>
      </c>
      <c r="D38" s="407">
        <v>1004</v>
      </c>
      <c r="E38" s="407">
        <v>1008</v>
      </c>
      <c r="F38" s="407">
        <v>1015</v>
      </c>
      <c r="G38" s="407">
        <v>979</v>
      </c>
      <c r="H38" s="407">
        <v>782</v>
      </c>
      <c r="I38" s="407">
        <v>712</v>
      </c>
      <c r="J38" s="407" t="s">
        <v>10</v>
      </c>
      <c r="K38" s="407">
        <v>1023</v>
      </c>
      <c r="L38" s="407">
        <v>1030</v>
      </c>
      <c r="M38" s="407">
        <v>952</v>
      </c>
      <c r="N38" s="412">
        <v>1074</v>
      </c>
      <c r="O38" s="415">
        <v>948</v>
      </c>
      <c r="P38" s="407">
        <v>1067</v>
      </c>
      <c r="Q38" s="407">
        <v>1008.393</v>
      </c>
      <c r="R38" s="407">
        <v>879.6</v>
      </c>
      <c r="S38" s="407">
        <v>1036</v>
      </c>
      <c r="T38" s="407">
        <v>1067</v>
      </c>
      <c r="U38" s="407">
        <v>1075</v>
      </c>
      <c r="V38" s="407">
        <v>1038.5999999999999</v>
      </c>
      <c r="W38" s="407">
        <v>1078</v>
      </c>
      <c r="X38" s="407">
        <v>956.92499999999995</v>
      </c>
      <c r="Y38" s="407">
        <v>881</v>
      </c>
      <c r="Z38" s="407">
        <v>965</v>
      </c>
      <c r="AA38" s="407">
        <v>1046</v>
      </c>
      <c r="AB38" s="412">
        <v>1027</v>
      </c>
      <c r="AC38" s="415"/>
      <c r="AD38" s="416">
        <v>1158</v>
      </c>
      <c r="AE38" s="407" t="s">
        <v>182</v>
      </c>
    </row>
    <row r="39" spans="1:34" ht="26.4">
      <c r="A39" s="411" t="s">
        <v>183</v>
      </c>
      <c r="B39" s="407">
        <v>930</v>
      </c>
      <c r="C39" s="407">
        <v>974</v>
      </c>
      <c r="D39" s="407">
        <v>972</v>
      </c>
      <c r="E39" s="407">
        <v>974</v>
      </c>
      <c r="F39" s="407">
        <v>951</v>
      </c>
      <c r="G39" s="407">
        <v>825</v>
      </c>
      <c r="H39" s="407">
        <v>703</v>
      </c>
      <c r="I39" s="407">
        <v>757</v>
      </c>
      <c r="J39" s="407" t="s">
        <v>10</v>
      </c>
      <c r="K39" s="407">
        <v>773</v>
      </c>
      <c r="L39" s="407">
        <v>871</v>
      </c>
      <c r="M39" s="407">
        <v>866</v>
      </c>
      <c r="N39" s="417">
        <v>1102</v>
      </c>
      <c r="O39" s="415">
        <v>704</v>
      </c>
      <c r="P39" s="407">
        <v>847</v>
      </c>
      <c r="Q39" s="407">
        <v>1048.078</v>
      </c>
      <c r="R39" s="407">
        <v>923.2</v>
      </c>
      <c r="S39" s="407">
        <v>1000</v>
      </c>
      <c r="T39" s="407">
        <v>1132</v>
      </c>
      <c r="U39" s="407">
        <v>915</v>
      </c>
      <c r="V39" s="407">
        <v>884.1</v>
      </c>
      <c r="W39" s="407">
        <v>1169</v>
      </c>
      <c r="X39" s="407">
        <v>979.51900000000001</v>
      </c>
      <c r="Y39" s="407">
        <v>794</v>
      </c>
      <c r="Z39" s="407">
        <v>1001</v>
      </c>
      <c r="AA39" s="407">
        <v>1037</v>
      </c>
      <c r="AB39" s="417">
        <v>1047</v>
      </c>
      <c r="AC39" s="415"/>
      <c r="AD39" s="416">
        <v>1178</v>
      </c>
      <c r="AE39" s="407" t="s">
        <v>184</v>
      </c>
    </row>
    <row r="40" spans="1:34" ht="26.4">
      <c r="A40" s="411" t="s">
        <v>185</v>
      </c>
      <c r="B40" s="407">
        <v>1024</v>
      </c>
      <c r="C40" s="407">
        <v>1046</v>
      </c>
      <c r="D40" s="407">
        <v>1118</v>
      </c>
      <c r="E40" s="407">
        <v>1070</v>
      </c>
      <c r="F40" s="407">
        <v>990</v>
      </c>
      <c r="G40" s="407">
        <v>1100</v>
      </c>
      <c r="H40" s="407">
        <v>679</v>
      </c>
      <c r="I40" s="407">
        <v>756</v>
      </c>
      <c r="J40" s="407" t="s">
        <v>10</v>
      </c>
      <c r="K40" s="407">
        <v>583</v>
      </c>
      <c r="L40" s="407">
        <v>821</v>
      </c>
      <c r="M40" s="407">
        <v>917</v>
      </c>
      <c r="N40" s="418">
        <v>870</v>
      </c>
      <c r="O40" s="415">
        <v>738</v>
      </c>
      <c r="P40" s="407">
        <v>922</v>
      </c>
      <c r="Q40" s="407">
        <v>994.40899999999999</v>
      </c>
      <c r="R40" s="407">
        <v>1254.9000000000001</v>
      </c>
      <c r="S40" s="407">
        <v>1034</v>
      </c>
      <c r="T40" s="407">
        <v>1176</v>
      </c>
      <c r="U40" s="407">
        <v>1203</v>
      </c>
      <c r="V40" s="407">
        <v>1162.3</v>
      </c>
      <c r="W40" s="407">
        <v>1150</v>
      </c>
      <c r="X40" s="407">
        <v>938.55899999999997</v>
      </c>
      <c r="Y40" s="407">
        <v>712</v>
      </c>
      <c r="Z40" s="407">
        <v>1102</v>
      </c>
      <c r="AA40" s="407">
        <v>975</v>
      </c>
      <c r="AB40" s="418">
        <v>956</v>
      </c>
      <c r="AC40" s="415"/>
      <c r="AD40" s="416">
        <v>1387</v>
      </c>
      <c r="AE40" s="407" t="s">
        <v>186</v>
      </c>
    </row>
    <row r="41" spans="1:34" ht="26.4">
      <c r="A41" s="411" t="s">
        <v>48</v>
      </c>
      <c r="B41" s="407">
        <v>11329</v>
      </c>
      <c r="C41" s="407">
        <v>11363</v>
      </c>
      <c r="D41" s="407">
        <v>11703</v>
      </c>
      <c r="E41" s="407">
        <v>11372</v>
      </c>
      <c r="F41" s="407">
        <v>10445</v>
      </c>
      <c r="G41" s="407">
        <v>11390</v>
      </c>
      <c r="H41" s="407">
        <v>10204</v>
      </c>
      <c r="I41" s="407">
        <v>9423</v>
      </c>
      <c r="J41" s="407">
        <v>5335</v>
      </c>
      <c r="K41" s="407">
        <v>10505.11</v>
      </c>
      <c r="L41" s="407">
        <v>11133</v>
      </c>
      <c r="M41" s="407">
        <v>11153</v>
      </c>
      <c r="N41" s="418">
        <v>11910</v>
      </c>
      <c r="O41" s="415">
        <v>11295</v>
      </c>
      <c r="P41" s="407">
        <v>10523</v>
      </c>
      <c r="Q41" s="407">
        <v>11417.480999999998</v>
      </c>
      <c r="R41" s="407">
        <v>11382.7</v>
      </c>
      <c r="S41" s="407">
        <v>11169</v>
      </c>
      <c r="T41" s="407">
        <v>12531</v>
      </c>
      <c r="U41" s="407">
        <v>13306</v>
      </c>
      <c r="V41" s="407">
        <v>11607</v>
      </c>
      <c r="W41" s="407">
        <v>13268</v>
      </c>
      <c r="X41" s="407">
        <v>11812.717999999999</v>
      </c>
      <c r="Y41" s="407">
        <v>10708</v>
      </c>
      <c r="Z41" s="407">
        <v>12197</v>
      </c>
      <c r="AA41" s="407">
        <v>12515</v>
      </c>
      <c r="AB41" s="418">
        <v>12618</v>
      </c>
      <c r="AC41" s="415"/>
      <c r="AD41" s="412">
        <v>14007</v>
      </c>
      <c r="AE41" s="407" t="s">
        <v>4</v>
      </c>
    </row>
    <row r="43" spans="1:34" ht="26.4">
      <c r="A43" s="833" t="s">
        <v>187</v>
      </c>
      <c r="B43" s="834"/>
      <c r="C43" s="834"/>
      <c r="D43" s="834"/>
      <c r="AE43" s="192" t="s">
        <v>158</v>
      </c>
    </row>
    <row r="46" spans="1:34" ht="21.6">
      <c r="AE46" s="420" t="s">
        <v>188</v>
      </c>
      <c r="AF46" s="421"/>
      <c r="AG46" s="421"/>
      <c r="AH46" s="421"/>
    </row>
    <row r="47" spans="1:34" ht="21.6">
      <c r="A47" s="833" t="s">
        <v>189</v>
      </c>
      <c r="B47" s="834"/>
      <c r="C47" s="834"/>
      <c r="D47" s="834"/>
    </row>
    <row r="48" spans="1:34" ht="15" thickBot="1"/>
    <row r="49" spans="1:34" ht="27.6" customHeight="1">
      <c r="A49" s="307" t="s">
        <v>190</v>
      </c>
      <c r="B49" s="307">
        <v>1995</v>
      </c>
      <c r="C49" s="307">
        <v>1996</v>
      </c>
      <c r="D49" s="307">
        <v>1997</v>
      </c>
      <c r="E49" s="307">
        <v>1998</v>
      </c>
      <c r="F49" s="307">
        <v>1999</v>
      </c>
      <c r="G49" s="307">
        <v>2000</v>
      </c>
      <c r="H49" s="307">
        <v>2001</v>
      </c>
      <c r="I49" s="307">
        <v>2002</v>
      </c>
      <c r="J49" s="307">
        <v>2003</v>
      </c>
      <c r="K49" s="307">
        <v>2004</v>
      </c>
      <c r="L49" s="307">
        <v>2005</v>
      </c>
      <c r="M49" s="307">
        <v>2006</v>
      </c>
      <c r="N49" s="307">
        <v>2007</v>
      </c>
      <c r="O49" s="307">
        <v>2008</v>
      </c>
      <c r="P49" s="307">
        <v>2009</v>
      </c>
      <c r="Q49" s="307">
        <v>2010</v>
      </c>
      <c r="R49" s="307">
        <v>2011</v>
      </c>
      <c r="S49" s="307">
        <v>2012</v>
      </c>
      <c r="T49" s="307">
        <v>2013</v>
      </c>
      <c r="U49" s="307">
        <v>2014</v>
      </c>
      <c r="V49" s="307">
        <v>2015</v>
      </c>
      <c r="W49" s="307">
        <v>2016</v>
      </c>
      <c r="X49" s="307">
        <v>2017</v>
      </c>
      <c r="Y49" s="307">
        <v>2018</v>
      </c>
      <c r="Z49" s="307">
        <v>2019</v>
      </c>
      <c r="AA49" s="307">
        <v>2020</v>
      </c>
      <c r="AB49" s="307">
        <v>2021</v>
      </c>
      <c r="AC49" s="307">
        <v>2022</v>
      </c>
      <c r="AD49" s="307"/>
      <c r="AE49" s="307" t="s">
        <v>191</v>
      </c>
    </row>
    <row r="50" spans="1:34" ht="26.4">
      <c r="A50" s="310"/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0"/>
      <c r="AA50" s="310"/>
      <c r="AB50" s="310"/>
      <c r="AC50" s="310"/>
      <c r="AD50" s="310"/>
      <c r="AE50" s="310"/>
    </row>
    <row r="51" spans="1:34" ht="26.4">
      <c r="A51" s="119" t="s">
        <v>192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19">
        <v>11167.86443</v>
      </c>
      <c r="N51" s="419">
        <v>5487.2769000000008</v>
      </c>
      <c r="O51" s="119">
        <v>4412</v>
      </c>
      <c r="P51" s="419">
        <v>4104.4781599999997</v>
      </c>
      <c r="Q51" s="119">
        <v>3025</v>
      </c>
      <c r="R51" s="119">
        <v>2824.4</v>
      </c>
      <c r="S51" s="119">
        <v>2667.4</v>
      </c>
      <c r="T51" s="119">
        <v>2454.7800000000002</v>
      </c>
      <c r="U51" s="119">
        <v>2170.3000000000002</v>
      </c>
      <c r="V51" s="119">
        <v>1933.2</v>
      </c>
      <c r="W51" s="119">
        <v>1727.3</v>
      </c>
      <c r="X51" s="119">
        <v>637.69999999999993</v>
      </c>
      <c r="Y51" s="119" t="s">
        <v>13</v>
      </c>
      <c r="Z51" s="119" t="s">
        <v>13</v>
      </c>
      <c r="AA51" s="119" t="s">
        <v>13</v>
      </c>
      <c r="AB51" s="119" t="s">
        <v>13</v>
      </c>
      <c r="AC51" s="119"/>
      <c r="AD51" s="119"/>
      <c r="AE51" s="310" t="s">
        <v>193</v>
      </c>
    </row>
    <row r="52" spans="1:34" ht="26.4">
      <c r="A52" s="119" t="s">
        <v>194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19">
        <v>5000</v>
      </c>
      <c r="N52" s="419">
        <v>28911.272727272699</v>
      </c>
      <c r="O52" s="119">
        <v>32900</v>
      </c>
      <c r="P52" s="119">
        <v>36600</v>
      </c>
      <c r="Q52" s="119">
        <v>37000</v>
      </c>
      <c r="R52" s="119">
        <v>39900</v>
      </c>
      <c r="S52" s="119">
        <v>34800</v>
      </c>
      <c r="T52" s="119">
        <v>37100</v>
      </c>
      <c r="U52" s="119">
        <v>33100</v>
      </c>
      <c r="V52" s="119">
        <v>44900.000000000007</v>
      </c>
      <c r="W52" s="119">
        <v>32900</v>
      </c>
      <c r="X52" s="119">
        <v>28791</v>
      </c>
      <c r="Y52" s="119">
        <v>32000</v>
      </c>
      <c r="Z52" s="119">
        <v>29500</v>
      </c>
      <c r="AA52" s="119">
        <v>28491</v>
      </c>
      <c r="AB52" s="119">
        <v>18900</v>
      </c>
      <c r="AC52" s="414">
        <v>13300</v>
      </c>
      <c r="AD52" s="414" t="s">
        <v>1008</v>
      </c>
      <c r="AE52" s="310" t="s">
        <v>195</v>
      </c>
    </row>
    <row r="53" spans="1:34" ht="52.8">
      <c r="A53" s="119" t="s">
        <v>196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419">
        <v>10000</v>
      </c>
      <c r="N53" s="419">
        <v>54458.181818181816</v>
      </c>
      <c r="O53" s="119">
        <v>200100</v>
      </c>
      <c r="P53" s="119">
        <v>252300</v>
      </c>
      <c r="Q53" s="119">
        <v>267700</v>
      </c>
      <c r="R53" s="119">
        <v>263600</v>
      </c>
      <c r="S53" s="119">
        <v>243000</v>
      </c>
      <c r="T53" s="119">
        <v>304300</v>
      </c>
      <c r="U53" s="119">
        <v>309500</v>
      </c>
      <c r="V53" s="119">
        <v>283000</v>
      </c>
      <c r="W53" s="119">
        <v>229100</v>
      </c>
      <c r="X53" s="119">
        <v>292455</v>
      </c>
      <c r="Y53" s="119">
        <v>296900</v>
      </c>
      <c r="Z53" s="119">
        <v>432100</v>
      </c>
      <c r="AA53" s="119">
        <v>454147</v>
      </c>
      <c r="AB53" s="119">
        <v>202500</v>
      </c>
      <c r="AC53" s="414">
        <v>569400</v>
      </c>
      <c r="AD53" s="414" t="s">
        <v>1009</v>
      </c>
      <c r="AE53" s="310" t="s">
        <v>197</v>
      </c>
    </row>
    <row r="55" spans="1:34" ht="21.6">
      <c r="A55" s="833" t="s">
        <v>198</v>
      </c>
      <c r="B55" s="834"/>
      <c r="C55" s="834"/>
      <c r="D55" s="834"/>
      <c r="AE55" s="420" t="s">
        <v>199</v>
      </c>
      <c r="AF55" s="421"/>
      <c r="AG55" s="421"/>
      <c r="AH55" s="421"/>
    </row>
  </sheetData>
  <mergeCells count="4">
    <mergeCell ref="A26:D26"/>
    <mergeCell ref="A43:D43"/>
    <mergeCell ref="A47:D47"/>
    <mergeCell ref="A55:D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Q34"/>
  <sheetViews>
    <sheetView workbookViewId="0">
      <selection activeCell="M2" sqref="M2"/>
    </sheetView>
  </sheetViews>
  <sheetFormatPr baseColWidth="10" defaultRowHeight="14.4"/>
  <sheetData>
    <row r="1" spans="1:17" ht="27.6" thickBot="1">
      <c r="A1" s="262"/>
      <c r="B1" s="262"/>
      <c r="C1" s="262"/>
      <c r="D1" s="262"/>
      <c r="E1" s="262"/>
      <c r="Q1" s="263" t="s">
        <v>943</v>
      </c>
    </row>
    <row r="2" spans="1:17" ht="25.2" thickBot="1">
      <c r="A2" s="264" t="s">
        <v>1592</v>
      </c>
      <c r="B2" s="262"/>
      <c r="C2" s="262"/>
      <c r="D2" s="262"/>
      <c r="E2" s="262"/>
      <c r="F2" s="262"/>
    </row>
    <row r="3" spans="1:17" ht="15">
      <c r="A3" s="325"/>
      <c r="B3" s="325"/>
      <c r="C3" s="325"/>
      <c r="D3" s="325"/>
      <c r="E3" s="325"/>
      <c r="F3" s="325"/>
    </row>
    <row r="4" spans="1:17" ht="81">
      <c r="A4" s="835" t="s">
        <v>944</v>
      </c>
      <c r="B4" s="835"/>
      <c r="C4" s="329" t="s">
        <v>945</v>
      </c>
      <c r="D4" s="329" t="s">
        <v>946</v>
      </c>
      <c r="E4" s="329" t="s">
        <v>947</v>
      </c>
      <c r="F4" s="329" t="s">
        <v>948</v>
      </c>
    </row>
    <row r="5" spans="1:17" ht="132">
      <c r="A5" s="835"/>
      <c r="B5" s="835"/>
      <c r="C5" s="330" t="s">
        <v>949</v>
      </c>
      <c r="D5" s="330" t="s">
        <v>950</v>
      </c>
      <c r="E5" s="330" t="s">
        <v>951</v>
      </c>
      <c r="F5" s="330" t="s">
        <v>952</v>
      </c>
    </row>
    <row r="6" spans="1:17" ht="52.8">
      <c r="A6" s="835">
        <v>2016</v>
      </c>
      <c r="B6" s="261" t="s">
        <v>953</v>
      </c>
      <c r="C6" s="261">
        <v>112.6</v>
      </c>
      <c r="D6" s="261">
        <v>116.4</v>
      </c>
      <c r="E6" s="261">
        <v>117.3</v>
      </c>
      <c r="F6" s="261">
        <v>131.30000000000001</v>
      </c>
    </row>
    <row r="7" spans="1:17" ht="52.8">
      <c r="A7" s="835"/>
      <c r="B7" s="261" t="s">
        <v>954</v>
      </c>
      <c r="C7" s="261">
        <v>101.5</v>
      </c>
      <c r="D7" s="261">
        <v>101.1</v>
      </c>
      <c r="E7" s="261">
        <v>104.5</v>
      </c>
      <c r="F7" s="261">
        <v>163.69999999999999</v>
      </c>
    </row>
    <row r="8" spans="1:17" ht="52.8">
      <c r="A8" s="835"/>
      <c r="B8" s="261" t="s">
        <v>955</v>
      </c>
      <c r="C8" s="261">
        <v>108.1</v>
      </c>
      <c r="D8" s="261">
        <v>110.2</v>
      </c>
      <c r="E8" s="261">
        <v>98.3</v>
      </c>
      <c r="F8" s="261">
        <v>172.1</v>
      </c>
    </row>
    <row r="9" spans="1:17" ht="52.8">
      <c r="A9" s="835"/>
      <c r="B9" s="261" t="s">
        <v>956</v>
      </c>
      <c r="C9" s="261">
        <v>111.4</v>
      </c>
      <c r="D9" s="261">
        <v>114.7</v>
      </c>
      <c r="E9" s="261">
        <v>102.6</v>
      </c>
      <c r="F9" s="261">
        <v>157.6</v>
      </c>
    </row>
    <row r="10" spans="1:17" ht="54">
      <c r="A10" s="835">
        <v>2018</v>
      </c>
      <c r="B10" s="329" t="s">
        <v>953</v>
      </c>
      <c r="C10" s="261">
        <v>95.2</v>
      </c>
      <c r="D10" s="261">
        <v>95.4</v>
      </c>
      <c r="E10" s="261">
        <v>95.7</v>
      </c>
      <c r="F10" s="261">
        <v>90.3</v>
      </c>
    </row>
    <row r="11" spans="1:17" ht="54">
      <c r="A11" s="835"/>
      <c r="B11" s="329" t="s">
        <v>954</v>
      </c>
      <c r="C11" s="261">
        <v>89.3</v>
      </c>
      <c r="D11" s="261">
        <v>87.9</v>
      </c>
      <c r="E11" s="261">
        <v>88.7</v>
      </c>
      <c r="F11" s="261">
        <v>107</v>
      </c>
    </row>
    <row r="12" spans="1:17" ht="54">
      <c r="A12" s="835"/>
      <c r="B12" s="329" t="s">
        <v>955</v>
      </c>
      <c r="C12" s="261">
        <v>95.9</v>
      </c>
      <c r="D12" s="261">
        <v>87.6</v>
      </c>
      <c r="E12" s="261">
        <v>103.3</v>
      </c>
      <c r="F12" s="261">
        <v>118.1</v>
      </c>
    </row>
    <row r="13" spans="1:17" ht="54">
      <c r="A13" s="835"/>
      <c r="B13" s="329" t="s">
        <v>956</v>
      </c>
      <c r="C13" s="261">
        <v>106.1</v>
      </c>
      <c r="D13" s="261">
        <v>105.3</v>
      </c>
      <c r="E13" s="261">
        <v>106.6</v>
      </c>
      <c r="F13" s="261">
        <v>110.3</v>
      </c>
    </row>
    <row r="14" spans="1:17" ht="54">
      <c r="A14" s="835">
        <v>2019</v>
      </c>
      <c r="B14" s="329" t="s">
        <v>953</v>
      </c>
      <c r="C14" s="261">
        <v>107.9</v>
      </c>
      <c r="D14" s="261">
        <v>118.1</v>
      </c>
      <c r="E14" s="261">
        <v>95.7</v>
      </c>
      <c r="F14" s="261">
        <v>101.9</v>
      </c>
    </row>
    <row r="15" spans="1:17" ht="54">
      <c r="A15" s="835"/>
      <c r="B15" s="329" t="s">
        <v>954</v>
      </c>
      <c r="C15" s="261">
        <v>99.2</v>
      </c>
      <c r="D15" s="261">
        <v>116.8</v>
      </c>
      <c r="E15" s="261">
        <v>74.3</v>
      </c>
      <c r="F15" s="261">
        <v>114.8</v>
      </c>
    </row>
    <row r="16" spans="1:17" ht="54">
      <c r="A16" s="835"/>
      <c r="B16" s="329" t="s">
        <v>955</v>
      </c>
      <c r="C16" s="261">
        <v>108.9</v>
      </c>
      <c r="D16" s="261">
        <v>109.6</v>
      </c>
      <c r="E16" s="261">
        <v>105.7</v>
      </c>
      <c r="F16" s="261">
        <v>124.9</v>
      </c>
    </row>
    <row r="17" spans="1:6" ht="54">
      <c r="A17" s="835"/>
      <c r="B17" s="329" t="s">
        <v>956</v>
      </c>
      <c r="C17" s="261">
        <v>112.7</v>
      </c>
      <c r="D17" s="261">
        <v>121.4</v>
      </c>
      <c r="E17" s="261">
        <v>99.6</v>
      </c>
      <c r="F17" s="261">
        <v>126.3</v>
      </c>
    </row>
    <row r="18" spans="1:6" ht="54">
      <c r="A18" s="835">
        <v>2020</v>
      </c>
      <c r="B18" s="329" t="s">
        <v>953</v>
      </c>
      <c r="C18" s="261">
        <v>108.6</v>
      </c>
      <c r="D18" s="261">
        <v>119.6</v>
      </c>
      <c r="E18" s="261">
        <v>94.2</v>
      </c>
      <c r="F18" s="261">
        <v>109.6</v>
      </c>
    </row>
    <row r="19" spans="1:6" ht="54">
      <c r="A19" s="835"/>
      <c r="B19" s="329" t="s">
        <v>954</v>
      </c>
      <c r="C19" s="261">
        <v>103.7</v>
      </c>
      <c r="D19" s="261">
        <v>114.8</v>
      </c>
      <c r="E19" s="261">
        <v>85.7</v>
      </c>
      <c r="F19" s="261">
        <v>129.4</v>
      </c>
    </row>
    <row r="20" spans="1:6" ht="54">
      <c r="A20" s="835"/>
      <c r="B20" s="329" t="s">
        <v>955</v>
      </c>
      <c r="C20" s="261">
        <v>112.3</v>
      </c>
      <c r="D20" s="261">
        <v>120.3</v>
      </c>
      <c r="E20" s="261">
        <v>97.3</v>
      </c>
      <c r="F20" s="261">
        <v>145.4</v>
      </c>
    </row>
    <row r="21" spans="1:6" ht="54">
      <c r="A21" s="835"/>
      <c r="B21" s="329" t="s">
        <v>956</v>
      </c>
      <c r="C21" s="261">
        <v>112.1</v>
      </c>
      <c r="D21" s="261">
        <v>124</v>
      </c>
      <c r="E21" s="261">
        <v>94.2</v>
      </c>
      <c r="F21" s="261">
        <v>131.19999999999999</v>
      </c>
    </row>
    <row r="22" spans="1:6" ht="54">
      <c r="A22" s="835">
        <v>2021</v>
      </c>
      <c r="B22" s="329" t="s">
        <v>953</v>
      </c>
      <c r="C22" s="261">
        <v>101.7</v>
      </c>
      <c r="D22" s="261">
        <v>113</v>
      </c>
      <c r="E22" s="261">
        <v>86.7</v>
      </c>
      <c r="F22" s="261">
        <v>104.8</v>
      </c>
    </row>
    <row r="23" spans="1:6" ht="54">
      <c r="A23" s="835"/>
      <c r="B23" s="329" t="s">
        <v>954</v>
      </c>
      <c r="C23" s="261">
        <v>87.9</v>
      </c>
      <c r="D23" s="261">
        <v>97.8</v>
      </c>
      <c r="E23" s="261">
        <v>69.900000000000006</v>
      </c>
      <c r="F23" s="261">
        <v>124.3</v>
      </c>
    </row>
    <row r="24" spans="1:6" ht="54">
      <c r="A24" s="835"/>
      <c r="B24" s="329" t="s">
        <v>955</v>
      </c>
      <c r="C24" s="261">
        <v>104.7</v>
      </c>
      <c r="D24" s="261">
        <v>72.099999999999994</v>
      </c>
      <c r="E24" s="261">
        <v>141.4</v>
      </c>
      <c r="F24" s="261">
        <v>140.30000000000001</v>
      </c>
    </row>
    <row r="25" spans="1:6" ht="54">
      <c r="A25" s="835"/>
      <c r="B25" s="329" t="s">
        <v>956</v>
      </c>
      <c r="C25" s="261">
        <v>103.7</v>
      </c>
      <c r="D25" s="261">
        <v>63.5</v>
      </c>
      <c r="E25" s="261">
        <v>151.5</v>
      </c>
      <c r="F25" s="261">
        <v>130.19999999999999</v>
      </c>
    </row>
    <row r="26" spans="1:6" ht="54">
      <c r="A26" s="835">
        <v>2022</v>
      </c>
      <c r="B26" s="329" t="s">
        <v>953</v>
      </c>
      <c r="C26" s="261">
        <v>119.7</v>
      </c>
      <c r="D26" s="261">
        <v>127.4</v>
      </c>
      <c r="E26" s="261">
        <v>107.6</v>
      </c>
      <c r="F26" s="261">
        <v>134.6</v>
      </c>
    </row>
    <row r="27" spans="1:6" ht="54">
      <c r="A27" s="835"/>
      <c r="B27" s="329" t="s">
        <v>954</v>
      </c>
      <c r="C27" s="261">
        <v>121.3</v>
      </c>
      <c r="D27" s="261">
        <v>121.7</v>
      </c>
      <c r="E27" s="261">
        <v>115.2</v>
      </c>
      <c r="F27" s="261">
        <v>160.5</v>
      </c>
    </row>
    <row r="28" spans="1:6" ht="54">
      <c r="A28" s="835"/>
      <c r="B28" s="329" t="s">
        <v>955</v>
      </c>
      <c r="C28" s="261">
        <v>108.4</v>
      </c>
      <c r="D28" s="261">
        <v>120.2</v>
      </c>
      <c r="E28" s="261">
        <v>84.4</v>
      </c>
      <c r="F28" s="261">
        <v>169.7</v>
      </c>
    </row>
    <row r="29" spans="1:6" ht="54">
      <c r="A29" s="835"/>
      <c r="B29" s="329" t="s">
        <v>956</v>
      </c>
      <c r="C29" s="261">
        <v>116.1</v>
      </c>
      <c r="D29" s="261">
        <v>123.2</v>
      </c>
      <c r="E29" s="261">
        <v>97.1</v>
      </c>
      <c r="F29" s="261">
        <v>184.6</v>
      </c>
    </row>
    <row r="30" spans="1:6" ht="54">
      <c r="A30" s="835">
        <v>2023</v>
      </c>
      <c r="B30" s="329" t="s">
        <v>953</v>
      </c>
      <c r="C30" s="261">
        <v>100.8</v>
      </c>
      <c r="D30" s="261">
        <v>121.1</v>
      </c>
      <c r="E30" s="261">
        <v>68.099999999999994</v>
      </c>
      <c r="F30" s="261">
        <v>146.4</v>
      </c>
    </row>
    <row r="31" spans="1:6" ht="54">
      <c r="A31" s="835"/>
      <c r="B31" s="329" t="s">
        <v>954</v>
      </c>
      <c r="C31" s="261">
        <v>120.1</v>
      </c>
      <c r="D31" s="261">
        <v>142.5</v>
      </c>
      <c r="E31" s="261">
        <v>83.9</v>
      </c>
      <c r="F31" s="261">
        <v>172.3</v>
      </c>
    </row>
    <row r="32" spans="1:6" ht="54">
      <c r="A32" s="835"/>
      <c r="B32" s="329" t="s">
        <v>955</v>
      </c>
      <c r="C32" s="261">
        <v>118.7</v>
      </c>
      <c r="D32" s="261">
        <v>143.1</v>
      </c>
      <c r="E32" s="261">
        <v>77.5</v>
      </c>
      <c r="F32" s="261">
        <v>187.4</v>
      </c>
    </row>
    <row r="33" spans="1:6" ht="54">
      <c r="A33" s="835"/>
      <c r="B33" s="329" t="s">
        <v>956</v>
      </c>
      <c r="C33" s="261">
        <v>116.5</v>
      </c>
      <c r="D33" s="261">
        <v>144.4</v>
      </c>
      <c r="E33" s="261">
        <v>72.3</v>
      </c>
      <c r="F33" s="261">
        <v>175.6</v>
      </c>
    </row>
    <row r="34" spans="1:6" ht="33" thickBot="1">
      <c r="A34" s="326" t="s">
        <v>957</v>
      </c>
      <c r="B34" s="327"/>
      <c r="C34" s="327"/>
      <c r="D34" s="327"/>
      <c r="E34" s="327"/>
      <c r="F34" s="328" t="s">
        <v>958</v>
      </c>
    </row>
  </sheetData>
  <mergeCells count="8">
    <mergeCell ref="A26:A29"/>
    <mergeCell ref="A30:A33"/>
    <mergeCell ref="A4:B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51</vt:i4>
      </vt:variant>
    </vt:vector>
  </HeadingPairs>
  <TitlesOfParts>
    <vt:vector size="51" baseType="lpstr">
      <vt:lpstr>PG (1)</vt:lpstr>
      <vt:lpstr>Agriculture</vt:lpstr>
      <vt:lpstr>Elevage</vt:lpstr>
      <vt:lpstr>PG (2)</vt:lpstr>
      <vt:lpstr>péche</vt:lpstr>
      <vt:lpstr>péche 2</vt:lpstr>
      <vt:lpstr>PG (3)</vt:lpstr>
      <vt:lpstr>production de Fer</vt:lpstr>
      <vt:lpstr>IPI</vt:lpstr>
      <vt:lpstr>PG (4)</vt:lpstr>
      <vt:lpstr>INPC</vt:lpstr>
      <vt:lpstr>PMcentre NCK</vt:lpstr>
      <vt:lpstr>ICC</vt:lpstr>
      <vt:lpstr>PG (5)</vt:lpstr>
      <vt:lpstr>Brent-thé (2)</vt:lpstr>
      <vt:lpstr>sucre-blé (2)</vt:lpstr>
      <vt:lpstr>riz-mais (2)</vt:lpstr>
      <vt:lpstr>cours prod</vt:lpstr>
      <vt:lpstr>taux de change</vt:lpstr>
      <vt:lpstr>Import bien</vt:lpstr>
      <vt:lpstr>Alim val</vt:lpstr>
      <vt:lpstr>Imports_G_cont_t12 (2)</vt:lpstr>
      <vt:lpstr>Exportation Mauritanienne ty.pr</vt:lpstr>
      <vt:lpstr>EXPOR MAURITANIE selon desti</vt:lpstr>
      <vt:lpstr>EVOLUTION EXPOR Mens Minfer</vt:lpstr>
      <vt:lpstr>Export poisson</vt:lpstr>
      <vt:lpstr>Export smcp pays</vt:lpstr>
      <vt:lpstr>Export smcp pays 2</vt:lpstr>
      <vt:lpstr>Smpc export Vol</vt:lpstr>
      <vt:lpstr>smcp export val</vt:lpstr>
      <vt:lpstr>BP </vt:lpstr>
      <vt:lpstr>PG( 6)</vt:lpstr>
      <vt:lpstr>recette budjetaire</vt:lpstr>
      <vt:lpstr>Depense</vt:lpstr>
      <vt:lpstr>TOFE</vt:lpstr>
      <vt:lpstr>PG(7)</vt:lpstr>
      <vt:lpstr>Emplos du PIB courant </vt:lpstr>
      <vt:lpstr>PIB Courant (2)</vt:lpstr>
      <vt:lpstr>PG(8)</vt:lpstr>
      <vt:lpstr>Monnaie </vt:lpstr>
      <vt:lpstr>répart crédits </vt:lpstr>
      <vt:lpstr>PG(9)</vt:lpstr>
      <vt:lpstr>Electricité Eau</vt:lpstr>
      <vt:lpstr>Energie 2</vt:lpstr>
      <vt:lpstr>PG(10)</vt:lpstr>
      <vt:lpstr>Trasports_aerien</vt:lpstr>
      <vt:lpstr>Télécoms</vt:lpstr>
      <vt:lpstr>PG(11)</vt:lpstr>
      <vt:lpstr>temperature</vt:lpstr>
      <vt:lpstr>Humidité</vt:lpstr>
      <vt:lpstr>Pluies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2025-02-04T11:20:40Z</dcterms:modified>
</cp:coreProperties>
</file>