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tables/table12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Han\Dropbox\MyResearch\2017\2017 Summer Tx Array Comparison\weekly report\"/>
    </mc:Choice>
  </mc:AlternateContent>
  <xr:revisionPtr revIDLastSave="0" documentId="13_ncr:1_{623E6346-FFC2-45AB-B0F4-AA589FDBB9A3}" xr6:coauthVersionLast="34" xr6:coauthVersionMax="34" xr10:uidLastSave="{00000000-0000-0000-0000-000000000000}"/>
  <bookViews>
    <workbookView minimized="1" xWindow="0" yWindow="0" windowWidth="2430" windowHeight="450" firstSheet="9" activeTab="17" xr2:uid="{00000000-000D-0000-FFFF-FFFF00000000}"/>
  </bookViews>
  <sheets>
    <sheet name="Architectures" sheetId="1" r:id="rId1"/>
    <sheet name="Link Budget(old)" sheetId="9" r:id="rId2"/>
    <sheet name="Link Budget(new)" sheetId="11" r:id="rId3"/>
    <sheet name="System Specs" sheetId="7" r:id="rId4"/>
    <sheet name="DAC Specs" sheetId="2" r:id="rId5"/>
    <sheet name="PS &amp; VGA Specs" sheetId="8" r:id="rId6"/>
    <sheet name="PA Specs" sheetId="6" state="hidden" r:id="rId7"/>
    <sheet name="PA Specs 28GHz" sheetId="13" state="hidden" r:id="rId8"/>
    <sheet name="PA Specs 28GHz_new" sheetId="15" r:id="rId9"/>
    <sheet name="Digital" sheetId="4" r:id="rId10"/>
    <sheet name="Sub Array" sheetId="3" r:id="rId11"/>
    <sheet name="Full Conn Hybrd" sheetId="10" r:id="rId12"/>
    <sheet name="Power Chart" sheetId="12" r:id="rId13"/>
    <sheet name="Area Chart" sheetId="14" r:id="rId14"/>
    <sheet name="DA Scaling" sheetId="16" r:id="rId15"/>
    <sheet name="SA Scaling" sheetId="17" r:id="rId16"/>
    <sheet name="DA new" sheetId="18" r:id="rId17"/>
    <sheet name="SA new" sheetId="19" r:id="rId18"/>
    <sheet name="FH new" sheetId="20" r:id="rId19"/>
    <sheet name="Full Conn" sheetId="5" state="hidden" r:id="rId20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5" i="20" l="1"/>
  <c r="AG15" i="20"/>
  <c r="AH15" i="20"/>
  <c r="AE15" i="20"/>
  <c r="AH14" i="19"/>
  <c r="AI14" i="19"/>
  <c r="AJ14" i="19"/>
  <c r="AG14" i="19"/>
  <c r="J80" i="19"/>
  <c r="K80" i="19"/>
  <c r="L80" i="19"/>
  <c r="M80" i="19"/>
  <c r="Q3" i="19"/>
  <c r="Q25" i="19" s="1"/>
  <c r="R3" i="19"/>
  <c r="R6" i="19" s="1"/>
  <c r="Q7" i="19"/>
  <c r="R7" i="19"/>
  <c r="Q8" i="19"/>
  <c r="R8" i="19"/>
  <c r="Q38" i="19"/>
  <c r="R38" i="19"/>
  <c r="Q39" i="19"/>
  <c r="R39" i="19"/>
  <c r="Q41" i="19"/>
  <c r="R41" i="19"/>
  <c r="Q43" i="19"/>
  <c r="R43" i="19"/>
  <c r="Q46" i="19"/>
  <c r="R46" i="19"/>
  <c r="R48" i="19" s="1"/>
  <c r="Q48" i="19"/>
  <c r="Q50" i="19"/>
  <c r="Q52" i="19" s="1"/>
  <c r="R50" i="19"/>
  <c r="R52" i="19" s="1"/>
  <c r="D14" i="20"/>
  <c r="E14" i="20"/>
  <c r="F14" i="20"/>
  <c r="C14" i="20"/>
  <c r="D16" i="18"/>
  <c r="E16" i="18"/>
  <c r="C16" i="18"/>
  <c r="D16" i="19"/>
  <c r="E16" i="19"/>
  <c r="F16" i="19"/>
  <c r="C16" i="19"/>
  <c r="D13" i="18"/>
  <c r="F29" i="18"/>
  <c r="G29" i="18"/>
  <c r="H29" i="18"/>
  <c r="I29" i="18"/>
  <c r="F39" i="18"/>
  <c r="G39" i="18"/>
  <c r="H39" i="18"/>
  <c r="I39" i="18"/>
  <c r="F42" i="18"/>
  <c r="F44" i="18" s="1"/>
  <c r="G42" i="18"/>
  <c r="G44" i="18" s="1"/>
  <c r="H42" i="18"/>
  <c r="H44" i="18" s="1"/>
  <c r="I42" i="18"/>
  <c r="I44" i="18" s="1"/>
  <c r="Q6" i="19" l="1"/>
  <c r="R29" i="19"/>
  <c r="R14" i="19"/>
  <c r="Q14" i="19"/>
  <c r="R17" i="19"/>
  <c r="Q29" i="19"/>
  <c r="Q17" i="19"/>
  <c r="R18" i="19"/>
  <c r="R21" i="19" s="1"/>
  <c r="Q18" i="19"/>
  <c r="Q21" i="19" s="1"/>
  <c r="R25" i="19"/>
  <c r="R54" i="19"/>
  <c r="R55" i="19" s="1"/>
  <c r="R51" i="19"/>
  <c r="Q54" i="19"/>
  <c r="Q55" i="19" s="1"/>
  <c r="Q51" i="19"/>
  <c r="H43" i="18"/>
  <c r="H46" i="18"/>
  <c r="H47" i="18" s="1"/>
  <c r="I43" i="18"/>
  <c r="I46" i="18"/>
  <c r="I47" i="18" s="1"/>
  <c r="G46" i="18"/>
  <c r="G47" i="18" s="1"/>
  <c r="G43" i="18"/>
  <c r="F46" i="18"/>
  <c r="F47" i="18" s="1"/>
  <c r="F43" i="18"/>
  <c r="B90" i="19"/>
  <c r="C90" i="19"/>
  <c r="D90" i="19"/>
  <c r="E90" i="19"/>
  <c r="AJ50" i="19"/>
  <c r="AJ52" i="19" s="1"/>
  <c r="AI50" i="19"/>
  <c r="AI52" i="19" s="1"/>
  <c r="AH50" i="19"/>
  <c r="AH52" i="19" s="1"/>
  <c r="AH51" i="19" s="1"/>
  <c r="AG50" i="19"/>
  <c r="AG52" i="19" s="1"/>
  <c r="AG51" i="19" s="1"/>
  <c r="AJ46" i="19"/>
  <c r="AI46" i="19"/>
  <c r="AH46" i="19"/>
  <c r="AG46" i="19"/>
  <c r="AJ44" i="19"/>
  <c r="AI44" i="19"/>
  <c r="AH44" i="19"/>
  <c r="AG44" i="19"/>
  <c r="AJ43" i="19"/>
  <c r="E96" i="19" s="1"/>
  <c r="AI43" i="19"/>
  <c r="D96" i="19" s="1"/>
  <c r="AH43" i="19"/>
  <c r="C96" i="19" s="1"/>
  <c r="AG43" i="19"/>
  <c r="B96" i="19" s="1"/>
  <c r="AJ41" i="19"/>
  <c r="AI41" i="19"/>
  <c r="AH41" i="19"/>
  <c r="AG41" i="19"/>
  <c r="AG38" i="19"/>
  <c r="AG39" i="19" s="1"/>
  <c r="AJ33" i="19"/>
  <c r="AI33" i="19"/>
  <c r="AH33" i="19"/>
  <c r="AH38" i="19" s="1"/>
  <c r="AH39" i="19" s="1"/>
  <c r="AG33" i="19"/>
  <c r="AJ22" i="19"/>
  <c r="AI22" i="19"/>
  <c r="AH22" i="19"/>
  <c r="AG22" i="19"/>
  <c r="AJ8" i="19"/>
  <c r="AI8" i="19"/>
  <c r="AH8" i="19"/>
  <c r="AG8" i="19"/>
  <c r="AJ7" i="19"/>
  <c r="AI7" i="19"/>
  <c r="AH7" i="19"/>
  <c r="AG7" i="19"/>
  <c r="AJ3" i="19"/>
  <c r="AJ25" i="19" s="1"/>
  <c r="E94" i="19" s="1"/>
  <c r="AI3" i="19"/>
  <c r="AI25" i="19" s="1"/>
  <c r="D94" i="19" s="1"/>
  <c r="AH3" i="19"/>
  <c r="AH29" i="19" s="1"/>
  <c r="C95" i="19" s="1"/>
  <c r="AG3" i="19"/>
  <c r="AG29" i="19" s="1"/>
  <c r="B95" i="19" s="1"/>
  <c r="V42" i="18"/>
  <c r="V44" i="18" s="1"/>
  <c r="V46" i="18" s="1"/>
  <c r="V47" i="18" s="1"/>
  <c r="U42" i="18"/>
  <c r="U44" i="18" s="1"/>
  <c r="T42" i="18"/>
  <c r="T44" i="18" s="1"/>
  <c r="V39" i="18"/>
  <c r="U39" i="18"/>
  <c r="T39" i="18"/>
  <c r="V29" i="18"/>
  <c r="U29" i="18"/>
  <c r="T29" i="18"/>
  <c r="V8" i="18"/>
  <c r="U8" i="18"/>
  <c r="T8" i="18"/>
  <c r="V7" i="18"/>
  <c r="U7" i="18"/>
  <c r="T7" i="18"/>
  <c r="V3" i="18"/>
  <c r="V14" i="18" s="1"/>
  <c r="U3" i="18"/>
  <c r="U4" i="18" s="1"/>
  <c r="T3" i="18"/>
  <c r="T6" i="18" s="1"/>
  <c r="AB3" i="20"/>
  <c r="AB50" i="20" s="1"/>
  <c r="AC3" i="20"/>
  <c r="AC50" i="20" s="1"/>
  <c r="AD3" i="20"/>
  <c r="AD49" i="20" s="1"/>
  <c r="AB4" i="20"/>
  <c r="AC4" i="20"/>
  <c r="AD4" i="20"/>
  <c r="AB8" i="20"/>
  <c r="AC8" i="20"/>
  <c r="AD8" i="20"/>
  <c r="AB9" i="20"/>
  <c r="AC9" i="20"/>
  <c r="AD9" i="20"/>
  <c r="AD15" i="20"/>
  <c r="AB16" i="20"/>
  <c r="AC16" i="20"/>
  <c r="AD16" i="20"/>
  <c r="AB33" i="20"/>
  <c r="AC33" i="20"/>
  <c r="AD33" i="20"/>
  <c r="AB57" i="20"/>
  <c r="AB59" i="20" s="1"/>
  <c r="AB61" i="20" s="1"/>
  <c r="AB62" i="20" s="1"/>
  <c r="AC57" i="20"/>
  <c r="AC59" i="20" s="1"/>
  <c r="AC61" i="20" s="1"/>
  <c r="AC62" i="20" s="1"/>
  <c r="AD57" i="20"/>
  <c r="AD59" i="20" s="1"/>
  <c r="Q83" i="20"/>
  <c r="R83" i="20"/>
  <c r="S83" i="20"/>
  <c r="T83" i="20"/>
  <c r="P3" i="20"/>
  <c r="P15" i="20" s="1"/>
  <c r="Q3" i="20"/>
  <c r="Q49" i="20" s="1"/>
  <c r="R3" i="20"/>
  <c r="R49" i="20" s="1"/>
  <c r="P4" i="20"/>
  <c r="Q4" i="20"/>
  <c r="Q5" i="20" s="1"/>
  <c r="Q43" i="20" s="1"/>
  <c r="R4" i="20"/>
  <c r="P8" i="20"/>
  <c r="Q8" i="20"/>
  <c r="R8" i="20"/>
  <c r="P9" i="20"/>
  <c r="Q9" i="20"/>
  <c r="R9" i="20"/>
  <c r="P16" i="20"/>
  <c r="Q16" i="20"/>
  <c r="R16" i="20"/>
  <c r="P33" i="20"/>
  <c r="Q33" i="20"/>
  <c r="R33" i="20"/>
  <c r="P57" i="20"/>
  <c r="P59" i="20" s="1"/>
  <c r="Q57" i="20"/>
  <c r="Q59" i="20" s="1"/>
  <c r="R57" i="20"/>
  <c r="R59" i="20" s="1"/>
  <c r="R58" i="20" s="1"/>
  <c r="L3" i="20"/>
  <c r="L15" i="20" s="1"/>
  <c r="M3" i="20"/>
  <c r="M15" i="20" s="1"/>
  <c r="N3" i="20"/>
  <c r="N15" i="20" s="1"/>
  <c r="L4" i="20"/>
  <c r="M4" i="20"/>
  <c r="N4" i="20"/>
  <c r="L8" i="20"/>
  <c r="M8" i="20"/>
  <c r="N8" i="20"/>
  <c r="L9" i="20"/>
  <c r="M9" i="20"/>
  <c r="N9" i="20"/>
  <c r="L16" i="20"/>
  <c r="M16" i="20"/>
  <c r="N16" i="20"/>
  <c r="L33" i="20"/>
  <c r="M33" i="20"/>
  <c r="N33" i="20"/>
  <c r="L57" i="20"/>
  <c r="L59" i="20" s="1"/>
  <c r="L61" i="20" s="1"/>
  <c r="L62" i="20" s="1"/>
  <c r="M57" i="20"/>
  <c r="M59" i="20" s="1"/>
  <c r="M61" i="20" s="1"/>
  <c r="M62" i="20" s="1"/>
  <c r="N57" i="20"/>
  <c r="N59" i="20" s="1"/>
  <c r="N61" i="20" s="1"/>
  <c r="N62" i="20" s="1"/>
  <c r="N70" i="19"/>
  <c r="O70" i="19"/>
  <c r="P70" i="19"/>
  <c r="Q70" i="19"/>
  <c r="T50" i="19"/>
  <c r="T52" i="19" s="1"/>
  <c r="S50" i="19"/>
  <c r="S52" i="19" s="1"/>
  <c r="T46" i="19"/>
  <c r="T48" i="19" s="1"/>
  <c r="S46" i="19"/>
  <c r="S48" i="19" s="1"/>
  <c r="T43" i="19"/>
  <c r="S43" i="19"/>
  <c r="T41" i="19"/>
  <c r="S41" i="19"/>
  <c r="T38" i="19"/>
  <c r="T39" i="19" s="1"/>
  <c r="S38" i="19"/>
  <c r="S39" i="19" s="1"/>
  <c r="T8" i="19"/>
  <c r="S8" i="19"/>
  <c r="T7" i="19"/>
  <c r="S7" i="19"/>
  <c r="T3" i="19"/>
  <c r="T29" i="19" s="1"/>
  <c r="S3" i="19"/>
  <c r="S29" i="19" s="1"/>
  <c r="M60" i="18"/>
  <c r="H60" i="18"/>
  <c r="M66" i="18"/>
  <c r="H66" i="18"/>
  <c r="O42" i="18"/>
  <c r="O44" i="18" s="1"/>
  <c r="O39" i="18"/>
  <c r="M67" i="18" s="1"/>
  <c r="O29" i="18"/>
  <c r="M65" i="18" s="1"/>
  <c r="O8" i="18"/>
  <c r="O7" i="18"/>
  <c r="O3" i="18"/>
  <c r="O14" i="18" s="1"/>
  <c r="M61" i="18" s="1"/>
  <c r="J42" i="18"/>
  <c r="J44" i="18" s="1"/>
  <c r="J39" i="18"/>
  <c r="H67" i="18" s="1"/>
  <c r="J29" i="18"/>
  <c r="H65" i="18" s="1"/>
  <c r="J8" i="18"/>
  <c r="J7" i="18"/>
  <c r="J3" i="18"/>
  <c r="J6" i="18" s="1"/>
  <c r="G8" i="18"/>
  <c r="H8" i="18"/>
  <c r="I8" i="18"/>
  <c r="K8" i="18"/>
  <c r="L8" i="18"/>
  <c r="M8" i="18"/>
  <c r="N8" i="18"/>
  <c r="P8" i="18"/>
  <c r="Q8" i="18"/>
  <c r="R8" i="18"/>
  <c r="S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F8" i="18"/>
  <c r="H9" i="20"/>
  <c r="I9" i="20"/>
  <c r="J9" i="20"/>
  <c r="K9" i="20"/>
  <c r="O9" i="20"/>
  <c r="S9" i="20"/>
  <c r="T9" i="20"/>
  <c r="U9" i="20"/>
  <c r="V9" i="20"/>
  <c r="W9" i="20"/>
  <c r="X9" i="20"/>
  <c r="Y9" i="20"/>
  <c r="Z9" i="20"/>
  <c r="AA9" i="20"/>
  <c r="AE9" i="20"/>
  <c r="AF9" i="20"/>
  <c r="AG9" i="20"/>
  <c r="AH9" i="20"/>
  <c r="G9" i="20"/>
  <c r="H8" i="19"/>
  <c r="I8" i="19"/>
  <c r="J8" i="19"/>
  <c r="K8" i="19"/>
  <c r="L8" i="19"/>
  <c r="M8" i="19"/>
  <c r="N8" i="19"/>
  <c r="O8" i="19"/>
  <c r="P8" i="19"/>
  <c r="U8" i="19"/>
  <c r="V8" i="19"/>
  <c r="W8" i="19"/>
  <c r="X8" i="19"/>
  <c r="Y8" i="19"/>
  <c r="Z8" i="19"/>
  <c r="AA8" i="19"/>
  <c r="AB8" i="19"/>
  <c r="AC8" i="19"/>
  <c r="AD8" i="19"/>
  <c r="AE8" i="19"/>
  <c r="AF8" i="19"/>
  <c r="G8" i="19"/>
  <c r="T3" i="20"/>
  <c r="T7" i="20" s="1"/>
  <c r="U3" i="20"/>
  <c r="U7" i="20" s="1"/>
  <c r="V3" i="20"/>
  <c r="V7" i="20" s="1"/>
  <c r="W3" i="20"/>
  <c r="W7" i="20" s="1"/>
  <c r="X3" i="20"/>
  <c r="X7" i="20" s="1"/>
  <c r="Y3" i="20"/>
  <c r="Y7" i="20" s="1"/>
  <c r="Z3" i="20"/>
  <c r="Z7" i="20" s="1"/>
  <c r="AA3" i="20"/>
  <c r="AA7" i="20" s="1"/>
  <c r="AE3" i="20"/>
  <c r="AE7" i="20" s="1"/>
  <c r="AF3" i="20"/>
  <c r="AF7" i="20" s="1"/>
  <c r="AG3" i="20"/>
  <c r="AG7" i="20" s="1"/>
  <c r="AH3" i="20"/>
  <c r="AH7" i="20" s="1"/>
  <c r="S3" i="20"/>
  <c r="S7" i="20" s="1"/>
  <c r="G3" i="20"/>
  <c r="G7" i="20" s="1"/>
  <c r="H3" i="20"/>
  <c r="H7" i="20" s="1"/>
  <c r="I3" i="20"/>
  <c r="I7" i="20" s="1"/>
  <c r="J3" i="20"/>
  <c r="J7" i="20" s="1"/>
  <c r="K3" i="20"/>
  <c r="K7" i="20" s="1"/>
  <c r="O3" i="20"/>
  <c r="O7" i="20" s="1"/>
  <c r="Q80" i="19"/>
  <c r="P80" i="19"/>
  <c r="O80" i="19"/>
  <c r="N80" i="19"/>
  <c r="C23" i="11"/>
  <c r="B80" i="19"/>
  <c r="C80" i="19"/>
  <c r="D80" i="19"/>
  <c r="E80" i="19"/>
  <c r="F80" i="19"/>
  <c r="G80" i="19"/>
  <c r="H80" i="19"/>
  <c r="I80" i="19"/>
  <c r="AD50" i="19"/>
  <c r="AD52" i="19" s="1"/>
  <c r="AC50" i="19"/>
  <c r="AC52" i="19" s="1"/>
  <c r="AD46" i="19"/>
  <c r="AC46" i="19"/>
  <c r="AD44" i="19"/>
  <c r="AC44" i="19"/>
  <c r="AD43" i="19"/>
  <c r="AC43" i="19"/>
  <c r="AD41" i="19"/>
  <c r="AC41" i="19"/>
  <c r="AD33" i="19"/>
  <c r="AC33" i="19"/>
  <c r="AD7" i="19"/>
  <c r="AC7" i="19"/>
  <c r="AD3" i="19"/>
  <c r="AD6" i="19" s="1"/>
  <c r="AC3" i="19"/>
  <c r="AC14" i="19" s="1"/>
  <c r="Z50" i="19"/>
  <c r="Z52" i="19" s="1"/>
  <c r="Z51" i="19" s="1"/>
  <c r="Y50" i="19"/>
  <c r="Y52" i="19" s="1"/>
  <c r="Y51" i="19" s="1"/>
  <c r="Z46" i="19"/>
  <c r="Y46" i="19"/>
  <c r="Z44" i="19"/>
  <c r="Y44" i="19"/>
  <c r="Z43" i="19"/>
  <c r="Y43" i="19"/>
  <c r="Z41" i="19"/>
  <c r="Y41" i="19"/>
  <c r="Z38" i="19"/>
  <c r="Z39" i="19" s="1"/>
  <c r="Y38" i="19"/>
  <c r="Y39" i="19" s="1"/>
  <c r="Z33" i="19"/>
  <c r="Y33" i="19"/>
  <c r="Z22" i="19"/>
  <c r="Y22" i="19"/>
  <c r="Z7" i="19"/>
  <c r="Y7" i="19"/>
  <c r="Z3" i="19"/>
  <c r="Z6" i="19" s="1"/>
  <c r="Y3" i="19"/>
  <c r="Y6" i="19" s="1"/>
  <c r="V50" i="19"/>
  <c r="V52" i="19" s="1"/>
  <c r="U50" i="19"/>
  <c r="U52" i="19" s="1"/>
  <c r="V46" i="19"/>
  <c r="U46" i="19"/>
  <c r="V44" i="19"/>
  <c r="U44" i="19"/>
  <c r="V43" i="19"/>
  <c r="U43" i="19"/>
  <c r="V41" i="19"/>
  <c r="U41" i="19"/>
  <c r="V38" i="19"/>
  <c r="V39" i="19" s="1"/>
  <c r="U38" i="19"/>
  <c r="U39" i="19" s="1"/>
  <c r="V33" i="19"/>
  <c r="U33" i="19"/>
  <c r="AC38" i="19" s="1"/>
  <c r="AC39" i="19" s="1"/>
  <c r="V22" i="19"/>
  <c r="U22" i="19"/>
  <c r="AC22" i="19" s="1"/>
  <c r="V7" i="19"/>
  <c r="U7" i="19"/>
  <c r="V3" i="19"/>
  <c r="V25" i="19" s="1"/>
  <c r="U3" i="19"/>
  <c r="U25" i="19" s="1"/>
  <c r="Q56" i="19" l="1"/>
  <c r="Q57" i="19" s="1"/>
  <c r="M20" i="20"/>
  <c r="L20" i="20"/>
  <c r="AC49" i="20"/>
  <c r="R56" i="19"/>
  <c r="R58" i="19"/>
  <c r="R57" i="19"/>
  <c r="Q58" i="19"/>
  <c r="R5" i="20"/>
  <c r="R43" i="20" s="1"/>
  <c r="AB5" i="20"/>
  <c r="AB43" i="20" s="1"/>
  <c r="N20" i="20"/>
  <c r="P20" i="20"/>
  <c r="P49" i="20"/>
  <c r="L5" i="20"/>
  <c r="L43" i="20" s="1"/>
  <c r="AD50" i="20"/>
  <c r="R15" i="20"/>
  <c r="Q30" i="20"/>
  <c r="AB49" i="20"/>
  <c r="P30" i="20"/>
  <c r="L49" i="20"/>
  <c r="R50" i="20"/>
  <c r="P25" i="20"/>
  <c r="Q7" i="20"/>
  <c r="AD30" i="20"/>
  <c r="AD7" i="20"/>
  <c r="R30" i="20"/>
  <c r="N49" i="20"/>
  <c r="Q50" i="20"/>
  <c r="P7" i="20"/>
  <c r="AD25" i="20"/>
  <c r="AD5" i="20"/>
  <c r="AD43" i="20" s="1"/>
  <c r="Q25" i="20"/>
  <c r="N5" i="20"/>
  <c r="N43" i="20" s="1"/>
  <c r="P50" i="20"/>
  <c r="Q15" i="20"/>
  <c r="AI29" i="19"/>
  <c r="D95" i="19" s="1"/>
  <c r="M30" i="20"/>
  <c r="L30" i="20"/>
  <c r="M5" i="20"/>
  <c r="M43" i="20" s="1"/>
  <c r="M49" i="20"/>
  <c r="Q34" i="20"/>
  <c r="P5" i="20"/>
  <c r="P43" i="20" s="1"/>
  <c r="AD20" i="20"/>
  <c r="N30" i="20"/>
  <c r="R20" i="20"/>
  <c r="AB20" i="20"/>
  <c r="AC20" i="20"/>
  <c r="V6" i="18"/>
  <c r="U6" i="18"/>
  <c r="V17" i="18"/>
  <c r="J19" i="18"/>
  <c r="J21" i="18" s="1"/>
  <c r="H63" i="18" s="1"/>
  <c r="U14" i="18"/>
  <c r="U25" i="18"/>
  <c r="U43" i="18"/>
  <c r="U46" i="18"/>
  <c r="U47" i="18" s="1"/>
  <c r="V19" i="18"/>
  <c r="V21" i="18" s="1"/>
  <c r="T14" i="18"/>
  <c r="T4" i="18"/>
  <c r="T25" i="18"/>
  <c r="T19" i="18"/>
  <c r="T21" i="18" s="1"/>
  <c r="U19" i="18"/>
  <c r="U21" i="18" s="1"/>
  <c r="AD25" i="19"/>
  <c r="AH17" i="19"/>
  <c r="C92" i="19" s="1"/>
  <c r="AH48" i="19"/>
  <c r="C97" i="19" s="1"/>
  <c r="AD48" i="19"/>
  <c r="T18" i="19"/>
  <c r="T21" i="19" s="1"/>
  <c r="S17" i="19"/>
  <c r="AJ29" i="19"/>
  <c r="E95" i="19" s="1"/>
  <c r="AG17" i="19"/>
  <c r="B92" i="19" s="1"/>
  <c r="AG48" i="19"/>
  <c r="B97" i="19" s="1"/>
  <c r="AJ48" i="19"/>
  <c r="E97" i="19" s="1"/>
  <c r="AI17" i="19"/>
  <c r="D92" i="19" s="1"/>
  <c r="E91" i="19"/>
  <c r="Z29" i="19"/>
  <c r="AI6" i="19"/>
  <c r="AI38" i="19"/>
  <c r="AI39" i="19" s="1"/>
  <c r="AJ17" i="19"/>
  <c r="E92" i="19" s="1"/>
  <c r="AJ6" i="19"/>
  <c r="AJ38" i="19"/>
  <c r="AJ39" i="19" s="1"/>
  <c r="AI48" i="19"/>
  <c r="D97" i="19" s="1"/>
  <c r="AI51" i="19"/>
  <c r="AI54" i="19"/>
  <c r="AI55" i="19" s="1"/>
  <c r="D98" i="19" s="1"/>
  <c r="AJ51" i="19"/>
  <c r="AJ54" i="19"/>
  <c r="AJ55" i="19" s="1"/>
  <c r="E98" i="19" s="1"/>
  <c r="AG18" i="19"/>
  <c r="AG21" i="19" s="1"/>
  <c r="B93" i="19" s="1"/>
  <c r="AG25" i="19"/>
  <c r="B94" i="19" s="1"/>
  <c r="AH18" i="19"/>
  <c r="AH21" i="19" s="1"/>
  <c r="C93" i="19" s="1"/>
  <c r="AH25" i="19"/>
  <c r="C94" i="19" s="1"/>
  <c r="AJ18" i="19"/>
  <c r="AJ21" i="19" s="1"/>
  <c r="E93" i="19" s="1"/>
  <c r="AG6" i="19"/>
  <c r="B91" i="19"/>
  <c r="AG54" i="19"/>
  <c r="AG55" i="19" s="1"/>
  <c r="B98" i="19" s="1"/>
  <c r="AI18" i="19"/>
  <c r="AI21" i="19" s="1"/>
  <c r="D93" i="19" s="1"/>
  <c r="AH6" i="19"/>
  <c r="C91" i="19"/>
  <c r="AH54" i="19"/>
  <c r="AH55" i="19" s="1"/>
  <c r="C98" i="19" s="1"/>
  <c r="T46" i="18"/>
  <c r="T47" i="18" s="1"/>
  <c r="T43" i="18"/>
  <c r="V4" i="18"/>
  <c r="V25" i="18"/>
  <c r="T17" i="18"/>
  <c r="V43" i="18"/>
  <c r="U17" i="18"/>
  <c r="AD61" i="20"/>
  <c r="AD62" i="20" s="1"/>
  <c r="AD58" i="20"/>
  <c r="AC25" i="20"/>
  <c r="AC15" i="20"/>
  <c r="AC5" i="20"/>
  <c r="AC43" i="20" s="1"/>
  <c r="AC30" i="20"/>
  <c r="AB7" i="20"/>
  <c r="AB25" i="20"/>
  <c r="AC58" i="20"/>
  <c r="AC7" i="20"/>
  <c r="AB58" i="20"/>
  <c r="AB30" i="20"/>
  <c r="AB15" i="20"/>
  <c r="R61" i="20"/>
  <c r="R62" i="20" s="1"/>
  <c r="Q20" i="20"/>
  <c r="Q61" i="20"/>
  <c r="Q62" i="20" s="1"/>
  <c r="Q58" i="20"/>
  <c r="P61" i="20"/>
  <c r="P62" i="20" s="1"/>
  <c r="P58" i="20"/>
  <c r="R25" i="20"/>
  <c r="R7" i="20"/>
  <c r="N25" i="20"/>
  <c r="N7" i="20"/>
  <c r="M25" i="20"/>
  <c r="M7" i="20"/>
  <c r="N58" i="20"/>
  <c r="L58" i="20"/>
  <c r="L7" i="20"/>
  <c r="M58" i="20"/>
  <c r="N50" i="20"/>
  <c r="L25" i="20"/>
  <c r="M50" i="20"/>
  <c r="L50" i="20"/>
  <c r="V29" i="19"/>
  <c r="AD14" i="19"/>
  <c r="S18" i="19"/>
  <c r="S21" i="19" s="1"/>
  <c r="AD29" i="19"/>
  <c r="S14" i="19"/>
  <c r="T17" i="19"/>
  <c r="T6" i="19"/>
  <c r="Z17" i="19"/>
  <c r="Z14" i="19"/>
  <c r="V14" i="19"/>
  <c r="S25" i="19"/>
  <c r="S6" i="19"/>
  <c r="AD17" i="19"/>
  <c r="U14" i="19"/>
  <c r="Y29" i="19"/>
  <c r="T14" i="19"/>
  <c r="T54" i="19"/>
  <c r="T55" i="19" s="1"/>
  <c r="T51" i="19"/>
  <c r="S54" i="19"/>
  <c r="S55" i="19" s="1"/>
  <c r="S51" i="19"/>
  <c r="T25" i="19"/>
  <c r="AC6" i="19"/>
  <c r="Y14" i="19"/>
  <c r="V17" i="19"/>
  <c r="U17" i="19"/>
  <c r="Z25" i="19"/>
  <c r="AC25" i="19"/>
  <c r="AC29" i="19"/>
  <c r="U29" i="19"/>
  <c r="Y25" i="19"/>
  <c r="AC48" i="19"/>
  <c r="J17" i="18"/>
  <c r="H62" i="18" s="1"/>
  <c r="O19" i="18"/>
  <c r="O21" i="18" s="1"/>
  <c r="M63" i="18" s="1"/>
  <c r="O25" i="18"/>
  <c r="M64" i="18" s="1"/>
  <c r="O46" i="18"/>
  <c r="O47" i="18" s="1"/>
  <c r="M68" i="18" s="1"/>
  <c r="O43" i="18"/>
  <c r="O4" i="18"/>
  <c r="O6" i="18"/>
  <c r="O17" i="18"/>
  <c r="M62" i="18" s="1"/>
  <c r="J14" i="18"/>
  <c r="H61" i="18" s="1"/>
  <c r="J46" i="18"/>
  <c r="J47" i="18" s="1"/>
  <c r="H68" i="18" s="1"/>
  <c r="J43" i="18"/>
  <c r="J25" i="18"/>
  <c r="H64" i="18" s="1"/>
  <c r="J4" i="18"/>
  <c r="Z48" i="19"/>
  <c r="AD22" i="19"/>
  <c r="AD18" i="19" s="1"/>
  <c r="AD21" i="19" s="1"/>
  <c r="V18" i="19"/>
  <c r="V21" i="19" s="1"/>
  <c r="AC18" i="19"/>
  <c r="AC21" i="19" s="1"/>
  <c r="AD38" i="19"/>
  <c r="AD39" i="19" s="1"/>
  <c r="U18" i="19"/>
  <c r="U21" i="19" s="1"/>
  <c r="Y18" i="19"/>
  <c r="Y21" i="19" s="1"/>
  <c r="U48" i="19"/>
  <c r="V48" i="19"/>
  <c r="Y48" i="19"/>
  <c r="AC17" i="19"/>
  <c r="AD54" i="19"/>
  <c r="AD55" i="19" s="1"/>
  <c r="AD51" i="19"/>
  <c r="AC54" i="19"/>
  <c r="AC55" i="19" s="1"/>
  <c r="AC51" i="19"/>
  <c r="Z54" i="19"/>
  <c r="Z55" i="19" s="1"/>
  <c r="Y17" i="19"/>
  <c r="Y54" i="19"/>
  <c r="Y55" i="19" s="1"/>
  <c r="Z18" i="19"/>
  <c r="Z21" i="19" s="1"/>
  <c r="U54" i="19"/>
  <c r="U55" i="19" s="1"/>
  <c r="U51" i="19"/>
  <c r="V51" i="19"/>
  <c r="V54" i="19"/>
  <c r="V55" i="19" s="1"/>
  <c r="U6" i="19"/>
  <c r="V6" i="19"/>
  <c r="AB34" i="20" l="1"/>
  <c r="AD23" i="20"/>
  <c r="AD63" i="20" s="1"/>
  <c r="AD64" i="20" s="1"/>
  <c r="P23" i="20"/>
  <c r="R34" i="20"/>
  <c r="L34" i="20"/>
  <c r="Q23" i="20"/>
  <c r="Q63" i="20" s="1"/>
  <c r="Q64" i="20" s="1"/>
  <c r="M34" i="20"/>
  <c r="AB23" i="20"/>
  <c r="AB63" i="20" s="1"/>
  <c r="P63" i="20"/>
  <c r="P64" i="20" s="1"/>
  <c r="AD34" i="20"/>
  <c r="N34" i="20"/>
  <c r="P34" i="20"/>
  <c r="T48" i="18"/>
  <c r="T49" i="18" s="1"/>
  <c r="AC23" i="20"/>
  <c r="AC63" i="20" s="1"/>
  <c r="R23" i="20"/>
  <c r="R63" i="20" s="1"/>
  <c r="U48" i="18"/>
  <c r="U50" i="18" s="1"/>
  <c r="V48" i="18"/>
  <c r="V50" i="18" s="1"/>
  <c r="AI56" i="19"/>
  <c r="AI58" i="19" s="1"/>
  <c r="D91" i="19"/>
  <c r="AJ56" i="19"/>
  <c r="AJ57" i="19" s="1"/>
  <c r="AG56" i="19"/>
  <c r="AG58" i="19" s="1"/>
  <c r="AH56" i="19"/>
  <c r="AC34" i="20"/>
  <c r="N23" i="20"/>
  <c r="N63" i="20" s="1"/>
  <c r="L23" i="20"/>
  <c r="L63" i="20" s="1"/>
  <c r="M23" i="20"/>
  <c r="M63" i="20" s="1"/>
  <c r="S56" i="19"/>
  <c r="S57" i="19" s="1"/>
  <c r="AD56" i="19"/>
  <c r="AD58" i="19" s="1"/>
  <c r="T56" i="19"/>
  <c r="T58" i="19" s="1"/>
  <c r="V56" i="19"/>
  <c r="V58" i="19" s="1"/>
  <c r="Z56" i="19"/>
  <c r="Z57" i="19" s="1"/>
  <c r="O48" i="18"/>
  <c r="O49" i="18" s="1"/>
  <c r="J48" i="18"/>
  <c r="J49" i="18" s="1"/>
  <c r="AC56" i="19"/>
  <c r="AC58" i="19" s="1"/>
  <c r="U56" i="19"/>
  <c r="U57" i="19" s="1"/>
  <c r="Y56" i="19"/>
  <c r="Y58" i="19" s="1"/>
  <c r="Z58" i="19"/>
  <c r="R78" i="20"/>
  <c r="O57" i="20"/>
  <c r="O59" i="20" s="1"/>
  <c r="T78" i="20"/>
  <c r="S78" i="20"/>
  <c r="O50" i="20"/>
  <c r="Q78" i="20" s="1"/>
  <c r="O49" i="20"/>
  <c r="O33" i="20"/>
  <c r="T76" i="20"/>
  <c r="S76" i="20"/>
  <c r="R76" i="20"/>
  <c r="O30" i="20"/>
  <c r="Q76" i="20" s="1"/>
  <c r="T75" i="20"/>
  <c r="S75" i="20"/>
  <c r="R75" i="20"/>
  <c r="O25" i="20"/>
  <c r="Q75" i="20" s="1"/>
  <c r="O16" i="20"/>
  <c r="T72" i="20"/>
  <c r="S72" i="20"/>
  <c r="R72" i="20"/>
  <c r="O15" i="20"/>
  <c r="Q72" i="20" s="1"/>
  <c r="O8" i="20"/>
  <c r="O20" i="20" s="1"/>
  <c r="T77" i="20"/>
  <c r="S77" i="20"/>
  <c r="R77" i="20"/>
  <c r="O4" i="20"/>
  <c r="O5" i="20" s="1"/>
  <c r="O43" i="20" s="1"/>
  <c r="Q77" i="20" s="1"/>
  <c r="Q77" i="19"/>
  <c r="P77" i="19"/>
  <c r="O77" i="19"/>
  <c r="Q76" i="19"/>
  <c r="P76" i="19"/>
  <c r="O76" i="19"/>
  <c r="Q75" i="19"/>
  <c r="P75" i="19"/>
  <c r="O75" i="19"/>
  <c r="N77" i="19"/>
  <c r="N76" i="19"/>
  <c r="N75" i="19"/>
  <c r="AF50" i="19"/>
  <c r="AF52" i="19" s="1"/>
  <c r="AE50" i="19"/>
  <c r="AE52" i="19" s="1"/>
  <c r="AF46" i="19"/>
  <c r="AE46" i="19"/>
  <c r="AF44" i="19"/>
  <c r="AE44" i="19"/>
  <c r="AF43" i="19"/>
  <c r="Q86" i="19" s="1"/>
  <c r="AE43" i="19"/>
  <c r="P86" i="19" s="1"/>
  <c r="O86" i="19"/>
  <c r="AF41" i="19"/>
  <c r="AE41" i="19"/>
  <c r="AF33" i="19"/>
  <c r="AE33" i="19"/>
  <c r="AF7" i="19"/>
  <c r="AE7" i="19"/>
  <c r="AF3" i="19"/>
  <c r="AF14" i="19" s="1"/>
  <c r="Q81" i="19" s="1"/>
  <c r="AE3" i="19"/>
  <c r="AE29" i="19" s="1"/>
  <c r="P85" i="19" s="1"/>
  <c r="O81" i="19"/>
  <c r="N86" i="19"/>
  <c r="N85" i="19"/>
  <c r="AB50" i="19"/>
  <c r="AB52" i="19" s="1"/>
  <c r="AA50" i="19"/>
  <c r="AA52" i="19" s="1"/>
  <c r="AB46" i="19"/>
  <c r="AA46" i="19"/>
  <c r="AB44" i="19"/>
  <c r="AA44" i="19"/>
  <c r="AB43" i="19"/>
  <c r="M86" i="19" s="1"/>
  <c r="AA43" i="19"/>
  <c r="L86" i="19" s="1"/>
  <c r="K86" i="19"/>
  <c r="J86" i="19"/>
  <c r="AB41" i="19"/>
  <c r="AA41" i="19"/>
  <c r="AB38" i="19"/>
  <c r="AB39" i="19" s="1"/>
  <c r="AA38" i="19"/>
  <c r="AA39" i="19" s="1"/>
  <c r="AB33" i="19"/>
  <c r="AA33" i="19"/>
  <c r="AB22" i="19"/>
  <c r="AA22" i="19"/>
  <c r="AB7" i="19"/>
  <c r="AA7" i="19"/>
  <c r="AB3" i="19"/>
  <c r="AB6" i="19" s="1"/>
  <c r="AA3" i="19"/>
  <c r="AA6" i="19" s="1"/>
  <c r="K81" i="19"/>
  <c r="J85" i="19"/>
  <c r="AA57" i="20"/>
  <c r="AA59" i="20" s="1"/>
  <c r="AA58" i="20" s="1"/>
  <c r="T90" i="20"/>
  <c r="S90" i="20"/>
  <c r="R90" i="20"/>
  <c r="AA50" i="20"/>
  <c r="Q90" i="20" s="1"/>
  <c r="AA49" i="20"/>
  <c r="AA33" i="20"/>
  <c r="T88" i="20"/>
  <c r="S88" i="20"/>
  <c r="R88" i="20"/>
  <c r="AA30" i="20"/>
  <c r="Q88" i="20" s="1"/>
  <c r="T87" i="20"/>
  <c r="S87" i="20"/>
  <c r="R87" i="20"/>
  <c r="AA25" i="20"/>
  <c r="Q87" i="20" s="1"/>
  <c r="AA16" i="20"/>
  <c r="T84" i="20"/>
  <c r="S84" i="20"/>
  <c r="R84" i="20"/>
  <c r="AA15" i="20"/>
  <c r="Q84" i="20" s="1"/>
  <c r="AA8" i="20"/>
  <c r="AA20" i="20" s="1"/>
  <c r="S89" i="20"/>
  <c r="R89" i="20"/>
  <c r="AA4" i="20"/>
  <c r="AA5" i="20" s="1"/>
  <c r="K82" i="20"/>
  <c r="L82" i="20"/>
  <c r="M82" i="20"/>
  <c r="N82" i="20"/>
  <c r="Z57" i="20"/>
  <c r="Z59" i="20" s="1"/>
  <c r="Z58" i="20" s="1"/>
  <c r="Y57" i="20"/>
  <c r="Y59" i="20" s="1"/>
  <c r="Y58" i="20" s="1"/>
  <c r="X57" i="20"/>
  <c r="X59" i="20" s="1"/>
  <c r="X58" i="20" s="1"/>
  <c r="W57" i="20"/>
  <c r="W59" i="20" s="1"/>
  <c r="W58" i="20" s="1"/>
  <c r="Z50" i="20"/>
  <c r="N89" i="20" s="1"/>
  <c r="Y50" i="20"/>
  <c r="M89" i="20" s="1"/>
  <c r="X50" i="20"/>
  <c r="L89" i="20" s="1"/>
  <c r="W50" i="20"/>
  <c r="K89" i="20" s="1"/>
  <c r="Z49" i="20"/>
  <c r="Y49" i="20"/>
  <c r="X49" i="20"/>
  <c r="W49" i="20"/>
  <c r="Z33" i="20"/>
  <c r="Y33" i="20"/>
  <c r="X33" i="20"/>
  <c r="W33" i="20"/>
  <c r="Z30" i="20"/>
  <c r="N87" i="20" s="1"/>
  <c r="Y30" i="20"/>
  <c r="M87" i="20" s="1"/>
  <c r="X30" i="20"/>
  <c r="L87" i="20" s="1"/>
  <c r="W30" i="20"/>
  <c r="K87" i="20" s="1"/>
  <c r="Z25" i="20"/>
  <c r="N86" i="20" s="1"/>
  <c r="Y25" i="20"/>
  <c r="M86" i="20" s="1"/>
  <c r="X25" i="20"/>
  <c r="L86" i="20" s="1"/>
  <c r="W25" i="20"/>
  <c r="K86" i="20" s="1"/>
  <c r="Z16" i="20"/>
  <c r="Y16" i="20"/>
  <c r="X16" i="20"/>
  <c r="W16" i="20"/>
  <c r="Z15" i="20"/>
  <c r="N83" i="20" s="1"/>
  <c r="Y15" i="20"/>
  <c r="M83" i="20" s="1"/>
  <c r="X15" i="20"/>
  <c r="L83" i="20" s="1"/>
  <c r="W15" i="20"/>
  <c r="K83" i="20" s="1"/>
  <c r="Z8" i="20"/>
  <c r="Z20" i="20" s="1"/>
  <c r="Y8" i="20"/>
  <c r="Y20" i="20" s="1"/>
  <c r="X8" i="20"/>
  <c r="X20" i="20" s="1"/>
  <c r="W8" i="20"/>
  <c r="W20" i="20" s="1"/>
  <c r="Z4" i="20"/>
  <c r="Z5" i="20" s="1"/>
  <c r="Z43" i="20" s="1"/>
  <c r="N88" i="20" s="1"/>
  <c r="Y4" i="20"/>
  <c r="Y5" i="20" s="1"/>
  <c r="X4" i="20"/>
  <c r="X5" i="20" s="1"/>
  <c r="X43" i="20" s="1"/>
  <c r="L88" i="20" s="1"/>
  <c r="W4" i="20"/>
  <c r="W5" i="20" s="1"/>
  <c r="K71" i="20"/>
  <c r="Q71" i="20" s="1"/>
  <c r="L71" i="20"/>
  <c r="R71" i="20" s="1"/>
  <c r="M71" i="20"/>
  <c r="S71" i="20" s="1"/>
  <c r="N71" i="20"/>
  <c r="T71" i="20" s="1"/>
  <c r="K57" i="20"/>
  <c r="K59" i="20" s="1"/>
  <c r="K58" i="20" s="1"/>
  <c r="N78" i="20"/>
  <c r="M78" i="20"/>
  <c r="L78" i="20"/>
  <c r="K50" i="20"/>
  <c r="K78" i="20" s="1"/>
  <c r="K49" i="20"/>
  <c r="K33" i="20"/>
  <c r="N76" i="20"/>
  <c r="M76" i="20"/>
  <c r="L76" i="20"/>
  <c r="K30" i="20"/>
  <c r="K76" i="20" s="1"/>
  <c r="N75" i="20"/>
  <c r="M75" i="20"/>
  <c r="L75" i="20"/>
  <c r="K25" i="20"/>
  <c r="K75" i="20" s="1"/>
  <c r="K16" i="20"/>
  <c r="N72" i="20"/>
  <c r="M72" i="20"/>
  <c r="L72" i="20"/>
  <c r="K15" i="20"/>
  <c r="K72" i="20" s="1"/>
  <c r="K8" i="20"/>
  <c r="K20" i="20" s="1"/>
  <c r="N77" i="20"/>
  <c r="M77" i="20"/>
  <c r="L77" i="20"/>
  <c r="K4" i="20"/>
  <c r="K5" i="20" s="1"/>
  <c r="K43" i="20" s="1"/>
  <c r="K77" i="20" s="1"/>
  <c r="A101" i="20"/>
  <c r="A100" i="20"/>
  <c r="A99" i="20"/>
  <c r="A98" i="20"/>
  <c r="A97" i="20"/>
  <c r="A96" i="20"/>
  <c r="A95" i="20"/>
  <c r="A94" i="20"/>
  <c r="H93" i="20"/>
  <c r="G93" i="20"/>
  <c r="F93" i="20"/>
  <c r="B93" i="20"/>
  <c r="A90" i="20"/>
  <c r="A89" i="20"/>
  <c r="A88" i="20"/>
  <c r="A87" i="20"/>
  <c r="A86" i="20"/>
  <c r="A85" i="20"/>
  <c r="A84" i="20"/>
  <c r="A83" i="20"/>
  <c r="H82" i="20"/>
  <c r="G82" i="20"/>
  <c r="F82" i="20"/>
  <c r="B82" i="20"/>
  <c r="J79" i="20"/>
  <c r="J101" i="20" s="1"/>
  <c r="A79" i="20"/>
  <c r="J78" i="20"/>
  <c r="J89" i="20" s="1"/>
  <c r="P90" i="20" s="1"/>
  <c r="A78" i="20"/>
  <c r="J77" i="20"/>
  <c r="J99" i="20" s="1"/>
  <c r="A77" i="20"/>
  <c r="J76" i="20"/>
  <c r="J98" i="20" s="1"/>
  <c r="A76" i="20"/>
  <c r="J75" i="20"/>
  <c r="J86" i="20" s="1"/>
  <c r="P87" i="20" s="1"/>
  <c r="A75" i="20"/>
  <c r="J74" i="20"/>
  <c r="J96" i="20" s="1"/>
  <c r="A74" i="20"/>
  <c r="J73" i="20"/>
  <c r="J95" i="20" s="1"/>
  <c r="A73" i="20"/>
  <c r="J72" i="20"/>
  <c r="J83" i="20" s="1"/>
  <c r="P84" i="20" s="1"/>
  <c r="A72" i="20"/>
  <c r="H71" i="20"/>
  <c r="G71" i="20"/>
  <c r="F71" i="20"/>
  <c r="B71" i="20"/>
  <c r="AH57" i="20"/>
  <c r="AH59" i="20" s="1"/>
  <c r="AG57" i="20"/>
  <c r="AG59" i="20" s="1"/>
  <c r="AF57" i="20"/>
  <c r="AF59" i="20" s="1"/>
  <c r="AE57" i="20"/>
  <c r="AE59" i="20" s="1"/>
  <c r="V57" i="20"/>
  <c r="V59" i="20" s="1"/>
  <c r="U57" i="20"/>
  <c r="U59" i="20" s="1"/>
  <c r="T57" i="20"/>
  <c r="T59" i="20" s="1"/>
  <c r="S57" i="20"/>
  <c r="S59" i="20" s="1"/>
  <c r="J57" i="20"/>
  <c r="J59" i="20" s="1"/>
  <c r="I57" i="20"/>
  <c r="I59" i="20" s="1"/>
  <c r="H57" i="20"/>
  <c r="H59" i="20" s="1"/>
  <c r="G57" i="20"/>
  <c r="G59" i="20" s="1"/>
  <c r="F55" i="20"/>
  <c r="E55" i="20"/>
  <c r="D55" i="20"/>
  <c r="C55" i="20"/>
  <c r="AH50" i="20"/>
  <c r="H100" i="20" s="1"/>
  <c r="AG50" i="20"/>
  <c r="G100" i="20" s="1"/>
  <c r="AF50" i="20"/>
  <c r="F100" i="20" s="1"/>
  <c r="AE50" i="20"/>
  <c r="B100" i="20" s="1"/>
  <c r="V50" i="20"/>
  <c r="H89" i="20" s="1"/>
  <c r="U50" i="20"/>
  <c r="G89" i="20" s="1"/>
  <c r="T50" i="20"/>
  <c r="F89" i="20" s="1"/>
  <c r="S50" i="20"/>
  <c r="B89" i="20" s="1"/>
  <c r="J50" i="20"/>
  <c r="H78" i="20" s="1"/>
  <c r="I50" i="20"/>
  <c r="G78" i="20" s="1"/>
  <c r="H50" i="20"/>
  <c r="F78" i="20" s="1"/>
  <c r="G50" i="20"/>
  <c r="B78" i="20" s="1"/>
  <c r="AH49" i="20"/>
  <c r="AG49" i="20"/>
  <c r="AF49" i="20"/>
  <c r="AE49" i="20"/>
  <c r="V49" i="20"/>
  <c r="U49" i="20"/>
  <c r="T49" i="20"/>
  <c r="S49" i="20"/>
  <c r="J49" i="20"/>
  <c r="I49" i="20"/>
  <c r="H49" i="20"/>
  <c r="G49" i="20"/>
  <c r="F49" i="20"/>
  <c r="F52" i="20" s="1"/>
  <c r="E49" i="20"/>
  <c r="E52" i="20" s="1"/>
  <c r="D49" i="20"/>
  <c r="D52" i="20" s="1"/>
  <c r="C49" i="20"/>
  <c r="C52" i="20" s="1"/>
  <c r="F47" i="20"/>
  <c r="E47" i="20"/>
  <c r="D47" i="20"/>
  <c r="C47" i="20"/>
  <c r="F45" i="20"/>
  <c r="E45" i="20"/>
  <c r="D45" i="20"/>
  <c r="C45" i="20"/>
  <c r="F41" i="20"/>
  <c r="E41" i="20"/>
  <c r="D41" i="20"/>
  <c r="C41" i="20"/>
  <c r="AH33" i="20"/>
  <c r="AG33" i="20"/>
  <c r="AF33" i="20"/>
  <c r="AE33" i="20"/>
  <c r="V33" i="20"/>
  <c r="U33" i="20"/>
  <c r="T33" i="20"/>
  <c r="S33" i="20"/>
  <c r="J33" i="20"/>
  <c r="I33" i="20"/>
  <c r="H33" i="20"/>
  <c r="G33" i="20"/>
  <c r="F31" i="20"/>
  <c r="E31" i="20"/>
  <c r="D31" i="20"/>
  <c r="C31" i="20"/>
  <c r="AH30" i="20"/>
  <c r="H98" i="20" s="1"/>
  <c r="AG30" i="20"/>
  <c r="G98" i="20" s="1"/>
  <c r="AF30" i="20"/>
  <c r="F98" i="20" s="1"/>
  <c r="AE30" i="20"/>
  <c r="B98" i="20" s="1"/>
  <c r="V30" i="20"/>
  <c r="H87" i="20" s="1"/>
  <c r="U30" i="20"/>
  <c r="G87" i="20" s="1"/>
  <c r="T30" i="20"/>
  <c r="F87" i="20" s="1"/>
  <c r="S30" i="20"/>
  <c r="B87" i="20" s="1"/>
  <c r="J30" i="20"/>
  <c r="H76" i="20" s="1"/>
  <c r="I30" i="20"/>
  <c r="G76" i="20" s="1"/>
  <c r="H30" i="20"/>
  <c r="F76" i="20" s="1"/>
  <c r="G30" i="20"/>
  <c r="B76" i="20" s="1"/>
  <c r="F27" i="20"/>
  <c r="E27" i="20"/>
  <c r="D27" i="20"/>
  <c r="C27" i="20"/>
  <c r="AH25" i="20"/>
  <c r="H97" i="20" s="1"/>
  <c r="AG25" i="20"/>
  <c r="G97" i="20" s="1"/>
  <c r="AF25" i="20"/>
  <c r="F97" i="20" s="1"/>
  <c r="AE25" i="20"/>
  <c r="B97" i="20" s="1"/>
  <c r="V25" i="20"/>
  <c r="H86" i="20" s="1"/>
  <c r="U25" i="20"/>
  <c r="G86" i="20" s="1"/>
  <c r="T25" i="20"/>
  <c r="F86" i="20" s="1"/>
  <c r="S25" i="20"/>
  <c r="B86" i="20" s="1"/>
  <c r="J25" i="20"/>
  <c r="H75" i="20" s="1"/>
  <c r="I25" i="20"/>
  <c r="G75" i="20" s="1"/>
  <c r="H25" i="20"/>
  <c r="F75" i="20" s="1"/>
  <c r="G25" i="20"/>
  <c r="B75" i="20" s="1"/>
  <c r="F21" i="20"/>
  <c r="E21" i="20"/>
  <c r="D21" i="20"/>
  <c r="C21" i="20"/>
  <c r="AH16" i="20"/>
  <c r="AG16" i="20"/>
  <c r="AF16" i="20"/>
  <c r="AE16" i="20"/>
  <c r="V16" i="20"/>
  <c r="U16" i="20"/>
  <c r="T16" i="20"/>
  <c r="S16" i="20"/>
  <c r="J16" i="20"/>
  <c r="I16" i="20"/>
  <c r="H16" i="20"/>
  <c r="G16" i="20"/>
  <c r="H94" i="20"/>
  <c r="G94" i="20"/>
  <c r="F94" i="20"/>
  <c r="V15" i="20"/>
  <c r="H83" i="20" s="1"/>
  <c r="U15" i="20"/>
  <c r="G83" i="20" s="1"/>
  <c r="T15" i="20"/>
  <c r="F83" i="20" s="1"/>
  <c r="S15" i="20"/>
  <c r="B83" i="20" s="1"/>
  <c r="J15" i="20"/>
  <c r="H72" i="20" s="1"/>
  <c r="I15" i="20"/>
  <c r="G72" i="20" s="1"/>
  <c r="H15" i="20"/>
  <c r="F72" i="20" s="1"/>
  <c r="G15" i="20"/>
  <c r="B72" i="20" s="1"/>
  <c r="AH8" i="20"/>
  <c r="AH20" i="20" s="1"/>
  <c r="AG8" i="20"/>
  <c r="AG20" i="20" s="1"/>
  <c r="AF8" i="20"/>
  <c r="AF20" i="20" s="1"/>
  <c r="AE8" i="20"/>
  <c r="AE20" i="20" s="1"/>
  <c r="V8" i="20"/>
  <c r="V20" i="20" s="1"/>
  <c r="U8" i="20"/>
  <c r="U20" i="20" s="1"/>
  <c r="T8" i="20"/>
  <c r="T20" i="20" s="1"/>
  <c r="S8" i="20"/>
  <c r="S20" i="20" s="1"/>
  <c r="J8" i="20"/>
  <c r="J20" i="20" s="1"/>
  <c r="I8" i="20"/>
  <c r="I20" i="20" s="1"/>
  <c r="H8" i="20"/>
  <c r="H20" i="20" s="1"/>
  <c r="G8" i="20"/>
  <c r="G20" i="20" s="1"/>
  <c r="F8" i="20"/>
  <c r="E8" i="20"/>
  <c r="D8" i="20"/>
  <c r="C8" i="20"/>
  <c r="F7" i="20"/>
  <c r="E7" i="20"/>
  <c r="D7" i="20"/>
  <c r="C7" i="20"/>
  <c r="AH4" i="20"/>
  <c r="AH5" i="20" s="1"/>
  <c r="AH43" i="20" s="1"/>
  <c r="H99" i="20" s="1"/>
  <c r="AG4" i="20"/>
  <c r="AG5" i="20" s="1"/>
  <c r="AG43" i="20" s="1"/>
  <c r="G99" i="20" s="1"/>
  <c r="AF4" i="20"/>
  <c r="AF5" i="20" s="1"/>
  <c r="AF43" i="20" s="1"/>
  <c r="F99" i="20" s="1"/>
  <c r="AE4" i="20"/>
  <c r="AE5" i="20" s="1"/>
  <c r="AE43" i="20" s="1"/>
  <c r="B99" i="20" s="1"/>
  <c r="V4" i="20"/>
  <c r="V5" i="20" s="1"/>
  <c r="V43" i="20" s="1"/>
  <c r="H88" i="20" s="1"/>
  <c r="U4" i="20"/>
  <c r="U5" i="20" s="1"/>
  <c r="U43" i="20" s="1"/>
  <c r="G88" i="20" s="1"/>
  <c r="T4" i="20"/>
  <c r="T5" i="20" s="1"/>
  <c r="T43" i="20" s="1"/>
  <c r="F88" i="20" s="1"/>
  <c r="S4" i="20"/>
  <c r="S5" i="20" s="1"/>
  <c r="J4" i="20"/>
  <c r="J5" i="20" s="1"/>
  <c r="J43" i="20" s="1"/>
  <c r="H77" i="20" s="1"/>
  <c r="I4" i="20"/>
  <c r="I5" i="20" s="1"/>
  <c r="I43" i="20" s="1"/>
  <c r="G77" i="20" s="1"/>
  <c r="H4" i="20"/>
  <c r="H5" i="20" s="1"/>
  <c r="H43" i="20" s="1"/>
  <c r="F77" i="20" s="1"/>
  <c r="G4" i="20"/>
  <c r="G5" i="20" s="1"/>
  <c r="G43" i="20" s="1"/>
  <c r="B77" i="20" s="1"/>
  <c r="F4" i="20"/>
  <c r="F35" i="20" s="1"/>
  <c r="F36" i="20" s="1"/>
  <c r="E4" i="20"/>
  <c r="E35" i="20" s="1"/>
  <c r="D4" i="20"/>
  <c r="D5" i="20" s="1"/>
  <c r="C4" i="20"/>
  <c r="C35" i="20" s="1"/>
  <c r="C36" i="20" s="1"/>
  <c r="P50" i="19"/>
  <c r="P52" i="19" s="1"/>
  <c r="P51" i="19" s="1"/>
  <c r="O50" i="19"/>
  <c r="O52" i="19" s="1"/>
  <c r="O51" i="19" s="1"/>
  <c r="N50" i="19"/>
  <c r="N52" i="19" s="1"/>
  <c r="N51" i="19" s="1"/>
  <c r="M50" i="19"/>
  <c r="M52" i="19" s="1"/>
  <c r="L50" i="19"/>
  <c r="L52" i="19" s="1"/>
  <c r="P46" i="19"/>
  <c r="P48" i="19" s="1"/>
  <c r="M77" i="19" s="1"/>
  <c r="O46" i="19"/>
  <c r="O48" i="19" s="1"/>
  <c r="L77" i="19" s="1"/>
  <c r="N46" i="19"/>
  <c r="N48" i="19" s="1"/>
  <c r="K77" i="19" s="1"/>
  <c r="M46" i="19"/>
  <c r="M48" i="19" s="1"/>
  <c r="L46" i="19"/>
  <c r="L48" i="19" s="1"/>
  <c r="J77" i="19" s="1"/>
  <c r="P43" i="19"/>
  <c r="M76" i="19" s="1"/>
  <c r="O43" i="19"/>
  <c r="L76" i="19" s="1"/>
  <c r="N43" i="19"/>
  <c r="K76" i="19" s="1"/>
  <c r="M43" i="19"/>
  <c r="L43" i="19"/>
  <c r="J76" i="19" s="1"/>
  <c r="P41" i="19"/>
  <c r="O41" i="19"/>
  <c r="N41" i="19"/>
  <c r="M41" i="19"/>
  <c r="L41" i="19"/>
  <c r="P38" i="19"/>
  <c r="P39" i="19" s="1"/>
  <c r="O38" i="19"/>
  <c r="O39" i="19" s="1"/>
  <c r="N38" i="19"/>
  <c r="N39" i="19" s="1"/>
  <c r="M38" i="19"/>
  <c r="M39" i="19" s="1"/>
  <c r="L38" i="19"/>
  <c r="L39" i="19" s="1"/>
  <c r="P7" i="19"/>
  <c r="P18" i="19" s="1"/>
  <c r="O7" i="19"/>
  <c r="O18" i="19" s="1"/>
  <c r="N7" i="19"/>
  <c r="N18" i="19" s="1"/>
  <c r="M7" i="19"/>
  <c r="M18" i="19" s="1"/>
  <c r="L7" i="19"/>
  <c r="L18" i="19" s="1"/>
  <c r="P3" i="19"/>
  <c r="P29" i="19" s="1"/>
  <c r="M75" i="19" s="1"/>
  <c r="O3" i="19"/>
  <c r="O25" i="19" s="1"/>
  <c r="L74" i="19" s="1"/>
  <c r="N3" i="19"/>
  <c r="N6" i="19" s="1"/>
  <c r="M3" i="19"/>
  <c r="M6" i="19" s="1"/>
  <c r="L3" i="19"/>
  <c r="L6" i="19" s="1"/>
  <c r="B86" i="19"/>
  <c r="A98" i="19"/>
  <c r="A97" i="19"/>
  <c r="A96" i="19"/>
  <c r="A95" i="19"/>
  <c r="A94" i="19"/>
  <c r="A93" i="19"/>
  <c r="A92" i="19"/>
  <c r="A91" i="19"/>
  <c r="A88" i="19"/>
  <c r="A87" i="19"/>
  <c r="A86" i="19"/>
  <c r="A85" i="19"/>
  <c r="A84" i="19"/>
  <c r="A83" i="19"/>
  <c r="A82" i="19"/>
  <c r="A81" i="19"/>
  <c r="A78" i="19"/>
  <c r="A77" i="19"/>
  <c r="A76" i="19"/>
  <c r="A75" i="19"/>
  <c r="A74" i="19"/>
  <c r="A73" i="19"/>
  <c r="A72" i="19"/>
  <c r="A71" i="19"/>
  <c r="X50" i="19"/>
  <c r="X52" i="19" s="1"/>
  <c r="W50" i="19"/>
  <c r="W52" i="19" s="1"/>
  <c r="W51" i="19" s="1"/>
  <c r="K50" i="19"/>
  <c r="K52" i="19" s="1"/>
  <c r="K54" i="19" s="1"/>
  <c r="K55" i="19" s="1"/>
  <c r="I78" i="19" s="1"/>
  <c r="J50" i="19"/>
  <c r="J52" i="19" s="1"/>
  <c r="J51" i="19" s="1"/>
  <c r="I50" i="19"/>
  <c r="I52" i="19" s="1"/>
  <c r="H50" i="19"/>
  <c r="H52" i="19" s="1"/>
  <c r="G50" i="19"/>
  <c r="G52" i="19" s="1"/>
  <c r="X46" i="19"/>
  <c r="W46" i="19"/>
  <c r="K46" i="19"/>
  <c r="K48" i="19" s="1"/>
  <c r="I77" i="19" s="1"/>
  <c r="J46" i="19"/>
  <c r="J48" i="19" s="1"/>
  <c r="H77" i="19" s="1"/>
  <c r="I46" i="19"/>
  <c r="I48" i="19" s="1"/>
  <c r="G77" i="19" s="1"/>
  <c r="H46" i="19"/>
  <c r="H48" i="19" s="1"/>
  <c r="F77" i="19" s="1"/>
  <c r="G46" i="19"/>
  <c r="G48" i="19" s="1"/>
  <c r="B77" i="19" s="1"/>
  <c r="F46" i="19"/>
  <c r="F47" i="19" s="1"/>
  <c r="E46" i="19"/>
  <c r="E47" i="19" s="1"/>
  <c r="D46" i="19"/>
  <c r="D47" i="19" s="1"/>
  <c r="C46" i="19"/>
  <c r="C47" i="19" s="1"/>
  <c r="X44" i="19"/>
  <c r="W44" i="19"/>
  <c r="X43" i="19"/>
  <c r="I86" i="19" s="1"/>
  <c r="W43" i="19"/>
  <c r="H86" i="19" s="1"/>
  <c r="G86" i="19"/>
  <c r="F86" i="19"/>
  <c r="K43" i="19"/>
  <c r="I76" i="19" s="1"/>
  <c r="J43" i="19"/>
  <c r="H76" i="19" s="1"/>
  <c r="I43" i="19"/>
  <c r="G76" i="19" s="1"/>
  <c r="H43" i="19"/>
  <c r="F76" i="19" s="1"/>
  <c r="G43" i="19"/>
  <c r="B76" i="19" s="1"/>
  <c r="X41" i="19"/>
  <c r="W41" i="19"/>
  <c r="K41" i="19"/>
  <c r="J41" i="19"/>
  <c r="I41" i="19"/>
  <c r="H41" i="19"/>
  <c r="G41" i="19"/>
  <c r="F41" i="19"/>
  <c r="F42" i="19" s="1"/>
  <c r="E41" i="19"/>
  <c r="E42" i="19" s="1"/>
  <c r="D41" i="19"/>
  <c r="D42" i="19" s="1"/>
  <c r="C41" i="19"/>
  <c r="C42" i="19" s="1"/>
  <c r="F40" i="19"/>
  <c r="E40" i="19"/>
  <c r="D40" i="19"/>
  <c r="C40" i="19"/>
  <c r="X38" i="19"/>
  <c r="X39" i="19" s="1"/>
  <c r="W38" i="19"/>
  <c r="W39" i="19" s="1"/>
  <c r="K38" i="19"/>
  <c r="K39" i="19" s="1"/>
  <c r="J38" i="19"/>
  <c r="J39" i="19" s="1"/>
  <c r="I38" i="19"/>
  <c r="I39" i="19" s="1"/>
  <c r="H38" i="19"/>
  <c r="H39" i="19" s="1"/>
  <c r="G38" i="19"/>
  <c r="G39" i="19" s="1"/>
  <c r="X33" i="19"/>
  <c r="W33" i="19"/>
  <c r="AF38" i="19" s="1"/>
  <c r="AF39" i="19" s="1"/>
  <c r="X22" i="19"/>
  <c r="W22" i="19"/>
  <c r="AF22" i="19" s="1"/>
  <c r="X7" i="19"/>
  <c r="W7" i="19"/>
  <c r="K7" i="19"/>
  <c r="K18" i="19" s="1"/>
  <c r="J7" i="19"/>
  <c r="J18" i="19" s="1"/>
  <c r="I7" i="19"/>
  <c r="I18" i="19" s="1"/>
  <c r="H7" i="19"/>
  <c r="H18" i="19" s="1"/>
  <c r="G7" i="19"/>
  <c r="G18" i="19" s="1"/>
  <c r="F7" i="19"/>
  <c r="E7" i="19"/>
  <c r="D7" i="19"/>
  <c r="C7" i="19"/>
  <c r="X3" i="19"/>
  <c r="X29" i="19" s="1"/>
  <c r="I85" i="19" s="1"/>
  <c r="W3" i="19"/>
  <c r="W6" i="19" s="1"/>
  <c r="G85" i="19"/>
  <c r="F84" i="19"/>
  <c r="K3" i="19"/>
  <c r="K29" i="19" s="1"/>
  <c r="I75" i="19" s="1"/>
  <c r="J3" i="19"/>
  <c r="J14" i="19" s="1"/>
  <c r="I3" i="19"/>
  <c r="I29" i="19" s="1"/>
  <c r="G75" i="19" s="1"/>
  <c r="H3" i="19"/>
  <c r="H29" i="19" s="1"/>
  <c r="F75" i="19" s="1"/>
  <c r="G3" i="19"/>
  <c r="G25" i="19" s="1"/>
  <c r="B74" i="19" s="1"/>
  <c r="F3" i="19"/>
  <c r="E3" i="19"/>
  <c r="D3" i="19"/>
  <c r="C3" i="19"/>
  <c r="M70" i="18"/>
  <c r="N70" i="18"/>
  <c r="P70" i="18"/>
  <c r="Q70" i="18"/>
  <c r="H70" i="18"/>
  <c r="I70" i="18"/>
  <c r="K70" i="18"/>
  <c r="L70" i="18"/>
  <c r="M76" i="18"/>
  <c r="N76" i="18"/>
  <c r="P76" i="18"/>
  <c r="Q76" i="18"/>
  <c r="H76" i="18"/>
  <c r="I76" i="18"/>
  <c r="K76" i="18"/>
  <c r="L76" i="18"/>
  <c r="AE42" i="18"/>
  <c r="AE44" i="18" s="1"/>
  <c r="AE43" i="18" s="1"/>
  <c r="AD42" i="18"/>
  <c r="AD44" i="18" s="1"/>
  <c r="AD46" i="18" s="1"/>
  <c r="AD47" i="18" s="1"/>
  <c r="P78" i="18" s="1"/>
  <c r="AC42" i="18"/>
  <c r="AC44" i="18" s="1"/>
  <c r="AC43" i="18" s="1"/>
  <c r="AB42" i="18"/>
  <c r="AB44" i="18" s="1"/>
  <c r="AB43" i="18" s="1"/>
  <c r="AE39" i="18"/>
  <c r="Q77" i="18" s="1"/>
  <c r="AD39" i="18"/>
  <c r="P77" i="18" s="1"/>
  <c r="AC39" i="18"/>
  <c r="N77" i="18" s="1"/>
  <c r="AB39" i="18"/>
  <c r="M77" i="18" s="1"/>
  <c r="AE29" i="18"/>
  <c r="Q75" i="18" s="1"/>
  <c r="AD29" i="18"/>
  <c r="P75" i="18" s="1"/>
  <c r="AC29" i="18"/>
  <c r="N75" i="18" s="1"/>
  <c r="AB29" i="18"/>
  <c r="M75" i="18" s="1"/>
  <c r="AE7" i="18"/>
  <c r="AE19" i="18" s="1"/>
  <c r="AD7" i="18"/>
  <c r="AD19" i="18" s="1"/>
  <c r="AC7" i="18"/>
  <c r="AC19" i="18" s="1"/>
  <c r="AB7" i="18"/>
  <c r="AB19" i="18" s="1"/>
  <c r="AE3" i="18"/>
  <c r="AE4" i="18" s="1"/>
  <c r="AD3" i="18"/>
  <c r="AD4" i="18" s="1"/>
  <c r="AC3" i="18"/>
  <c r="AC25" i="18" s="1"/>
  <c r="N74" i="18" s="1"/>
  <c r="AB3" i="18"/>
  <c r="AB4" i="18" s="1"/>
  <c r="Q65" i="20" l="1"/>
  <c r="V49" i="18"/>
  <c r="AD65" i="20"/>
  <c r="P65" i="20"/>
  <c r="AJ58" i="19"/>
  <c r="J47" i="20"/>
  <c r="P47" i="20"/>
  <c r="L47" i="20"/>
  <c r="M47" i="20"/>
  <c r="N47" i="20"/>
  <c r="Q47" i="20"/>
  <c r="R47" i="20"/>
  <c r="D20" i="19"/>
  <c r="D13" i="19"/>
  <c r="F26" i="19"/>
  <c r="F13" i="19"/>
  <c r="E26" i="19"/>
  <c r="E13" i="19"/>
  <c r="C26" i="19"/>
  <c r="C13" i="19"/>
  <c r="T50" i="18"/>
  <c r="R64" i="20"/>
  <c r="R65" i="20"/>
  <c r="O50" i="18"/>
  <c r="U49" i="18"/>
  <c r="AI57" i="19"/>
  <c r="S58" i="19"/>
  <c r="AG57" i="19"/>
  <c r="V57" i="19"/>
  <c r="AD57" i="19"/>
  <c r="AH58" i="19"/>
  <c r="AH57" i="19"/>
  <c r="AC65" i="20"/>
  <c r="AC64" i="20"/>
  <c r="AB65" i="20"/>
  <c r="AB64" i="20"/>
  <c r="M65" i="20"/>
  <c r="M64" i="20"/>
  <c r="L65" i="20"/>
  <c r="L64" i="20"/>
  <c r="N64" i="20"/>
  <c r="N65" i="20"/>
  <c r="W18" i="19"/>
  <c r="W21" i="19" s="1"/>
  <c r="H83" i="19" s="1"/>
  <c r="AC57" i="19"/>
  <c r="T57" i="19"/>
  <c r="O74" i="19"/>
  <c r="X18" i="19"/>
  <c r="X21" i="19" s="1"/>
  <c r="I83" i="19" s="1"/>
  <c r="J50" i="18"/>
  <c r="U58" i="19"/>
  <c r="Y57" i="19"/>
  <c r="AA18" i="19"/>
  <c r="AA21" i="19" s="1"/>
  <c r="AB18" i="19"/>
  <c r="AB21" i="19" s="1"/>
  <c r="AF18" i="19"/>
  <c r="AF21" i="19" s="1"/>
  <c r="Q83" i="19" s="1"/>
  <c r="N72" i="19"/>
  <c r="O82" i="19"/>
  <c r="P79" i="20"/>
  <c r="P78" i="20"/>
  <c r="P77" i="20"/>
  <c r="P76" i="20"/>
  <c r="Q74" i="19"/>
  <c r="P75" i="20"/>
  <c r="P74" i="20"/>
  <c r="P73" i="20"/>
  <c r="P72" i="20"/>
  <c r="AB17" i="18"/>
  <c r="M72" i="18" s="1"/>
  <c r="Q73" i="19"/>
  <c r="O23" i="20"/>
  <c r="Q74" i="20" s="1"/>
  <c r="R74" i="20"/>
  <c r="O34" i="20"/>
  <c r="O47" i="20"/>
  <c r="T73" i="20"/>
  <c r="S73" i="20"/>
  <c r="S74" i="20"/>
  <c r="R73" i="20"/>
  <c r="T79" i="20"/>
  <c r="O58" i="20"/>
  <c r="O61" i="20"/>
  <c r="O62" i="20" s="1"/>
  <c r="Q79" i="20" s="1"/>
  <c r="R79" i="20"/>
  <c r="S79" i="20"/>
  <c r="O72" i="19"/>
  <c r="Q72" i="19"/>
  <c r="Q71" i="19"/>
  <c r="N73" i="19"/>
  <c r="O73" i="19"/>
  <c r="P73" i="19"/>
  <c r="P78" i="19"/>
  <c r="Q78" i="19"/>
  <c r="O78" i="19"/>
  <c r="O71" i="19"/>
  <c r="P71" i="19"/>
  <c r="P74" i="19"/>
  <c r="P72" i="19"/>
  <c r="N78" i="19"/>
  <c r="N71" i="19"/>
  <c r="N74" i="19"/>
  <c r="AE48" i="19"/>
  <c r="P87" i="19" s="1"/>
  <c r="N82" i="19"/>
  <c r="AF25" i="19"/>
  <c r="Q84" i="19" s="1"/>
  <c r="AF48" i="19"/>
  <c r="Q87" i="19" s="1"/>
  <c r="N87" i="19"/>
  <c r="AE17" i="19"/>
  <c r="P82" i="19" s="1"/>
  <c r="AE38" i="19"/>
  <c r="AE39" i="19" s="1"/>
  <c r="O87" i="19"/>
  <c r="AE22" i="19"/>
  <c r="AE18" i="19" s="1"/>
  <c r="AE21" i="19" s="1"/>
  <c r="P83" i="19" s="1"/>
  <c r="O84" i="19"/>
  <c r="AF6" i="19"/>
  <c r="O85" i="19"/>
  <c r="AF29" i="19"/>
  <c r="Q85" i="19" s="1"/>
  <c r="AF51" i="19"/>
  <c r="AF54" i="19"/>
  <c r="AF55" i="19" s="1"/>
  <c r="Q88" i="19" s="1"/>
  <c r="AF17" i="19"/>
  <c r="N83" i="19"/>
  <c r="O88" i="19"/>
  <c r="AE54" i="19"/>
  <c r="AE55" i="19" s="1"/>
  <c r="P88" i="19" s="1"/>
  <c r="AE51" i="19"/>
  <c r="AE14" i="19"/>
  <c r="P81" i="19" s="1"/>
  <c r="AE6" i="19"/>
  <c r="AE25" i="19"/>
  <c r="P84" i="19" s="1"/>
  <c r="N88" i="19"/>
  <c r="N81" i="19"/>
  <c r="N84" i="19"/>
  <c r="J82" i="19"/>
  <c r="AA14" i="19"/>
  <c r="L81" i="19" s="1"/>
  <c r="K84" i="19"/>
  <c r="AA25" i="19"/>
  <c r="L84" i="19" s="1"/>
  <c r="AA17" i="19"/>
  <c r="L82" i="19" s="1"/>
  <c r="J87" i="19"/>
  <c r="AB14" i="19"/>
  <c r="M81" i="19" s="1"/>
  <c r="K87" i="19"/>
  <c r="K82" i="19"/>
  <c r="AB25" i="19"/>
  <c r="M84" i="19" s="1"/>
  <c r="AA29" i="19"/>
  <c r="L85" i="19" s="1"/>
  <c r="AB17" i="19"/>
  <c r="M82" i="19" s="1"/>
  <c r="AB29" i="19"/>
  <c r="M85" i="19" s="1"/>
  <c r="AA48" i="19"/>
  <c r="L87" i="19" s="1"/>
  <c r="AB48" i="19"/>
  <c r="M87" i="19" s="1"/>
  <c r="AB51" i="19"/>
  <c r="AB54" i="19"/>
  <c r="AB55" i="19" s="1"/>
  <c r="M88" i="19" s="1"/>
  <c r="AA51" i="19"/>
  <c r="AA54" i="19"/>
  <c r="AA55" i="19" s="1"/>
  <c r="L88" i="19" s="1"/>
  <c r="J83" i="19"/>
  <c r="K83" i="19"/>
  <c r="J88" i="19"/>
  <c r="K85" i="19"/>
  <c r="K88" i="19"/>
  <c r="J84" i="19"/>
  <c r="J81" i="19"/>
  <c r="E6" i="19"/>
  <c r="B85" i="19"/>
  <c r="L29" i="19"/>
  <c r="J75" i="19" s="1"/>
  <c r="O17" i="19"/>
  <c r="L72" i="19" s="1"/>
  <c r="L14" i="19"/>
  <c r="J71" i="19" s="1"/>
  <c r="O6" i="19"/>
  <c r="M14" i="19"/>
  <c r="B84" i="19"/>
  <c r="M29" i="19"/>
  <c r="L17" i="19"/>
  <c r="J72" i="19" s="1"/>
  <c r="AA23" i="20"/>
  <c r="Q86" i="20" s="1"/>
  <c r="S86" i="20"/>
  <c r="AA34" i="20"/>
  <c r="Q85" i="20"/>
  <c r="T86" i="20"/>
  <c r="R86" i="20"/>
  <c r="R85" i="20"/>
  <c r="T89" i="20"/>
  <c r="T91" i="20"/>
  <c r="T85" i="20"/>
  <c r="AA43" i="20"/>
  <c r="AA61" i="20"/>
  <c r="AA62" i="20" s="1"/>
  <c r="Q91" i="20" s="1"/>
  <c r="R91" i="20"/>
  <c r="S91" i="20"/>
  <c r="W34" i="20"/>
  <c r="Y34" i="20"/>
  <c r="H47" i="20"/>
  <c r="AH47" i="20" s="1"/>
  <c r="G47" i="20"/>
  <c r="C42" i="20"/>
  <c r="J84" i="20"/>
  <c r="P85" i="20" s="1"/>
  <c r="J87" i="20"/>
  <c r="P88" i="20" s="1"/>
  <c r="Z23" i="20"/>
  <c r="N85" i="20" s="1"/>
  <c r="K84" i="20"/>
  <c r="W23" i="20"/>
  <c r="K85" i="20" s="1"/>
  <c r="Z34" i="20"/>
  <c r="N84" i="20"/>
  <c r="M84" i="20"/>
  <c r="Y23" i="20"/>
  <c r="M85" i="20" s="1"/>
  <c r="L84" i="20"/>
  <c r="X23" i="20"/>
  <c r="X34" i="20"/>
  <c r="W43" i="20"/>
  <c r="K88" i="20" s="1"/>
  <c r="W61" i="20"/>
  <c r="W62" i="20" s="1"/>
  <c r="K90" i="20" s="1"/>
  <c r="X61" i="20"/>
  <c r="X62" i="20" s="1"/>
  <c r="L90" i="20" s="1"/>
  <c r="Y61" i="20"/>
  <c r="Y62" i="20" s="1"/>
  <c r="M90" i="20" s="1"/>
  <c r="Y43" i="20"/>
  <c r="M88" i="20" s="1"/>
  <c r="Z61" i="20"/>
  <c r="Z62" i="20" s="1"/>
  <c r="N90" i="20" s="1"/>
  <c r="N74" i="20"/>
  <c r="K23" i="20"/>
  <c r="K74" i="20" s="1"/>
  <c r="L74" i="20"/>
  <c r="K34" i="20"/>
  <c r="E42" i="20"/>
  <c r="F42" i="20"/>
  <c r="J94" i="20"/>
  <c r="K47" i="20"/>
  <c r="F46" i="20"/>
  <c r="J90" i="20"/>
  <c r="P91" i="20" s="1"/>
  <c r="D42" i="20"/>
  <c r="J100" i="20"/>
  <c r="N73" i="20"/>
  <c r="M74" i="20"/>
  <c r="M73" i="20"/>
  <c r="L73" i="20"/>
  <c r="K61" i="20"/>
  <c r="K62" i="20" s="1"/>
  <c r="K79" i="20" s="1"/>
  <c r="L79" i="20"/>
  <c r="M79" i="20"/>
  <c r="N79" i="20"/>
  <c r="T23" i="20"/>
  <c r="F85" i="20" s="1"/>
  <c r="AH23" i="20"/>
  <c r="H96" i="20" s="1"/>
  <c r="J23" i="20"/>
  <c r="H74" i="20" s="1"/>
  <c r="AE23" i="20"/>
  <c r="B96" i="20" s="1"/>
  <c r="B95" i="20"/>
  <c r="I23" i="20"/>
  <c r="G74" i="20" s="1"/>
  <c r="G73" i="20"/>
  <c r="S23" i="20"/>
  <c r="B85" i="20" s="1"/>
  <c r="F84" i="20"/>
  <c r="U23" i="20"/>
  <c r="G85" i="20" s="1"/>
  <c r="G84" i="20"/>
  <c r="U34" i="20"/>
  <c r="V23" i="20"/>
  <c r="H85" i="20" s="1"/>
  <c r="H84" i="20"/>
  <c r="V34" i="20"/>
  <c r="AF23" i="20"/>
  <c r="F96" i="20" s="1"/>
  <c r="F95" i="20"/>
  <c r="AF34" i="20"/>
  <c r="G95" i="20"/>
  <c r="H95" i="20"/>
  <c r="G23" i="20"/>
  <c r="B74" i="20" s="1"/>
  <c r="H23" i="20"/>
  <c r="F74" i="20" s="1"/>
  <c r="H34" i="20"/>
  <c r="H73" i="20"/>
  <c r="I61" i="20"/>
  <c r="I62" i="20" s="1"/>
  <c r="G79" i="20" s="1"/>
  <c r="I58" i="20"/>
  <c r="J34" i="20"/>
  <c r="J61" i="20"/>
  <c r="J62" i="20" s="1"/>
  <c r="H79" i="20" s="1"/>
  <c r="J58" i="20"/>
  <c r="C46" i="20"/>
  <c r="S61" i="20"/>
  <c r="S62" i="20" s="1"/>
  <c r="B90" i="20" s="1"/>
  <c r="S58" i="20"/>
  <c r="T34" i="20"/>
  <c r="T61" i="20"/>
  <c r="T62" i="20" s="1"/>
  <c r="F90" i="20" s="1"/>
  <c r="T58" i="20"/>
  <c r="U61" i="20"/>
  <c r="U62" i="20" s="1"/>
  <c r="G90" i="20" s="1"/>
  <c r="U58" i="20"/>
  <c r="AE61" i="20"/>
  <c r="AE62" i="20" s="1"/>
  <c r="B101" i="20" s="1"/>
  <c r="AE58" i="20"/>
  <c r="AG34" i="20"/>
  <c r="AG61" i="20"/>
  <c r="AG62" i="20" s="1"/>
  <c r="G101" i="20" s="1"/>
  <c r="AG58" i="20"/>
  <c r="S34" i="20"/>
  <c r="S43" i="20"/>
  <c r="B88" i="20" s="1"/>
  <c r="V61" i="20"/>
  <c r="V62" i="20" s="1"/>
  <c r="H90" i="20" s="1"/>
  <c r="V58" i="20"/>
  <c r="AE34" i="20"/>
  <c r="E36" i="20"/>
  <c r="E46" i="20"/>
  <c r="AF61" i="20"/>
  <c r="AF62" i="20" s="1"/>
  <c r="F101" i="20" s="1"/>
  <c r="AF58" i="20"/>
  <c r="AH34" i="20"/>
  <c r="AH61" i="20"/>
  <c r="AH62" i="20" s="1"/>
  <c r="H101" i="20" s="1"/>
  <c r="AH58" i="20"/>
  <c r="G61" i="20"/>
  <c r="G62" i="20" s="1"/>
  <c r="B79" i="20" s="1"/>
  <c r="G58" i="20"/>
  <c r="H61" i="20"/>
  <c r="H62" i="20" s="1"/>
  <c r="F79" i="20" s="1"/>
  <c r="H58" i="20"/>
  <c r="I34" i="20"/>
  <c r="B84" i="20"/>
  <c r="J85" i="20"/>
  <c r="P86" i="20" s="1"/>
  <c r="AG23" i="20"/>
  <c r="G96" i="20" s="1"/>
  <c r="J97" i="20"/>
  <c r="C5" i="20"/>
  <c r="G34" i="20"/>
  <c r="D35" i="20"/>
  <c r="D36" i="20" s="1"/>
  <c r="B94" i="20"/>
  <c r="E5" i="20"/>
  <c r="F5" i="20"/>
  <c r="J88" i="20"/>
  <c r="P89" i="20" s="1"/>
  <c r="I47" i="20"/>
  <c r="P6" i="19"/>
  <c r="L25" i="19"/>
  <c r="J74" i="19" s="1"/>
  <c r="B82" i="19"/>
  <c r="M25" i="19"/>
  <c r="M17" i="19"/>
  <c r="N21" i="19"/>
  <c r="K73" i="19" s="1"/>
  <c r="P25" i="19"/>
  <c r="M74" i="19" s="1"/>
  <c r="O21" i="19"/>
  <c r="L73" i="19" s="1"/>
  <c r="P17" i="19"/>
  <c r="M72" i="19" s="1"/>
  <c r="L21" i="19"/>
  <c r="B83" i="19"/>
  <c r="N17" i="19"/>
  <c r="K72" i="19" s="1"/>
  <c r="M21" i="19"/>
  <c r="L51" i="19"/>
  <c r="L54" i="19"/>
  <c r="L55" i="19" s="1"/>
  <c r="J78" i="19" s="1"/>
  <c r="M51" i="19"/>
  <c r="M54" i="19"/>
  <c r="M55" i="19" s="1"/>
  <c r="N14" i="19"/>
  <c r="K71" i="19" s="1"/>
  <c r="P21" i="19"/>
  <c r="M73" i="19" s="1"/>
  <c r="O14" i="19"/>
  <c r="L71" i="19" s="1"/>
  <c r="N29" i="19"/>
  <c r="K75" i="19" s="1"/>
  <c r="P14" i="19"/>
  <c r="M71" i="19" s="1"/>
  <c r="O29" i="19"/>
  <c r="L75" i="19" s="1"/>
  <c r="N54" i="19"/>
  <c r="N55" i="19" s="1"/>
  <c r="K78" i="19" s="1"/>
  <c r="O54" i="19"/>
  <c r="O55" i="19" s="1"/>
  <c r="L78" i="19" s="1"/>
  <c r="N25" i="19"/>
  <c r="K74" i="19" s="1"/>
  <c r="P54" i="19"/>
  <c r="P55" i="19" s="1"/>
  <c r="M78" i="19" s="1"/>
  <c r="B88" i="19"/>
  <c r="W25" i="19"/>
  <c r="H84" i="19" s="1"/>
  <c r="E20" i="19"/>
  <c r="B87" i="19"/>
  <c r="J21" i="19"/>
  <c r="H73" i="19" s="1"/>
  <c r="F20" i="19"/>
  <c r="H17" i="19"/>
  <c r="F72" i="19" s="1"/>
  <c r="I17" i="19"/>
  <c r="G72" i="19" s="1"/>
  <c r="F83" i="19"/>
  <c r="F87" i="19"/>
  <c r="G83" i="19"/>
  <c r="C6" i="19"/>
  <c r="D6" i="19"/>
  <c r="W29" i="19"/>
  <c r="H85" i="19" s="1"/>
  <c r="G87" i="19"/>
  <c r="W14" i="19"/>
  <c r="C30" i="19"/>
  <c r="W48" i="19"/>
  <c r="H87" i="19" s="1"/>
  <c r="X25" i="19"/>
  <c r="I84" i="19" s="1"/>
  <c r="X14" i="19"/>
  <c r="I81" i="19" s="1"/>
  <c r="E30" i="19"/>
  <c r="F30" i="19"/>
  <c r="W17" i="19"/>
  <c r="H82" i="19" s="1"/>
  <c r="G21" i="19"/>
  <c r="B73" i="19" s="1"/>
  <c r="H25" i="19"/>
  <c r="F74" i="19" s="1"/>
  <c r="C20" i="19"/>
  <c r="G88" i="19"/>
  <c r="G84" i="19"/>
  <c r="D30" i="19"/>
  <c r="K6" i="19"/>
  <c r="X48" i="19"/>
  <c r="I87" i="19" s="1"/>
  <c r="X17" i="19"/>
  <c r="I82" i="19" s="1"/>
  <c r="X6" i="19"/>
  <c r="J17" i="19"/>
  <c r="H72" i="19" s="1"/>
  <c r="K14" i="19"/>
  <c r="I71" i="19" s="1"/>
  <c r="J29" i="19"/>
  <c r="H75" i="19" s="1"/>
  <c r="K21" i="19"/>
  <c r="I73" i="19" s="1"/>
  <c r="J54" i="19"/>
  <c r="J55" i="19" s="1"/>
  <c r="H78" i="19" s="1"/>
  <c r="F81" i="19"/>
  <c r="F85" i="19"/>
  <c r="F82" i="19"/>
  <c r="G81" i="19"/>
  <c r="H71" i="19"/>
  <c r="I54" i="19"/>
  <c r="I55" i="19" s="1"/>
  <c r="G78" i="19" s="1"/>
  <c r="I51" i="19"/>
  <c r="X51" i="19"/>
  <c r="X54" i="19"/>
  <c r="X55" i="19" s="1"/>
  <c r="I88" i="19" s="1"/>
  <c r="G54" i="19"/>
  <c r="G55" i="19" s="1"/>
  <c r="B78" i="19" s="1"/>
  <c r="G51" i="19"/>
  <c r="H54" i="19"/>
  <c r="H55" i="19" s="1"/>
  <c r="F78" i="19" s="1"/>
  <c r="H51" i="19"/>
  <c r="G17" i="19"/>
  <c r="B72" i="19" s="1"/>
  <c r="I25" i="19"/>
  <c r="G74" i="19" s="1"/>
  <c r="F6" i="19"/>
  <c r="K25" i="19"/>
  <c r="I74" i="19" s="1"/>
  <c r="D26" i="19"/>
  <c r="J25" i="19"/>
  <c r="H74" i="19" s="1"/>
  <c r="F88" i="19"/>
  <c r="G6" i="19"/>
  <c r="K17" i="19"/>
  <c r="I72" i="19" s="1"/>
  <c r="H21" i="19"/>
  <c r="F73" i="19" s="1"/>
  <c r="W54" i="19"/>
  <c r="W55" i="19" s="1"/>
  <c r="H88" i="19" s="1"/>
  <c r="H6" i="19"/>
  <c r="G14" i="19"/>
  <c r="I21" i="19"/>
  <c r="G73" i="19" s="1"/>
  <c r="I6" i="19"/>
  <c r="H14" i="19"/>
  <c r="G29" i="19"/>
  <c r="B75" i="19" s="1"/>
  <c r="K51" i="19"/>
  <c r="J6" i="19"/>
  <c r="I14" i="19"/>
  <c r="AC14" i="18"/>
  <c r="N71" i="18" s="1"/>
  <c r="AB14" i="18"/>
  <c r="M71" i="18" s="1"/>
  <c r="AD6" i="18"/>
  <c r="AD14" i="18"/>
  <c r="P71" i="18" s="1"/>
  <c r="AB6" i="18"/>
  <c r="AE6" i="18"/>
  <c r="AC6" i="18"/>
  <c r="AE14" i="18"/>
  <c r="Q71" i="18" s="1"/>
  <c r="AE21" i="18"/>
  <c r="Q73" i="18" s="1"/>
  <c r="AB21" i="18"/>
  <c r="AD17" i="18"/>
  <c r="P72" i="18" s="1"/>
  <c r="AD21" i="18"/>
  <c r="AC17" i="18"/>
  <c r="N72" i="18" s="1"/>
  <c r="AB46" i="18"/>
  <c r="AB47" i="18" s="1"/>
  <c r="M78" i="18" s="1"/>
  <c r="AC46" i="18"/>
  <c r="AC47" i="18" s="1"/>
  <c r="N78" i="18" s="1"/>
  <c r="AD25" i="18"/>
  <c r="P74" i="18" s="1"/>
  <c r="AC4" i="18"/>
  <c r="AC21" i="18"/>
  <c r="AD43" i="18"/>
  <c r="AB25" i="18"/>
  <c r="M74" i="18" s="1"/>
  <c r="AE17" i="18"/>
  <c r="Q72" i="18" s="1"/>
  <c r="AE25" i="18"/>
  <c r="AE46" i="18"/>
  <c r="AE47" i="18" s="1"/>
  <c r="Q78" i="18" s="1"/>
  <c r="C66" i="20" l="1"/>
  <c r="D59" i="19"/>
  <c r="F59" i="19"/>
  <c r="E59" i="19"/>
  <c r="F66" i="20"/>
  <c r="E66" i="20"/>
  <c r="C59" i="19"/>
  <c r="AC47" i="20"/>
  <c r="AB47" i="20"/>
  <c r="AD47" i="20"/>
  <c r="T74" i="20"/>
  <c r="O63" i="20"/>
  <c r="O65" i="20" s="1"/>
  <c r="Q73" i="20"/>
  <c r="O83" i="19"/>
  <c r="AF56" i="19"/>
  <c r="AF57" i="19" s="1"/>
  <c r="Q82" i="19"/>
  <c r="AE56" i="19"/>
  <c r="AE58" i="19" s="1"/>
  <c r="AB56" i="19"/>
  <c r="AB57" i="19" s="1"/>
  <c r="M83" i="19"/>
  <c r="AA56" i="19"/>
  <c r="AA57" i="19" s="1"/>
  <c r="L83" i="19"/>
  <c r="L56" i="19"/>
  <c r="L57" i="19" s="1"/>
  <c r="J73" i="19"/>
  <c r="S85" i="20"/>
  <c r="AA63" i="20"/>
  <c r="AA65" i="20" s="1"/>
  <c r="Q89" i="20"/>
  <c r="V47" i="20"/>
  <c r="AA47" i="20"/>
  <c r="U47" i="20"/>
  <c r="Z47" i="20"/>
  <c r="AG47" i="20"/>
  <c r="T47" i="20"/>
  <c r="S47" i="20"/>
  <c r="Y47" i="20"/>
  <c r="AE47" i="20"/>
  <c r="X63" i="20"/>
  <c r="X65" i="20" s="1"/>
  <c r="L85" i="20"/>
  <c r="X47" i="20"/>
  <c r="W47" i="20"/>
  <c r="AF47" i="20"/>
  <c r="Z63" i="20"/>
  <c r="Z64" i="20" s="1"/>
  <c r="W63" i="20"/>
  <c r="W65" i="20" s="1"/>
  <c r="Y63" i="20"/>
  <c r="Y65" i="20" s="1"/>
  <c r="H63" i="20"/>
  <c r="H64" i="20" s="1"/>
  <c r="K63" i="20"/>
  <c r="K65" i="20" s="1"/>
  <c r="K73" i="20"/>
  <c r="G63" i="20"/>
  <c r="G64" i="20" s="1"/>
  <c r="AE63" i="20"/>
  <c r="AE64" i="20" s="1"/>
  <c r="F73" i="20"/>
  <c r="J63" i="20"/>
  <c r="J65" i="20" s="1"/>
  <c r="I63" i="20"/>
  <c r="I65" i="20" s="1"/>
  <c r="B73" i="20"/>
  <c r="AG63" i="20"/>
  <c r="AG65" i="20" s="1"/>
  <c r="U63" i="20"/>
  <c r="U65" i="20" s="1"/>
  <c r="T63" i="20"/>
  <c r="T64" i="20" s="1"/>
  <c r="V63" i="20"/>
  <c r="V65" i="20" s="1"/>
  <c r="AH63" i="20"/>
  <c r="AH65" i="20" s="1"/>
  <c r="AF63" i="20"/>
  <c r="AF65" i="20" s="1"/>
  <c r="D46" i="20"/>
  <c r="D66" i="20" s="1"/>
  <c r="S63" i="20"/>
  <c r="M56" i="19"/>
  <c r="M57" i="19" s="1"/>
  <c r="P56" i="19"/>
  <c r="P58" i="19" s="1"/>
  <c r="O56" i="19"/>
  <c r="N56" i="19"/>
  <c r="W56" i="19"/>
  <c r="W58" i="19" s="1"/>
  <c r="X56" i="19"/>
  <c r="X58" i="19" s="1"/>
  <c r="H81" i="19"/>
  <c r="J56" i="19"/>
  <c r="J58" i="19" s="1"/>
  <c r="B81" i="19"/>
  <c r="K56" i="19"/>
  <c r="B71" i="19"/>
  <c r="G56" i="19"/>
  <c r="G82" i="19"/>
  <c r="G71" i="19"/>
  <c r="I56" i="19"/>
  <c r="F71" i="19"/>
  <c r="H56" i="19"/>
  <c r="AD48" i="18"/>
  <c r="AD49" i="18" s="1"/>
  <c r="P73" i="18"/>
  <c r="AE48" i="18"/>
  <c r="AE49" i="18" s="1"/>
  <c r="Q74" i="18"/>
  <c r="AC48" i="18"/>
  <c r="AC49" i="18" s="1"/>
  <c r="N73" i="18"/>
  <c r="AB48" i="18"/>
  <c r="AB49" i="18" s="1"/>
  <c r="M73" i="18"/>
  <c r="AC50" i="18" l="1"/>
  <c r="AB50" i="18"/>
  <c r="O64" i="20"/>
  <c r="AE50" i="18"/>
  <c r="Z65" i="20"/>
  <c r="AE57" i="19"/>
  <c r="AF58" i="19"/>
  <c r="AA58" i="19"/>
  <c r="AB58" i="19"/>
  <c r="L58" i="19"/>
  <c r="P57" i="19"/>
  <c r="M58" i="19"/>
  <c r="AA64" i="20"/>
  <c r="W64" i="20"/>
  <c r="X64" i="20"/>
  <c r="Y64" i="20"/>
  <c r="H65" i="20"/>
  <c r="K64" i="20"/>
  <c r="G65" i="20"/>
  <c r="T65" i="20"/>
  <c r="AE65" i="20"/>
  <c r="V64" i="20"/>
  <c r="J64" i="20"/>
  <c r="U64" i="20"/>
  <c r="AG64" i="20"/>
  <c r="I64" i="20"/>
  <c r="AH64" i="20"/>
  <c r="AF64" i="20"/>
  <c r="S65" i="20"/>
  <c r="S64" i="20"/>
  <c r="N57" i="19"/>
  <c r="N58" i="19"/>
  <c r="O57" i="19"/>
  <c r="O58" i="19"/>
  <c r="X57" i="19"/>
  <c r="W57" i="19"/>
  <c r="J57" i="19"/>
  <c r="H57" i="19"/>
  <c r="H58" i="19"/>
  <c r="G58" i="19"/>
  <c r="G57" i="19"/>
  <c r="K57" i="19"/>
  <c r="K58" i="19"/>
  <c r="I58" i="19"/>
  <c r="I57" i="19"/>
  <c r="AD50" i="18"/>
  <c r="AA42" i="18" l="1"/>
  <c r="AA44" i="18" s="1"/>
  <c r="AA43" i="18" s="1"/>
  <c r="Z42" i="18"/>
  <c r="Z44" i="18" s="1"/>
  <c r="Z43" i="18" s="1"/>
  <c r="Y42" i="18"/>
  <c r="Y44" i="18" s="1"/>
  <c r="X42" i="18"/>
  <c r="X44" i="18" s="1"/>
  <c r="X43" i="18" s="1"/>
  <c r="AA39" i="18"/>
  <c r="L77" i="18" s="1"/>
  <c r="Z39" i="18"/>
  <c r="K77" i="18" s="1"/>
  <c r="Y39" i="18"/>
  <c r="I77" i="18" s="1"/>
  <c r="X39" i="18"/>
  <c r="H77" i="18" s="1"/>
  <c r="AA29" i="18"/>
  <c r="L75" i="18" s="1"/>
  <c r="Z29" i="18"/>
  <c r="K75" i="18" s="1"/>
  <c r="Y29" i="18"/>
  <c r="I75" i="18" s="1"/>
  <c r="X29" i="18"/>
  <c r="H75" i="18" s="1"/>
  <c r="AA7" i="18"/>
  <c r="AA19" i="18" s="1"/>
  <c r="Z7" i="18"/>
  <c r="Z19" i="18" s="1"/>
  <c r="Y7" i="18"/>
  <c r="Y19" i="18" s="1"/>
  <c r="X7" i="18"/>
  <c r="X19" i="18" s="1"/>
  <c r="AA3" i="18"/>
  <c r="AA4" i="18" s="1"/>
  <c r="Z3" i="18"/>
  <c r="Z25" i="18" s="1"/>
  <c r="K74" i="18" s="1"/>
  <c r="Y3" i="18"/>
  <c r="Y25" i="18" s="1"/>
  <c r="I74" i="18" s="1"/>
  <c r="X3" i="18"/>
  <c r="X4" i="18" s="1"/>
  <c r="N60" i="18"/>
  <c r="O60" i="18"/>
  <c r="P60" i="18"/>
  <c r="Q60" i="18"/>
  <c r="N66" i="18"/>
  <c r="O66" i="18"/>
  <c r="P66" i="18"/>
  <c r="Q66" i="18"/>
  <c r="S42" i="18"/>
  <c r="S44" i="18" s="1"/>
  <c r="R42" i="18"/>
  <c r="R44" i="18" s="1"/>
  <c r="Q42" i="18"/>
  <c r="Q44" i="18" s="1"/>
  <c r="P42" i="18"/>
  <c r="P44" i="18" s="1"/>
  <c r="S39" i="18"/>
  <c r="Q67" i="18" s="1"/>
  <c r="R39" i="18"/>
  <c r="P67" i="18" s="1"/>
  <c r="Q39" i="18"/>
  <c r="O67" i="18" s="1"/>
  <c r="P39" i="18"/>
  <c r="N67" i="18" s="1"/>
  <c r="S29" i="18"/>
  <c r="Q65" i="18" s="1"/>
  <c r="R29" i="18"/>
  <c r="P65" i="18" s="1"/>
  <c r="Q29" i="18"/>
  <c r="O65" i="18" s="1"/>
  <c r="P29" i="18"/>
  <c r="N65" i="18" s="1"/>
  <c r="S7" i="18"/>
  <c r="S19" i="18" s="1"/>
  <c r="R7" i="18"/>
  <c r="R19" i="18" s="1"/>
  <c r="Q7" i="18"/>
  <c r="Q19" i="18" s="1"/>
  <c r="P7" i="18"/>
  <c r="P19" i="18" s="1"/>
  <c r="S3" i="18"/>
  <c r="S25" i="18" s="1"/>
  <c r="Q64" i="18" s="1"/>
  <c r="R3" i="18"/>
  <c r="R25" i="18" s="1"/>
  <c r="P64" i="18" s="1"/>
  <c r="Q3" i="18"/>
  <c r="Q14" i="18" s="1"/>
  <c r="O61" i="18" s="1"/>
  <c r="P3" i="18"/>
  <c r="P14" i="18" s="1"/>
  <c r="N61" i="18" s="1"/>
  <c r="I60" i="18"/>
  <c r="J60" i="18"/>
  <c r="K60" i="18"/>
  <c r="L60" i="18"/>
  <c r="I66" i="18"/>
  <c r="J66" i="18"/>
  <c r="K66" i="18"/>
  <c r="L66" i="18"/>
  <c r="N42" i="18"/>
  <c r="N44" i="18" s="1"/>
  <c r="N46" i="18" s="1"/>
  <c r="N47" i="18" s="1"/>
  <c r="L68" i="18" s="1"/>
  <c r="M42" i="18"/>
  <c r="M44" i="18" s="1"/>
  <c r="M46" i="18" s="1"/>
  <c r="M47" i="18" s="1"/>
  <c r="K68" i="18" s="1"/>
  <c r="L42" i="18"/>
  <c r="L44" i="18" s="1"/>
  <c r="L46" i="18" s="1"/>
  <c r="L47" i="18" s="1"/>
  <c r="J68" i="18" s="1"/>
  <c r="K42" i="18"/>
  <c r="K44" i="18" s="1"/>
  <c r="K46" i="18" s="1"/>
  <c r="K47" i="18" s="1"/>
  <c r="I68" i="18" s="1"/>
  <c r="N39" i="18"/>
  <c r="L67" i="18" s="1"/>
  <c r="M39" i="18"/>
  <c r="K67" i="18" s="1"/>
  <c r="L39" i="18"/>
  <c r="J67" i="18" s="1"/>
  <c r="K39" i="18"/>
  <c r="I67" i="18" s="1"/>
  <c r="N29" i="18"/>
  <c r="L65" i="18" s="1"/>
  <c r="M29" i="18"/>
  <c r="K65" i="18" s="1"/>
  <c r="L29" i="18"/>
  <c r="J65" i="18" s="1"/>
  <c r="K29" i="18"/>
  <c r="I65" i="18" s="1"/>
  <c r="N7" i="18"/>
  <c r="N19" i="18" s="1"/>
  <c r="M7" i="18"/>
  <c r="M19" i="18" s="1"/>
  <c r="L7" i="18"/>
  <c r="L19" i="18" s="1"/>
  <c r="K7" i="18"/>
  <c r="K19" i="18" s="1"/>
  <c r="N3" i="18"/>
  <c r="N25" i="18" s="1"/>
  <c r="L64" i="18" s="1"/>
  <c r="M3" i="18"/>
  <c r="M25" i="18" s="1"/>
  <c r="K64" i="18" s="1"/>
  <c r="L3" i="18"/>
  <c r="L25" i="18" s="1"/>
  <c r="J64" i="18" s="1"/>
  <c r="K3" i="18"/>
  <c r="K4" i="18" s="1"/>
  <c r="B74" i="18"/>
  <c r="W3" i="18"/>
  <c r="W4" i="18" s="1"/>
  <c r="AF3" i="18"/>
  <c r="AF4" i="18" s="1"/>
  <c r="AG3" i="18"/>
  <c r="AG4" i="18" s="1"/>
  <c r="AH3" i="18"/>
  <c r="AH4" i="18" s="1"/>
  <c r="AI3" i="18"/>
  <c r="AI4" i="18" s="1"/>
  <c r="A88" i="18"/>
  <c r="A87" i="18"/>
  <c r="G86" i="18"/>
  <c r="F86" i="18"/>
  <c r="E86" i="18"/>
  <c r="B86" i="18"/>
  <c r="A86" i="18"/>
  <c r="A85" i="18"/>
  <c r="A84" i="18"/>
  <c r="A83" i="18"/>
  <c r="A82" i="18"/>
  <c r="A81" i="18"/>
  <c r="G80" i="18"/>
  <c r="F80" i="18"/>
  <c r="E80" i="18"/>
  <c r="B80" i="18"/>
  <c r="A78" i="18"/>
  <c r="A77" i="18"/>
  <c r="G76" i="18"/>
  <c r="F76" i="18"/>
  <c r="E76" i="18"/>
  <c r="B76" i="18"/>
  <c r="A76" i="18"/>
  <c r="A75" i="18"/>
  <c r="A74" i="18"/>
  <c r="A73" i="18"/>
  <c r="A72" i="18"/>
  <c r="A71" i="18"/>
  <c r="G70" i="18"/>
  <c r="F70" i="18"/>
  <c r="E70" i="18"/>
  <c r="B70" i="18"/>
  <c r="A68" i="18"/>
  <c r="A67" i="18"/>
  <c r="G66" i="18"/>
  <c r="F66" i="18"/>
  <c r="E66" i="18"/>
  <c r="B66" i="18"/>
  <c r="A66" i="18"/>
  <c r="A65" i="18"/>
  <c r="A64" i="18"/>
  <c r="A63" i="18"/>
  <c r="A62" i="18"/>
  <c r="A61" i="18"/>
  <c r="G60" i="18"/>
  <c r="F60" i="18"/>
  <c r="E60" i="18"/>
  <c r="B60" i="18"/>
  <c r="AI42" i="18"/>
  <c r="AI44" i="18" s="1"/>
  <c r="AH42" i="18"/>
  <c r="AH44" i="18" s="1"/>
  <c r="AG42" i="18"/>
  <c r="AG44" i="18" s="1"/>
  <c r="AF42" i="18"/>
  <c r="AF44" i="18" s="1"/>
  <c r="W42" i="18"/>
  <c r="W44" i="18" s="1"/>
  <c r="E40" i="18"/>
  <c r="D40" i="18"/>
  <c r="C40" i="18"/>
  <c r="AI39" i="18"/>
  <c r="G87" i="18" s="1"/>
  <c r="AH39" i="18"/>
  <c r="F87" i="18" s="1"/>
  <c r="AG39" i="18"/>
  <c r="E87" i="18" s="1"/>
  <c r="AF39" i="18"/>
  <c r="B87" i="18" s="1"/>
  <c r="W39" i="18"/>
  <c r="G77" i="18" s="1"/>
  <c r="F77" i="18"/>
  <c r="E77" i="18"/>
  <c r="B77" i="18"/>
  <c r="G67" i="18"/>
  <c r="F67" i="18"/>
  <c r="E67" i="18"/>
  <c r="B67" i="18"/>
  <c r="E32" i="18"/>
  <c r="E33" i="18" s="1"/>
  <c r="E36" i="18" s="1"/>
  <c r="D32" i="18"/>
  <c r="D33" i="18" s="1"/>
  <c r="D36" i="18" s="1"/>
  <c r="C32" i="18"/>
  <c r="C33" i="18" s="1"/>
  <c r="C36" i="18" s="1"/>
  <c r="E30" i="18"/>
  <c r="D30" i="18"/>
  <c r="C30" i="18"/>
  <c r="AI29" i="18"/>
  <c r="G85" i="18" s="1"/>
  <c r="AH29" i="18"/>
  <c r="F85" i="18" s="1"/>
  <c r="AG29" i="18"/>
  <c r="E85" i="18" s="1"/>
  <c r="AF29" i="18"/>
  <c r="B85" i="18" s="1"/>
  <c r="W29" i="18"/>
  <c r="G75" i="18" s="1"/>
  <c r="F75" i="18"/>
  <c r="E75" i="18"/>
  <c r="B75" i="18"/>
  <c r="G65" i="18"/>
  <c r="F65" i="18"/>
  <c r="E65" i="18"/>
  <c r="B65" i="18"/>
  <c r="E26" i="18"/>
  <c r="D26" i="18"/>
  <c r="C26" i="18"/>
  <c r="E22" i="18"/>
  <c r="D22" i="18"/>
  <c r="C22" i="18"/>
  <c r="AI7" i="18"/>
  <c r="AI19" i="18" s="1"/>
  <c r="AH7" i="18"/>
  <c r="AH19" i="18" s="1"/>
  <c r="AG7" i="18"/>
  <c r="AG19" i="18" s="1"/>
  <c r="AF7" i="18"/>
  <c r="AF19" i="18" s="1"/>
  <c r="W7" i="18"/>
  <c r="W19" i="18" s="1"/>
  <c r="I7" i="18"/>
  <c r="H7" i="18"/>
  <c r="G7" i="18"/>
  <c r="F7" i="18"/>
  <c r="E7" i="18"/>
  <c r="D7" i="18"/>
  <c r="C7" i="18"/>
  <c r="D6" i="18"/>
  <c r="D4" i="18"/>
  <c r="I3" i="18"/>
  <c r="H3" i="18"/>
  <c r="G3" i="18"/>
  <c r="F3" i="18"/>
  <c r="E3" i="18"/>
  <c r="C3" i="18"/>
  <c r="B23" i="11"/>
  <c r="D51" i="18" l="1"/>
  <c r="I14" i="18"/>
  <c r="G61" i="18" s="1"/>
  <c r="I25" i="18"/>
  <c r="G14" i="18"/>
  <c r="E61" i="18" s="1"/>
  <c r="G25" i="18"/>
  <c r="H14" i="18"/>
  <c r="F61" i="18" s="1"/>
  <c r="H25" i="18"/>
  <c r="F4" i="18"/>
  <c r="F25" i="18"/>
  <c r="B64" i="18" s="1"/>
  <c r="F14" i="18"/>
  <c r="B61" i="18" s="1"/>
  <c r="C51" i="18"/>
  <c r="I17" i="18"/>
  <c r="G62" i="18" s="1"/>
  <c r="I19" i="18"/>
  <c r="I21" i="18" s="1"/>
  <c r="F17" i="18"/>
  <c r="B62" i="18" s="1"/>
  <c r="F19" i="18"/>
  <c r="F21" i="18" s="1"/>
  <c r="C4" i="18"/>
  <c r="C13" i="18"/>
  <c r="G17" i="18"/>
  <c r="E62" i="18" s="1"/>
  <c r="G19" i="18"/>
  <c r="G21" i="18" s="1"/>
  <c r="E6" i="18"/>
  <c r="E13" i="18"/>
  <c r="E51" i="18" s="1"/>
  <c r="H19" i="18"/>
  <c r="H21" i="18" s="1"/>
  <c r="H17" i="18"/>
  <c r="F62" i="18" s="1"/>
  <c r="E64" i="18"/>
  <c r="Z21" i="18"/>
  <c r="K73" i="18" s="1"/>
  <c r="Z6" i="18"/>
  <c r="AA21" i="18"/>
  <c r="L73" i="18" s="1"/>
  <c r="Y21" i="18"/>
  <c r="I73" i="18" s="1"/>
  <c r="B73" i="18"/>
  <c r="Y4" i="18"/>
  <c r="Z4" i="18"/>
  <c r="X6" i="18"/>
  <c r="X14" i="18"/>
  <c r="H71" i="18" s="1"/>
  <c r="Y6" i="18"/>
  <c r="Y14" i="18"/>
  <c r="I71" i="18" s="1"/>
  <c r="Z14" i="18"/>
  <c r="K71" i="18" s="1"/>
  <c r="AA6" i="18"/>
  <c r="AA14" i="18"/>
  <c r="L71" i="18" s="1"/>
  <c r="X21" i="18"/>
  <c r="H73" i="18" s="1"/>
  <c r="Y46" i="18"/>
  <c r="Y47" i="18" s="1"/>
  <c r="I78" i="18" s="1"/>
  <c r="Y43" i="18"/>
  <c r="Y17" i="18"/>
  <c r="I72" i="18" s="1"/>
  <c r="X17" i="18"/>
  <c r="H72" i="18" s="1"/>
  <c r="X25" i="18"/>
  <c r="H74" i="18" s="1"/>
  <c r="X46" i="18"/>
  <c r="X47" i="18" s="1"/>
  <c r="H78" i="18" s="1"/>
  <c r="AA17" i="18"/>
  <c r="L72" i="18" s="1"/>
  <c r="AA25" i="18"/>
  <c r="L74" i="18" s="1"/>
  <c r="AA46" i="18"/>
  <c r="AA47" i="18" s="1"/>
  <c r="L78" i="18" s="1"/>
  <c r="Z17" i="18"/>
  <c r="K72" i="18" s="1"/>
  <c r="Z46" i="18"/>
  <c r="Z47" i="18" s="1"/>
  <c r="K78" i="18" s="1"/>
  <c r="AF21" i="18"/>
  <c r="B83" i="18" s="1"/>
  <c r="R6" i="18"/>
  <c r="W25" i="18"/>
  <c r="G74" i="18" s="1"/>
  <c r="AG17" i="18"/>
  <c r="E82" i="18" s="1"/>
  <c r="Q17" i="18"/>
  <c r="O62" i="18" s="1"/>
  <c r="P21" i="18"/>
  <c r="N63" i="18" s="1"/>
  <c r="Q21" i="18"/>
  <c r="O63" i="18" s="1"/>
  <c r="R17" i="18"/>
  <c r="P62" i="18" s="1"/>
  <c r="R21" i="18"/>
  <c r="P63" i="18" s="1"/>
  <c r="P4" i="18"/>
  <c r="Q4" i="18"/>
  <c r="S21" i="18"/>
  <c r="Q63" i="18" s="1"/>
  <c r="P6" i="18"/>
  <c r="Q6" i="18"/>
  <c r="S6" i="18"/>
  <c r="P25" i="18"/>
  <c r="N64" i="18" s="1"/>
  <c r="P17" i="18"/>
  <c r="N62" i="18" s="1"/>
  <c r="Q25" i="18"/>
  <c r="S46" i="18"/>
  <c r="S47" i="18" s="1"/>
  <c r="Q68" i="18" s="1"/>
  <c r="S43" i="18"/>
  <c r="S17" i="18"/>
  <c r="Q62" i="18" s="1"/>
  <c r="R46" i="18"/>
  <c r="R47" i="18" s="1"/>
  <c r="P68" i="18" s="1"/>
  <c r="R43" i="18"/>
  <c r="Q46" i="18"/>
  <c r="Q47" i="18" s="1"/>
  <c r="O68" i="18" s="1"/>
  <c r="Q43" i="18"/>
  <c r="P46" i="18"/>
  <c r="P47" i="18" s="1"/>
  <c r="N68" i="18" s="1"/>
  <c r="P43" i="18"/>
  <c r="R14" i="18"/>
  <c r="S14" i="18"/>
  <c r="Q61" i="18" s="1"/>
  <c r="R4" i="18"/>
  <c r="S4" i="18"/>
  <c r="N6" i="18"/>
  <c r="AH14" i="18"/>
  <c r="F81" i="18" s="1"/>
  <c r="W21" i="18"/>
  <c r="G73" i="18" s="1"/>
  <c r="F74" i="18"/>
  <c r="L6" i="18"/>
  <c r="M6" i="18"/>
  <c r="C6" i="18"/>
  <c r="M21" i="18"/>
  <c r="K63" i="18" s="1"/>
  <c r="N21" i="18"/>
  <c r="L63" i="18" s="1"/>
  <c r="AH21" i="18"/>
  <c r="F83" i="18" s="1"/>
  <c r="K6" i="18"/>
  <c r="AF25" i="18"/>
  <c r="B84" i="18" s="1"/>
  <c r="K17" i="18"/>
  <c r="I62" i="18" s="1"/>
  <c r="K21" i="18"/>
  <c r="I63" i="18" s="1"/>
  <c r="E73" i="18"/>
  <c r="AI21" i="18"/>
  <c r="G83" i="18" s="1"/>
  <c r="AG14" i="18"/>
  <c r="E81" i="18" s="1"/>
  <c r="L17" i="18"/>
  <c r="J62" i="18" s="1"/>
  <c r="L21" i="18"/>
  <c r="J63" i="18" s="1"/>
  <c r="N43" i="18"/>
  <c r="N17" i="18"/>
  <c r="L62" i="18" s="1"/>
  <c r="M17" i="18"/>
  <c r="K62" i="18" s="1"/>
  <c r="M43" i="18"/>
  <c r="L43" i="18"/>
  <c r="K43" i="18"/>
  <c r="K14" i="18"/>
  <c r="I61" i="18" s="1"/>
  <c r="L14" i="18"/>
  <c r="J61" i="18" s="1"/>
  <c r="M14" i="18"/>
  <c r="K61" i="18" s="1"/>
  <c r="K25" i="18"/>
  <c r="L4" i="18"/>
  <c r="N14" i="18"/>
  <c r="L61" i="18" s="1"/>
  <c r="M4" i="18"/>
  <c r="N4" i="18"/>
  <c r="E74" i="18"/>
  <c r="F73" i="18"/>
  <c r="G64" i="18"/>
  <c r="E4" i="18"/>
  <c r="E71" i="18"/>
  <c r="G4" i="18"/>
  <c r="I6" i="18"/>
  <c r="F6" i="18"/>
  <c r="I4" i="18"/>
  <c r="AF17" i="18"/>
  <c r="B82" i="18" s="1"/>
  <c r="H6" i="18"/>
  <c r="AI6" i="18"/>
  <c r="AH17" i="18"/>
  <c r="F82" i="18" s="1"/>
  <c r="G6" i="18"/>
  <c r="AI25" i="18"/>
  <c r="G84" i="18" s="1"/>
  <c r="B63" i="18"/>
  <c r="AI14" i="18"/>
  <c r="G81" i="18" s="1"/>
  <c r="AH46" i="18"/>
  <c r="AH47" i="18" s="1"/>
  <c r="AH43" i="18"/>
  <c r="AI46" i="18"/>
  <c r="AI47" i="18" s="1"/>
  <c r="AI43" i="18"/>
  <c r="AG46" i="18"/>
  <c r="AG47" i="18" s="1"/>
  <c r="AG43" i="18"/>
  <c r="W46" i="18"/>
  <c r="W47" i="18" s="1"/>
  <c r="W43" i="18"/>
  <c r="AF46" i="18"/>
  <c r="AF47" i="18" s="1"/>
  <c r="AF43" i="18"/>
  <c r="AG21" i="18"/>
  <c r="AG25" i="18"/>
  <c r="E84" i="18" s="1"/>
  <c r="W6" i="18"/>
  <c r="B71" i="18"/>
  <c r="AH25" i="18"/>
  <c r="F84" i="18" s="1"/>
  <c r="F71" i="18"/>
  <c r="AH6" i="18"/>
  <c r="W14" i="18"/>
  <c r="G71" i="18" s="1"/>
  <c r="B72" i="18"/>
  <c r="AG6" i="18"/>
  <c r="H4" i="18"/>
  <c r="AF14" i="18"/>
  <c r="B81" i="18" s="1"/>
  <c r="E72" i="18"/>
  <c r="F64" i="18"/>
  <c r="AF6" i="18"/>
  <c r="F72" i="18"/>
  <c r="W17" i="18"/>
  <c r="G72" i="18" s="1"/>
  <c r="AI17" i="18"/>
  <c r="G82" i="18" s="1"/>
  <c r="F11" i="4"/>
  <c r="G11" i="4"/>
  <c r="H11" i="4"/>
  <c r="I11" i="4"/>
  <c r="J11" i="4"/>
  <c r="K11" i="4"/>
  <c r="L11" i="4"/>
  <c r="M11" i="4"/>
  <c r="N11" i="4"/>
  <c r="O11" i="4"/>
  <c r="P11" i="4"/>
  <c r="Q11" i="4"/>
  <c r="H48" i="18" l="1"/>
  <c r="I48" i="18"/>
  <c r="G48" i="18"/>
  <c r="G49" i="18" s="1"/>
  <c r="H49" i="18"/>
  <c r="H50" i="18"/>
  <c r="F48" i="18"/>
  <c r="E63" i="18"/>
  <c r="F63" i="18"/>
  <c r="I49" i="18"/>
  <c r="I50" i="18"/>
  <c r="Y48" i="18"/>
  <c r="Y49" i="18" s="1"/>
  <c r="AA48" i="18"/>
  <c r="AA49" i="18" s="1"/>
  <c r="Z48" i="18"/>
  <c r="Z49" i="18" s="1"/>
  <c r="X48" i="18"/>
  <c r="X49" i="18" s="1"/>
  <c r="R48" i="18"/>
  <c r="R49" i="18" s="1"/>
  <c r="P61" i="18"/>
  <c r="Q48" i="18"/>
  <c r="Q49" i="18" s="1"/>
  <c r="O64" i="18"/>
  <c r="P48" i="18"/>
  <c r="P49" i="18" s="1"/>
  <c r="S48" i="18"/>
  <c r="S49" i="18" s="1"/>
  <c r="K48" i="18"/>
  <c r="K50" i="18" s="1"/>
  <c r="I64" i="18"/>
  <c r="L48" i="18"/>
  <c r="L49" i="18" s="1"/>
  <c r="N48" i="18"/>
  <c r="N49" i="18" s="1"/>
  <c r="M48" i="18"/>
  <c r="M49" i="18" s="1"/>
  <c r="W48" i="18"/>
  <c r="W49" i="18" s="1"/>
  <c r="AH48" i="18"/>
  <c r="AH49" i="18" s="1"/>
  <c r="F78" i="18"/>
  <c r="E88" i="18"/>
  <c r="F68" i="18"/>
  <c r="B78" i="18"/>
  <c r="G63" i="18"/>
  <c r="AG48" i="18"/>
  <c r="AG49" i="18" s="1"/>
  <c r="E83" i="18"/>
  <c r="E78" i="18"/>
  <c r="G68" i="18"/>
  <c r="B68" i="18"/>
  <c r="E68" i="18"/>
  <c r="F88" i="18"/>
  <c r="B88" i="18"/>
  <c r="AI48" i="18"/>
  <c r="AI49" i="18" s="1"/>
  <c r="G88" i="18"/>
  <c r="G78" i="18"/>
  <c r="AF48" i="18"/>
  <c r="AF49" i="18" s="1"/>
  <c r="E21" i="14"/>
  <c r="G50" i="18" l="1"/>
  <c r="F49" i="18"/>
  <c r="F50" i="18"/>
  <c r="Z50" i="18"/>
  <c r="X50" i="18"/>
  <c r="AA50" i="18"/>
  <c r="Y50" i="18"/>
  <c r="P50" i="18"/>
  <c r="S50" i="18"/>
  <c r="Q50" i="18"/>
  <c r="R50" i="18"/>
  <c r="K49" i="18"/>
  <c r="L50" i="18"/>
  <c r="N50" i="18"/>
  <c r="AF50" i="18"/>
  <c r="M50" i="18"/>
  <c r="AH50" i="18"/>
  <c r="W50" i="18"/>
  <c r="AI50" i="18"/>
  <c r="AG50" i="18"/>
  <c r="D14" i="3"/>
  <c r="E14" i="3"/>
  <c r="F14" i="3"/>
  <c r="C14" i="3"/>
  <c r="D14" i="4"/>
  <c r="E14" i="4"/>
  <c r="C14" i="4"/>
  <c r="B2" i="14" s="1"/>
  <c r="H13" i="10" l="1"/>
  <c r="I13" i="10"/>
  <c r="J13" i="10"/>
  <c r="K13" i="10"/>
  <c r="L13" i="10"/>
  <c r="M13" i="10"/>
  <c r="N13" i="10"/>
  <c r="O13" i="10"/>
  <c r="P13" i="10"/>
  <c r="Q13" i="10"/>
  <c r="R13" i="10"/>
  <c r="G13" i="10"/>
  <c r="D7" i="17" l="1"/>
  <c r="E7" i="17"/>
  <c r="F7" i="17"/>
  <c r="G7" i="17"/>
  <c r="H7" i="17"/>
  <c r="I7" i="17"/>
  <c r="J7" i="17"/>
  <c r="K7" i="17"/>
  <c r="L7" i="17"/>
  <c r="M7" i="17"/>
  <c r="N7" i="17"/>
  <c r="O7" i="17"/>
  <c r="P7" i="17"/>
  <c r="C7" i="17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C7" i="16"/>
  <c r="G8" i="10"/>
  <c r="H8" i="10"/>
  <c r="I8" i="10"/>
  <c r="J8" i="10"/>
  <c r="K8" i="10"/>
  <c r="L8" i="10"/>
  <c r="M8" i="10"/>
  <c r="N8" i="10"/>
  <c r="O8" i="10"/>
  <c r="P8" i="10"/>
  <c r="Q8" i="10"/>
  <c r="R8" i="10"/>
  <c r="F8" i="10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F7" i="3"/>
  <c r="F7" i="4"/>
  <c r="G7" i="4"/>
  <c r="H7" i="4"/>
  <c r="I7" i="4"/>
  <c r="J7" i="4"/>
  <c r="K7" i="4"/>
  <c r="L7" i="4"/>
  <c r="M7" i="4"/>
  <c r="N7" i="4"/>
  <c r="O7" i="4"/>
  <c r="P7" i="4"/>
  <c r="Q7" i="4"/>
  <c r="E7" i="4"/>
  <c r="H96" i="17" l="1"/>
  <c r="A96" i="17"/>
  <c r="A108" i="17" s="1"/>
  <c r="H95" i="17"/>
  <c r="A95" i="17"/>
  <c r="A107" i="17" s="1"/>
  <c r="H94" i="17"/>
  <c r="A94" i="17"/>
  <c r="A106" i="17" s="1"/>
  <c r="H93" i="17"/>
  <c r="A93" i="17"/>
  <c r="A105" i="17" s="1"/>
  <c r="H92" i="17"/>
  <c r="A92" i="17"/>
  <c r="A104" i="17" s="1"/>
  <c r="H91" i="17"/>
  <c r="A91" i="17"/>
  <c r="A103" i="17" s="1"/>
  <c r="H90" i="17"/>
  <c r="A90" i="17"/>
  <c r="A102" i="17" s="1"/>
  <c r="H89" i="17"/>
  <c r="A89" i="17"/>
  <c r="A101" i="17" s="1"/>
  <c r="L88" i="17"/>
  <c r="K88" i="17"/>
  <c r="J88" i="17"/>
  <c r="I88" i="17"/>
  <c r="E88" i="17"/>
  <c r="D88" i="17"/>
  <c r="C88" i="17"/>
  <c r="B88" i="17"/>
  <c r="H86" i="17"/>
  <c r="A86" i="17"/>
  <c r="H85" i="17"/>
  <c r="A85" i="17"/>
  <c r="H84" i="17"/>
  <c r="A84" i="17"/>
  <c r="H83" i="17"/>
  <c r="A83" i="17"/>
  <c r="H82" i="17"/>
  <c r="A82" i="17"/>
  <c r="H81" i="17"/>
  <c r="A81" i="17"/>
  <c r="H80" i="17"/>
  <c r="A80" i="17"/>
  <c r="H79" i="17"/>
  <c r="A79" i="17"/>
  <c r="L78" i="17"/>
  <c r="K78" i="17"/>
  <c r="J78" i="17"/>
  <c r="I78" i="17"/>
  <c r="E78" i="17"/>
  <c r="D78" i="17"/>
  <c r="C78" i="17"/>
  <c r="B78" i="17"/>
  <c r="A76" i="17"/>
  <c r="H76" i="17" s="1"/>
  <c r="A75" i="17"/>
  <c r="H75" i="17" s="1"/>
  <c r="A74" i="17"/>
  <c r="H74" i="17" s="1"/>
  <c r="A73" i="17"/>
  <c r="H73" i="17" s="1"/>
  <c r="A72" i="17"/>
  <c r="H72" i="17" s="1"/>
  <c r="A71" i="17"/>
  <c r="H71" i="17" s="1"/>
  <c r="A70" i="17"/>
  <c r="H70" i="17" s="1"/>
  <c r="A69" i="17"/>
  <c r="H69" i="17" s="1"/>
  <c r="P48" i="17"/>
  <c r="P50" i="17" s="1"/>
  <c r="P52" i="17" s="1"/>
  <c r="P53" i="17" s="1"/>
  <c r="E96" i="17" s="1"/>
  <c r="O48" i="17"/>
  <c r="O50" i="17" s="1"/>
  <c r="O49" i="17" s="1"/>
  <c r="N48" i="17"/>
  <c r="N50" i="17" s="1"/>
  <c r="N49" i="17" s="1"/>
  <c r="M48" i="17"/>
  <c r="M50" i="17" s="1"/>
  <c r="L48" i="17"/>
  <c r="L50" i="17" s="1"/>
  <c r="K48" i="17"/>
  <c r="K50" i="17" s="1"/>
  <c r="J48" i="17"/>
  <c r="J50" i="17" s="1"/>
  <c r="I48" i="17"/>
  <c r="I50" i="17" s="1"/>
  <c r="H48" i="17"/>
  <c r="H50" i="17" s="1"/>
  <c r="H52" i="17" s="1"/>
  <c r="H53" i="17" s="1"/>
  <c r="F76" i="17" s="1"/>
  <c r="M76" i="17" s="1"/>
  <c r="G48" i="17"/>
  <c r="G50" i="17" s="1"/>
  <c r="G49" i="17" s="1"/>
  <c r="F48" i="17"/>
  <c r="F50" i="17" s="1"/>
  <c r="F49" i="17" s="1"/>
  <c r="E48" i="17"/>
  <c r="E50" i="17" s="1"/>
  <c r="D48" i="17"/>
  <c r="D50" i="17" s="1"/>
  <c r="P44" i="17"/>
  <c r="O44" i="17"/>
  <c r="N44" i="17"/>
  <c r="M44" i="17"/>
  <c r="L44" i="17"/>
  <c r="K44" i="17"/>
  <c r="J44" i="17"/>
  <c r="I44" i="17"/>
  <c r="H44" i="17"/>
  <c r="H46" i="17" s="1"/>
  <c r="F75" i="17" s="1"/>
  <c r="M75" i="17" s="1"/>
  <c r="G44" i="17"/>
  <c r="G46" i="17" s="1"/>
  <c r="E75" i="17" s="1"/>
  <c r="L75" i="17" s="1"/>
  <c r="F44" i="17"/>
  <c r="F46" i="17" s="1"/>
  <c r="D75" i="17" s="1"/>
  <c r="K75" i="17" s="1"/>
  <c r="E44" i="17"/>
  <c r="E46" i="17" s="1"/>
  <c r="C75" i="17" s="1"/>
  <c r="J75" i="17" s="1"/>
  <c r="D44" i="17"/>
  <c r="D46" i="17" s="1"/>
  <c r="B75" i="17" s="1"/>
  <c r="I75" i="17" s="1"/>
  <c r="C44" i="17"/>
  <c r="C45" i="17" s="1"/>
  <c r="P42" i="17"/>
  <c r="O42" i="17"/>
  <c r="N42" i="17"/>
  <c r="M42" i="17"/>
  <c r="L42" i="17"/>
  <c r="K42" i="17"/>
  <c r="J42" i="17"/>
  <c r="I42" i="17"/>
  <c r="P41" i="17"/>
  <c r="E94" i="17" s="1"/>
  <c r="O41" i="17"/>
  <c r="D94" i="17" s="1"/>
  <c r="K94" i="17" s="1"/>
  <c r="N41" i="17"/>
  <c r="C94" i="17" s="1"/>
  <c r="J94" i="17" s="1"/>
  <c r="M41" i="17"/>
  <c r="B94" i="17" s="1"/>
  <c r="I94" i="17" s="1"/>
  <c r="L41" i="17"/>
  <c r="E84" i="17" s="1"/>
  <c r="L84" i="17" s="1"/>
  <c r="K41" i="17"/>
  <c r="D84" i="17" s="1"/>
  <c r="J41" i="17"/>
  <c r="C84" i="17" s="1"/>
  <c r="J84" i="17" s="1"/>
  <c r="I41" i="17"/>
  <c r="B84" i="17" s="1"/>
  <c r="I84" i="17" s="1"/>
  <c r="H41" i="17"/>
  <c r="F74" i="17" s="1"/>
  <c r="M74" i="17" s="1"/>
  <c r="G41" i="17"/>
  <c r="E74" i="17" s="1"/>
  <c r="L74" i="17" s="1"/>
  <c r="F41" i="17"/>
  <c r="D74" i="17" s="1"/>
  <c r="K74" i="17" s="1"/>
  <c r="E41" i="17"/>
  <c r="C74" i="17" s="1"/>
  <c r="J74" i="17" s="1"/>
  <c r="D41" i="17"/>
  <c r="B74" i="17" s="1"/>
  <c r="I74" i="17" s="1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C40" i="17" s="1"/>
  <c r="C38" i="17"/>
  <c r="F37" i="17"/>
  <c r="M36" i="17"/>
  <c r="M37" i="17" s="1"/>
  <c r="L36" i="17"/>
  <c r="L37" i="17" s="1"/>
  <c r="K36" i="17"/>
  <c r="K37" i="17" s="1"/>
  <c r="J36" i="17"/>
  <c r="J37" i="17" s="1"/>
  <c r="I36" i="17"/>
  <c r="I37" i="17" s="1"/>
  <c r="H36" i="17"/>
  <c r="H37" i="17" s="1"/>
  <c r="G36" i="17"/>
  <c r="G37" i="17" s="1"/>
  <c r="F36" i="17"/>
  <c r="E36" i="17"/>
  <c r="E37" i="17" s="1"/>
  <c r="D36" i="17"/>
  <c r="D37" i="17" s="1"/>
  <c r="P31" i="17"/>
  <c r="O31" i="17"/>
  <c r="N31" i="17"/>
  <c r="M31" i="17"/>
  <c r="L31" i="17"/>
  <c r="K31" i="17"/>
  <c r="P36" i="17" s="1"/>
  <c r="P37" i="17" s="1"/>
  <c r="J31" i="17"/>
  <c r="O36" i="17" s="1"/>
  <c r="O37" i="17" s="1"/>
  <c r="I31" i="17"/>
  <c r="N36" i="17" s="1"/>
  <c r="N37" i="17" s="1"/>
  <c r="F27" i="17"/>
  <c r="D73" i="17" s="1"/>
  <c r="K73" i="17" s="1"/>
  <c r="P20" i="17"/>
  <c r="O20" i="17"/>
  <c r="N20" i="17"/>
  <c r="M20" i="17"/>
  <c r="L20" i="17"/>
  <c r="K20" i="17"/>
  <c r="J20" i="17"/>
  <c r="I20" i="17"/>
  <c r="P11" i="17"/>
  <c r="P12" i="17" s="1"/>
  <c r="O11" i="17"/>
  <c r="O12" i="17" s="1"/>
  <c r="D89" i="17" s="1"/>
  <c r="K89" i="17" s="1"/>
  <c r="N11" i="17"/>
  <c r="N12" i="17" s="1"/>
  <c r="C89" i="17" s="1"/>
  <c r="J89" i="17" s="1"/>
  <c r="M11" i="17"/>
  <c r="M12" i="17" s="1"/>
  <c r="B89" i="17" s="1"/>
  <c r="I89" i="17" s="1"/>
  <c r="L11" i="17"/>
  <c r="L12" i="17" s="1"/>
  <c r="E79" i="17" s="1"/>
  <c r="L79" i="17" s="1"/>
  <c r="K11" i="17"/>
  <c r="K12" i="17" s="1"/>
  <c r="J11" i="17"/>
  <c r="J12" i="17" s="1"/>
  <c r="I11" i="17"/>
  <c r="I12" i="17" s="1"/>
  <c r="B79" i="17" s="1"/>
  <c r="I79" i="17" s="1"/>
  <c r="H11" i="17"/>
  <c r="H12" i="17" s="1"/>
  <c r="G11" i="17"/>
  <c r="G12" i="17" s="1"/>
  <c r="F11" i="17"/>
  <c r="F12" i="17" s="1"/>
  <c r="D69" i="17" s="1"/>
  <c r="K69" i="17" s="1"/>
  <c r="E11" i="17"/>
  <c r="E12" i="17" s="1"/>
  <c r="C69" i="17" s="1"/>
  <c r="J69" i="17" s="1"/>
  <c r="D11" i="17"/>
  <c r="D12" i="17" s="1"/>
  <c r="B69" i="17" s="1"/>
  <c r="I69" i="17" s="1"/>
  <c r="P8" i="17"/>
  <c r="P15" i="17" s="1"/>
  <c r="O8" i="17"/>
  <c r="O15" i="17" s="1"/>
  <c r="N8" i="17"/>
  <c r="N15" i="17" s="1"/>
  <c r="M8" i="17"/>
  <c r="M15" i="17" s="1"/>
  <c r="L8" i="17"/>
  <c r="L15" i="17" s="1"/>
  <c r="K8" i="17"/>
  <c r="K15" i="17" s="1"/>
  <c r="J8" i="17"/>
  <c r="J15" i="17" s="1"/>
  <c r="I8" i="17"/>
  <c r="I15" i="17" s="1"/>
  <c r="H8" i="17"/>
  <c r="G8" i="17"/>
  <c r="F8" i="17"/>
  <c r="F15" i="17" s="1"/>
  <c r="E8" i="17"/>
  <c r="E15" i="17" s="1"/>
  <c r="D8" i="17"/>
  <c r="D15" i="17" s="1"/>
  <c r="J6" i="17"/>
  <c r="P3" i="17"/>
  <c r="O3" i="17"/>
  <c r="N3" i="17"/>
  <c r="N23" i="17" s="1"/>
  <c r="C92" i="17" s="1"/>
  <c r="J92" i="17" s="1"/>
  <c r="M3" i="17"/>
  <c r="L3" i="17"/>
  <c r="K3" i="17"/>
  <c r="K6" i="17" s="1"/>
  <c r="J3" i="17"/>
  <c r="I3" i="17"/>
  <c r="H3" i="17"/>
  <c r="G3" i="17"/>
  <c r="F3" i="17"/>
  <c r="E3" i="17"/>
  <c r="D3" i="17"/>
  <c r="C3" i="17"/>
  <c r="C24" i="17" s="1"/>
  <c r="E94" i="16"/>
  <c r="J94" i="16" s="1"/>
  <c r="D94" i="16"/>
  <c r="D104" i="16" s="1"/>
  <c r="C94" i="16"/>
  <c r="H94" i="16" s="1"/>
  <c r="B94" i="16"/>
  <c r="G94" i="16" s="1"/>
  <c r="E88" i="16"/>
  <c r="J88" i="16" s="1"/>
  <c r="D88" i="16"/>
  <c r="I88" i="16" s="1"/>
  <c r="C88" i="16"/>
  <c r="H88" i="16" s="1"/>
  <c r="B88" i="16"/>
  <c r="G88" i="16" s="1"/>
  <c r="F86" i="16"/>
  <c r="A86" i="16"/>
  <c r="A96" i="16" s="1"/>
  <c r="F85" i="16"/>
  <c r="A85" i="16"/>
  <c r="A95" i="16" s="1"/>
  <c r="F95" i="16" s="1"/>
  <c r="H84" i="16"/>
  <c r="G84" i="16"/>
  <c r="F84" i="16"/>
  <c r="E84" i="16"/>
  <c r="J84" i="16" s="1"/>
  <c r="D84" i="16"/>
  <c r="I84" i="16" s="1"/>
  <c r="C84" i="16"/>
  <c r="B84" i="16"/>
  <c r="A84" i="16"/>
  <c r="A94" i="16" s="1"/>
  <c r="F83" i="16"/>
  <c r="B83" i="16"/>
  <c r="G83" i="16" s="1"/>
  <c r="A83" i="16"/>
  <c r="A93" i="16" s="1"/>
  <c r="F93" i="16" s="1"/>
  <c r="F82" i="16"/>
  <c r="A82" i="16"/>
  <c r="A92" i="16" s="1"/>
  <c r="F81" i="16"/>
  <c r="A81" i="16"/>
  <c r="A91" i="16" s="1"/>
  <c r="F91" i="16" s="1"/>
  <c r="F80" i="16"/>
  <c r="A80" i="16"/>
  <c r="A90" i="16" s="1"/>
  <c r="F79" i="16"/>
  <c r="A79" i="16"/>
  <c r="A89" i="16" s="1"/>
  <c r="J78" i="16"/>
  <c r="I78" i="16"/>
  <c r="H78" i="16"/>
  <c r="G78" i="16"/>
  <c r="E78" i="16"/>
  <c r="D78" i="16"/>
  <c r="C78" i="16"/>
  <c r="B78" i="16"/>
  <c r="F76" i="16"/>
  <c r="A76" i="16"/>
  <c r="F75" i="16"/>
  <c r="A75" i="16"/>
  <c r="F74" i="16"/>
  <c r="E74" i="16"/>
  <c r="J74" i="16" s="1"/>
  <c r="D74" i="16"/>
  <c r="I74" i="16" s="1"/>
  <c r="C74" i="16"/>
  <c r="C104" i="16" s="1"/>
  <c r="B74" i="16"/>
  <c r="G74" i="16" s="1"/>
  <c r="A74" i="16"/>
  <c r="F73" i="16"/>
  <c r="A73" i="16"/>
  <c r="F72" i="16"/>
  <c r="A72" i="16"/>
  <c r="F71" i="16"/>
  <c r="A71" i="16"/>
  <c r="F70" i="16"/>
  <c r="E70" i="16"/>
  <c r="J70" i="16" s="1"/>
  <c r="A70" i="16"/>
  <c r="F69" i="16"/>
  <c r="A69" i="16"/>
  <c r="J68" i="16"/>
  <c r="I68" i="16"/>
  <c r="H68" i="16"/>
  <c r="G68" i="16"/>
  <c r="E68" i="16"/>
  <c r="D68" i="16"/>
  <c r="C68" i="16"/>
  <c r="B68" i="16"/>
  <c r="F66" i="16"/>
  <c r="A66" i="16"/>
  <c r="F65" i="16"/>
  <c r="A65" i="16"/>
  <c r="F64" i="16"/>
  <c r="E64" i="16"/>
  <c r="J64" i="16" s="1"/>
  <c r="D64" i="16"/>
  <c r="I64" i="16" s="1"/>
  <c r="C64" i="16"/>
  <c r="H64" i="16" s="1"/>
  <c r="B64" i="16"/>
  <c r="G64" i="16" s="1"/>
  <c r="A64" i="16"/>
  <c r="F63" i="16"/>
  <c r="A63" i="16"/>
  <c r="F62" i="16"/>
  <c r="A62" i="16"/>
  <c r="F61" i="16"/>
  <c r="A61" i="16"/>
  <c r="F60" i="16"/>
  <c r="A60" i="16"/>
  <c r="F59" i="16"/>
  <c r="A59" i="16"/>
  <c r="E58" i="16"/>
  <c r="J58" i="16" s="1"/>
  <c r="D58" i="16"/>
  <c r="I58" i="16" s="1"/>
  <c r="C58" i="16"/>
  <c r="H58" i="16" s="1"/>
  <c r="B58" i="16"/>
  <c r="G58" i="16" s="1"/>
  <c r="S40" i="16"/>
  <c r="S42" i="16" s="1"/>
  <c r="R40" i="16"/>
  <c r="R42" i="16" s="1"/>
  <c r="R44" i="16" s="1"/>
  <c r="R45" i="16" s="1"/>
  <c r="Q40" i="16"/>
  <c r="Q42" i="16" s="1"/>
  <c r="P40" i="16"/>
  <c r="P42" i="16" s="1"/>
  <c r="O40" i="16"/>
  <c r="O42" i="16" s="1"/>
  <c r="N40" i="16"/>
  <c r="N42" i="16" s="1"/>
  <c r="M40" i="16"/>
  <c r="M42" i="16" s="1"/>
  <c r="M41" i="16" s="1"/>
  <c r="L40" i="16"/>
  <c r="L42" i="16" s="1"/>
  <c r="K40" i="16"/>
  <c r="K42" i="16" s="1"/>
  <c r="J40" i="16"/>
  <c r="J42" i="16" s="1"/>
  <c r="J44" i="16" s="1"/>
  <c r="J45" i="16" s="1"/>
  <c r="I40" i="16"/>
  <c r="I42" i="16" s="1"/>
  <c r="H40" i="16"/>
  <c r="H42" i="16" s="1"/>
  <c r="G40" i="16"/>
  <c r="G42" i="16" s="1"/>
  <c r="F40" i="16"/>
  <c r="F42" i="16" s="1"/>
  <c r="E40" i="16"/>
  <c r="E42" i="16" s="1"/>
  <c r="D40" i="16"/>
  <c r="D42" i="16" s="1"/>
  <c r="C38" i="16"/>
  <c r="S37" i="16"/>
  <c r="E95" i="16" s="1"/>
  <c r="J95" i="16" s="1"/>
  <c r="R37" i="16"/>
  <c r="D95" i="16" s="1"/>
  <c r="Q37" i="16"/>
  <c r="C95" i="16" s="1"/>
  <c r="H95" i="16" s="1"/>
  <c r="P37" i="16"/>
  <c r="B95" i="16" s="1"/>
  <c r="G95" i="16" s="1"/>
  <c r="O37" i="16"/>
  <c r="E85" i="16" s="1"/>
  <c r="J85" i="16" s="1"/>
  <c r="N37" i="16"/>
  <c r="D85" i="16" s="1"/>
  <c r="I85" i="16" s="1"/>
  <c r="M37" i="16"/>
  <c r="C85" i="16" s="1"/>
  <c r="H85" i="16" s="1"/>
  <c r="L37" i="16"/>
  <c r="B85" i="16" s="1"/>
  <c r="G85" i="16" s="1"/>
  <c r="K37" i="16"/>
  <c r="E75" i="16" s="1"/>
  <c r="J75" i="16" s="1"/>
  <c r="J37" i="16"/>
  <c r="D75" i="16" s="1"/>
  <c r="I75" i="16" s="1"/>
  <c r="I37" i="16"/>
  <c r="C75" i="16" s="1"/>
  <c r="H37" i="16"/>
  <c r="B75" i="16" s="1"/>
  <c r="G75" i="16" s="1"/>
  <c r="G37" i="16"/>
  <c r="E65" i="16" s="1"/>
  <c r="J65" i="16" s="1"/>
  <c r="F37" i="16"/>
  <c r="D65" i="16" s="1"/>
  <c r="I65" i="16" s="1"/>
  <c r="E37" i="16"/>
  <c r="C65" i="16" s="1"/>
  <c r="H65" i="16" s="1"/>
  <c r="D37" i="16"/>
  <c r="B65" i="16" s="1"/>
  <c r="G65" i="16" s="1"/>
  <c r="C30" i="16"/>
  <c r="C31" i="16" s="1"/>
  <c r="C34" i="16" s="1"/>
  <c r="C28" i="16"/>
  <c r="S27" i="16"/>
  <c r="E93" i="16" s="1"/>
  <c r="J93" i="16" s="1"/>
  <c r="R27" i="16"/>
  <c r="D93" i="16" s="1"/>
  <c r="D103" i="16" s="1"/>
  <c r="Q27" i="16"/>
  <c r="C93" i="16" s="1"/>
  <c r="H93" i="16" s="1"/>
  <c r="P27" i="16"/>
  <c r="B93" i="16" s="1"/>
  <c r="G93" i="16" s="1"/>
  <c r="O27" i="16"/>
  <c r="E83" i="16" s="1"/>
  <c r="J83" i="16" s="1"/>
  <c r="N27" i="16"/>
  <c r="D83" i="16" s="1"/>
  <c r="I83" i="16" s="1"/>
  <c r="M27" i="16"/>
  <c r="C83" i="16" s="1"/>
  <c r="H83" i="16" s="1"/>
  <c r="L27" i="16"/>
  <c r="K27" i="16"/>
  <c r="E73" i="16" s="1"/>
  <c r="J73" i="16" s="1"/>
  <c r="J27" i="16"/>
  <c r="D73" i="16" s="1"/>
  <c r="I73" i="16" s="1"/>
  <c r="I27" i="16"/>
  <c r="C73" i="16" s="1"/>
  <c r="H27" i="16"/>
  <c r="B73" i="16" s="1"/>
  <c r="G73" i="16" s="1"/>
  <c r="G27" i="16"/>
  <c r="E63" i="16" s="1"/>
  <c r="J63" i="16" s="1"/>
  <c r="F27" i="16"/>
  <c r="D63" i="16" s="1"/>
  <c r="I63" i="16" s="1"/>
  <c r="E27" i="16"/>
  <c r="C63" i="16" s="1"/>
  <c r="H63" i="16" s="1"/>
  <c r="D27" i="16"/>
  <c r="B63" i="16" s="1"/>
  <c r="G63" i="16" s="1"/>
  <c r="C24" i="16"/>
  <c r="C20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S8" i="16"/>
  <c r="S15" i="16" s="1"/>
  <c r="R8" i="16"/>
  <c r="R15" i="16" s="1"/>
  <c r="Q8" i="16"/>
  <c r="Q15" i="16" s="1"/>
  <c r="P8" i="16"/>
  <c r="O8" i="16"/>
  <c r="N8" i="16"/>
  <c r="N15" i="16" s="1"/>
  <c r="M8" i="16"/>
  <c r="L8" i="16"/>
  <c r="L15" i="16" s="1"/>
  <c r="K8" i="16"/>
  <c r="K15" i="16" s="1"/>
  <c r="J8" i="16"/>
  <c r="I8" i="16"/>
  <c r="H8" i="16"/>
  <c r="G8" i="16"/>
  <c r="G15" i="16" s="1"/>
  <c r="F8" i="16"/>
  <c r="E8" i="16"/>
  <c r="E15" i="16" s="1"/>
  <c r="D8" i="16"/>
  <c r="R17" i="16"/>
  <c r="L17" i="16"/>
  <c r="S3" i="16"/>
  <c r="S4" i="16" s="1"/>
  <c r="R3" i="16"/>
  <c r="Q3" i="16"/>
  <c r="P3" i="16"/>
  <c r="O3" i="16"/>
  <c r="N3" i="16"/>
  <c r="M3" i="16"/>
  <c r="L3" i="16"/>
  <c r="B80" i="16" s="1"/>
  <c r="G80" i="16" s="1"/>
  <c r="K3" i="16"/>
  <c r="J3" i="16"/>
  <c r="I3" i="16"/>
  <c r="H3" i="16"/>
  <c r="G3" i="16"/>
  <c r="F3" i="16"/>
  <c r="F6" i="16" s="1"/>
  <c r="E3" i="16"/>
  <c r="E6" i="16" s="1"/>
  <c r="D3" i="16"/>
  <c r="C3" i="16"/>
  <c r="C6" i="16" s="1"/>
  <c r="H17" i="16" l="1"/>
  <c r="H15" i="16"/>
  <c r="I17" i="16"/>
  <c r="I19" i="16" s="1"/>
  <c r="I15" i="16"/>
  <c r="O17" i="16"/>
  <c r="O15" i="16"/>
  <c r="E80" i="16" s="1"/>
  <c r="J80" i="16" s="1"/>
  <c r="D17" i="16"/>
  <c r="D19" i="16" s="1"/>
  <c r="B61" i="16" s="1"/>
  <c r="G61" i="16" s="1"/>
  <c r="D15" i="16"/>
  <c r="B60" i="16" s="1"/>
  <c r="G60" i="16" s="1"/>
  <c r="E17" i="16"/>
  <c r="E19" i="16" s="1"/>
  <c r="C61" i="16" s="1"/>
  <c r="H61" i="16" s="1"/>
  <c r="F17" i="16"/>
  <c r="F19" i="16" s="1"/>
  <c r="F15" i="16"/>
  <c r="E70" i="17"/>
  <c r="L70" i="17" s="1"/>
  <c r="J17" i="16"/>
  <c r="J15" i="16"/>
  <c r="G17" i="16"/>
  <c r="G16" i="17"/>
  <c r="G15" i="17"/>
  <c r="H16" i="17"/>
  <c r="H19" i="17" s="1"/>
  <c r="F71" i="17" s="1"/>
  <c r="M71" i="17" s="1"/>
  <c r="H15" i="17"/>
  <c r="P17" i="16"/>
  <c r="P15" i="16"/>
  <c r="C6" i="17"/>
  <c r="H74" i="16"/>
  <c r="M17" i="16"/>
  <c r="M19" i="16" s="1"/>
  <c r="C81" i="16" s="1"/>
  <c r="H81" i="16" s="1"/>
  <c r="M15" i="16"/>
  <c r="Q17" i="16"/>
  <c r="E90" i="17"/>
  <c r="D102" i="17" s="1"/>
  <c r="D12" i="16"/>
  <c r="B59" i="16" s="1"/>
  <c r="G59" i="16" s="1"/>
  <c r="E4" i="16"/>
  <c r="C60" i="16"/>
  <c r="H60" i="16" s="1"/>
  <c r="Q23" i="16"/>
  <c r="C92" i="16" s="1"/>
  <c r="H92" i="16" s="1"/>
  <c r="C90" i="16"/>
  <c r="H90" i="16" s="1"/>
  <c r="E12" i="16"/>
  <c r="C59" i="16" s="1"/>
  <c r="H59" i="16" s="1"/>
  <c r="F6" i="17"/>
  <c r="D70" i="17"/>
  <c r="K70" i="17" s="1"/>
  <c r="D80" i="17"/>
  <c r="C102" i="17" s="1"/>
  <c r="N23" i="16"/>
  <c r="D82" i="16" s="1"/>
  <c r="I82" i="16" s="1"/>
  <c r="D80" i="16"/>
  <c r="I80" i="16" s="1"/>
  <c r="L19" i="16"/>
  <c r="E27" i="17"/>
  <c r="C73" i="17" s="1"/>
  <c r="J73" i="17" s="1"/>
  <c r="C70" i="17"/>
  <c r="J70" i="17" s="1"/>
  <c r="G4" i="16"/>
  <c r="E60" i="16"/>
  <c r="J60" i="16" s="1"/>
  <c r="E90" i="16"/>
  <c r="J90" i="16" s="1"/>
  <c r="F70" i="17"/>
  <c r="M70" i="17" s="1"/>
  <c r="F23" i="16"/>
  <c r="D62" i="16" s="1"/>
  <c r="I62" i="16" s="1"/>
  <c r="D60" i="16"/>
  <c r="I60" i="16" s="1"/>
  <c r="H23" i="16"/>
  <c r="B72" i="16" s="1"/>
  <c r="G72" i="16" s="1"/>
  <c r="B70" i="16"/>
  <c r="G70" i="16" s="1"/>
  <c r="N4" i="16"/>
  <c r="I27" i="17"/>
  <c r="B83" i="17" s="1"/>
  <c r="I83" i="17" s="1"/>
  <c r="B80" i="17"/>
  <c r="I80" i="17" s="1"/>
  <c r="J23" i="16"/>
  <c r="D72" i="16" s="1"/>
  <c r="I72" i="16" s="1"/>
  <c r="D70" i="16"/>
  <c r="I70" i="16" s="1"/>
  <c r="K23" i="17"/>
  <c r="D82" i="17" s="1"/>
  <c r="P23" i="16"/>
  <c r="B92" i="16" s="1"/>
  <c r="G92" i="16" s="1"/>
  <c r="B90" i="16"/>
  <c r="G90" i="16" s="1"/>
  <c r="R23" i="16"/>
  <c r="D92" i="16" s="1"/>
  <c r="D102" i="16" s="1"/>
  <c r="D90" i="16"/>
  <c r="D100" i="16" s="1"/>
  <c r="I23" i="16"/>
  <c r="C72" i="16" s="1"/>
  <c r="C102" i="16" s="1"/>
  <c r="C70" i="16"/>
  <c r="C100" i="16" s="1"/>
  <c r="J23" i="17"/>
  <c r="C82" i="17" s="1"/>
  <c r="J82" i="17" s="1"/>
  <c r="C80" i="17"/>
  <c r="J80" i="17" s="1"/>
  <c r="J16" i="17"/>
  <c r="J19" i="17" s="1"/>
  <c r="C81" i="17" s="1"/>
  <c r="J81" i="17" s="1"/>
  <c r="L27" i="17"/>
  <c r="E83" i="17" s="1"/>
  <c r="L83" i="17" s="1"/>
  <c r="E80" i="17"/>
  <c r="L80" i="17" s="1"/>
  <c r="C18" i="17"/>
  <c r="M27" i="17"/>
  <c r="B93" i="17" s="1"/>
  <c r="I93" i="17" s="1"/>
  <c r="B90" i="17"/>
  <c r="I90" i="17" s="1"/>
  <c r="M4" i="16"/>
  <c r="C80" i="16"/>
  <c r="H80" i="16" s="1"/>
  <c r="M12" i="16"/>
  <c r="C79" i="16" s="1"/>
  <c r="H79" i="16" s="1"/>
  <c r="N6" i="17"/>
  <c r="C90" i="17"/>
  <c r="J90" i="17" s="1"/>
  <c r="O27" i="17"/>
  <c r="D93" i="17" s="1"/>
  <c r="K93" i="17" s="1"/>
  <c r="D90" i="17"/>
  <c r="K90" i="17" s="1"/>
  <c r="D27" i="17"/>
  <c r="B73" i="17" s="1"/>
  <c r="I73" i="17" s="1"/>
  <c r="B70" i="17"/>
  <c r="I70" i="17" s="1"/>
  <c r="I16" i="17"/>
  <c r="I19" i="17" s="1"/>
  <c r="B81" i="17" s="1"/>
  <c r="I81" i="17" s="1"/>
  <c r="P16" i="17"/>
  <c r="P19" i="17" s="1"/>
  <c r="E91" i="17" s="1"/>
  <c r="J46" i="17"/>
  <c r="C85" i="17" s="1"/>
  <c r="J85" i="17" s="1"/>
  <c r="K46" i="17"/>
  <c r="D85" i="17" s="1"/>
  <c r="C107" i="17" s="1"/>
  <c r="L46" i="17"/>
  <c r="E85" i="17" s="1"/>
  <c r="L85" i="17" s="1"/>
  <c r="M46" i="17"/>
  <c r="B95" i="17" s="1"/>
  <c r="I95" i="17" s="1"/>
  <c r="N46" i="17"/>
  <c r="C95" i="17" s="1"/>
  <c r="J95" i="17" s="1"/>
  <c r="I49" i="17"/>
  <c r="I52" i="17"/>
  <c r="I53" i="17" s="1"/>
  <c r="B86" i="17" s="1"/>
  <c r="I86" i="17" s="1"/>
  <c r="K16" i="17"/>
  <c r="K19" i="17" s="1"/>
  <c r="D81" i="17" s="1"/>
  <c r="K81" i="17" s="1"/>
  <c r="D23" i="17"/>
  <c r="B72" i="17" s="1"/>
  <c r="I72" i="17" s="1"/>
  <c r="C28" i="17"/>
  <c r="H49" i="17"/>
  <c r="O52" i="17"/>
  <c r="O53" i="17" s="1"/>
  <c r="D96" i="17" s="1"/>
  <c r="K96" i="17" s="1"/>
  <c r="L6" i="17"/>
  <c r="N27" i="17"/>
  <c r="C93" i="17" s="1"/>
  <c r="J93" i="17" s="1"/>
  <c r="D16" i="17"/>
  <c r="D19" i="17" s="1"/>
  <c r="B71" i="17" s="1"/>
  <c r="I71" i="17" s="1"/>
  <c r="L16" i="17"/>
  <c r="L19" i="17" s="1"/>
  <c r="O16" i="17"/>
  <c r="O19" i="17" s="1"/>
  <c r="D91" i="17" s="1"/>
  <c r="K91" i="17" s="1"/>
  <c r="E23" i="17"/>
  <c r="C72" i="17" s="1"/>
  <c r="J72" i="17" s="1"/>
  <c r="G52" i="17"/>
  <c r="G53" i="17" s="1"/>
  <c r="E76" i="17" s="1"/>
  <c r="L76" i="17" s="1"/>
  <c r="M16" i="17"/>
  <c r="M19" i="17" s="1"/>
  <c r="B91" i="17" s="1"/>
  <c r="I91" i="17" s="1"/>
  <c r="F23" i="17"/>
  <c r="D72" i="17" s="1"/>
  <c r="K72" i="17" s="1"/>
  <c r="D6" i="17"/>
  <c r="L23" i="17"/>
  <c r="E82" i="17" s="1"/>
  <c r="L82" i="17" s="1"/>
  <c r="E16" i="17"/>
  <c r="E19" i="17" s="1"/>
  <c r="C71" i="17" s="1"/>
  <c r="J71" i="17" s="1"/>
  <c r="I6" i="17"/>
  <c r="M23" i="17"/>
  <c r="B92" i="17" s="1"/>
  <c r="I92" i="17" s="1"/>
  <c r="O46" i="17"/>
  <c r="D95" i="17" s="1"/>
  <c r="K95" i="17" s="1"/>
  <c r="S17" i="16"/>
  <c r="S19" i="16" s="1"/>
  <c r="E91" i="16" s="1"/>
  <c r="J91" i="16" s="1"/>
  <c r="N17" i="16"/>
  <c r="N19" i="16" s="1"/>
  <c r="D81" i="16" s="1"/>
  <c r="I81" i="16" s="1"/>
  <c r="K12" i="16"/>
  <c r="E69" i="16" s="1"/>
  <c r="J69" i="16" s="1"/>
  <c r="S12" i="16"/>
  <c r="E89" i="16" s="1"/>
  <c r="J89" i="16" s="1"/>
  <c r="J6" i="16"/>
  <c r="K23" i="16"/>
  <c r="E72" i="16" s="1"/>
  <c r="J72" i="16" s="1"/>
  <c r="K17" i="16"/>
  <c r="K19" i="16" s="1"/>
  <c r="E71" i="16" s="1"/>
  <c r="J71" i="16" s="1"/>
  <c r="C4" i="16"/>
  <c r="M6" i="16"/>
  <c r="H19" i="16"/>
  <c r="S23" i="16"/>
  <c r="E92" i="16" s="1"/>
  <c r="J92" i="16" s="1"/>
  <c r="A105" i="16"/>
  <c r="F4" i="16"/>
  <c r="N6" i="16"/>
  <c r="Q19" i="16"/>
  <c r="C91" i="16" s="1"/>
  <c r="H91" i="16" s="1"/>
  <c r="I12" i="16"/>
  <c r="C69" i="16" s="1"/>
  <c r="H69" i="16" s="1"/>
  <c r="Q12" i="16"/>
  <c r="C89" i="16" s="1"/>
  <c r="H89" i="16" s="1"/>
  <c r="K4" i="16"/>
  <c r="R6" i="16"/>
  <c r="J19" i="16"/>
  <c r="D71" i="16" s="1"/>
  <c r="I71" i="16" s="1"/>
  <c r="R19" i="16"/>
  <c r="D91" i="16" s="1"/>
  <c r="E89" i="17"/>
  <c r="E52" i="17"/>
  <c r="E53" i="17" s="1"/>
  <c r="C76" i="17" s="1"/>
  <c r="J76" i="17" s="1"/>
  <c r="E49" i="17"/>
  <c r="G23" i="17"/>
  <c r="E72" i="17" s="1"/>
  <c r="L72" i="17" s="1"/>
  <c r="G6" i="17"/>
  <c r="H6" i="17"/>
  <c r="H27" i="17"/>
  <c r="F73" i="17" s="1"/>
  <c r="M73" i="17" s="1"/>
  <c r="H23" i="17"/>
  <c r="F72" i="17" s="1"/>
  <c r="M72" i="17" s="1"/>
  <c r="P6" i="17"/>
  <c r="P27" i="17"/>
  <c r="E93" i="17" s="1"/>
  <c r="P23" i="17"/>
  <c r="E92" i="17" s="1"/>
  <c r="C79" i="17"/>
  <c r="J79" i="17" s="1"/>
  <c r="N16" i="17"/>
  <c r="N19" i="17" s="1"/>
  <c r="C91" i="17" s="1"/>
  <c r="J91" i="17" s="1"/>
  <c r="I46" i="17"/>
  <c r="B85" i="17" s="1"/>
  <c r="I85" i="17" s="1"/>
  <c r="L52" i="17"/>
  <c r="L53" i="17" s="1"/>
  <c r="E86" i="17" s="1"/>
  <c r="L86" i="17" s="1"/>
  <c r="L49" i="17"/>
  <c r="G19" i="17"/>
  <c r="E71" i="17" s="1"/>
  <c r="L71" i="17" s="1"/>
  <c r="G27" i="17"/>
  <c r="E73" i="17" s="1"/>
  <c r="L73" i="17" s="1"/>
  <c r="D106" i="17"/>
  <c r="L94" i="17"/>
  <c r="K52" i="17"/>
  <c r="K53" i="17" s="1"/>
  <c r="D86" i="17" s="1"/>
  <c r="K49" i="17"/>
  <c r="D79" i="17"/>
  <c r="D108" i="17"/>
  <c r="L96" i="17"/>
  <c r="F52" i="17"/>
  <c r="F53" i="17" s="1"/>
  <c r="D76" i="17" s="1"/>
  <c r="K76" i="17" s="1"/>
  <c r="D52" i="17"/>
  <c r="D53" i="17" s="1"/>
  <c r="B76" i="17" s="1"/>
  <c r="I76" i="17" s="1"/>
  <c r="D49" i="17"/>
  <c r="F69" i="17"/>
  <c r="M69" i="17" s="1"/>
  <c r="F16" i="17"/>
  <c r="F19" i="17" s="1"/>
  <c r="D71" i="17" s="1"/>
  <c r="K71" i="17" s="1"/>
  <c r="C106" i="17"/>
  <c r="K84" i="17"/>
  <c r="C104" i="17"/>
  <c r="K82" i="17"/>
  <c r="J52" i="17"/>
  <c r="J53" i="17" s="1"/>
  <c r="C86" i="17" s="1"/>
  <c r="J86" i="17" s="1"/>
  <c r="J49" i="17"/>
  <c r="M52" i="17"/>
  <c r="M53" i="17" s="1"/>
  <c r="B96" i="17" s="1"/>
  <c r="I96" i="17" s="1"/>
  <c r="M49" i="17"/>
  <c r="O6" i="17"/>
  <c r="O23" i="17"/>
  <c r="D92" i="17" s="1"/>
  <c r="K92" i="17" s="1"/>
  <c r="P46" i="17"/>
  <c r="E95" i="17" s="1"/>
  <c r="P49" i="17"/>
  <c r="N52" i="17"/>
  <c r="N53" i="17" s="1"/>
  <c r="C96" i="17" s="1"/>
  <c r="J96" i="17" s="1"/>
  <c r="E6" i="17"/>
  <c r="M6" i="17"/>
  <c r="J27" i="17"/>
  <c r="C83" i="17" s="1"/>
  <c r="J83" i="17" s="1"/>
  <c r="E69" i="17"/>
  <c r="L69" i="17" s="1"/>
  <c r="I23" i="17"/>
  <c r="B82" i="17" s="1"/>
  <c r="I82" i="17" s="1"/>
  <c r="K27" i="17"/>
  <c r="D83" i="17" s="1"/>
  <c r="B81" i="16"/>
  <c r="G81" i="16" s="1"/>
  <c r="F89" i="16"/>
  <c r="A99" i="16"/>
  <c r="C71" i="16"/>
  <c r="E44" i="16"/>
  <c r="E45" i="16" s="1"/>
  <c r="E41" i="16"/>
  <c r="Q44" i="16"/>
  <c r="Q45" i="16" s="1"/>
  <c r="Q41" i="16"/>
  <c r="L6" i="16"/>
  <c r="L4" i="16"/>
  <c r="L23" i="16"/>
  <c r="B82" i="16" s="1"/>
  <c r="G82" i="16" s="1"/>
  <c r="D61" i="16"/>
  <c r="I61" i="16" s="1"/>
  <c r="K44" i="16"/>
  <c r="K45" i="16" s="1"/>
  <c r="K41" i="16"/>
  <c r="S44" i="16"/>
  <c r="S45" i="16" s="1"/>
  <c r="S41" i="16"/>
  <c r="M44" i="16"/>
  <c r="M45" i="16" s="1"/>
  <c r="F94" i="16"/>
  <c r="A104" i="16"/>
  <c r="I93" i="16"/>
  <c r="A103" i="16"/>
  <c r="I95" i="16"/>
  <c r="D105" i="16"/>
  <c r="D96" i="16"/>
  <c r="D6" i="16"/>
  <c r="D4" i="16"/>
  <c r="D23" i="16"/>
  <c r="B62" i="16" s="1"/>
  <c r="G62" i="16" s="1"/>
  <c r="G19" i="16"/>
  <c r="O19" i="16"/>
  <c r="L12" i="16"/>
  <c r="B79" i="16" s="1"/>
  <c r="G79" i="16" s="1"/>
  <c r="H73" i="16"/>
  <c r="C103" i="16"/>
  <c r="D44" i="16"/>
  <c r="D45" i="16" s="1"/>
  <c r="D41" i="16"/>
  <c r="L44" i="16"/>
  <c r="L45" i="16" s="1"/>
  <c r="L41" i="16"/>
  <c r="A102" i="16"/>
  <c r="F92" i="16"/>
  <c r="I44" i="16"/>
  <c r="I45" i="16" s="1"/>
  <c r="I41" i="16"/>
  <c r="D76" i="16"/>
  <c r="I76" i="16" s="1"/>
  <c r="B71" i="16"/>
  <c r="G71" i="16" s="1"/>
  <c r="P19" i="16"/>
  <c r="J41" i="16"/>
  <c r="G23" i="16"/>
  <c r="E62" i="16" s="1"/>
  <c r="J62" i="16" s="1"/>
  <c r="G12" i="16"/>
  <c r="E59" i="16" s="1"/>
  <c r="J59" i="16" s="1"/>
  <c r="G6" i="16"/>
  <c r="N41" i="16"/>
  <c r="N44" i="16"/>
  <c r="N45" i="16" s="1"/>
  <c r="P12" i="16"/>
  <c r="B89" i="16" s="1"/>
  <c r="G89" i="16" s="1"/>
  <c r="P6" i="16"/>
  <c r="P4" i="16"/>
  <c r="C49" i="16"/>
  <c r="G44" i="16"/>
  <c r="G45" i="16" s="1"/>
  <c r="G41" i="16"/>
  <c r="O44" i="16"/>
  <c r="O45" i="16" s="1"/>
  <c r="O41" i="16"/>
  <c r="R41" i="16"/>
  <c r="A106" i="16"/>
  <c r="F96" i="16"/>
  <c r="O23" i="16"/>
  <c r="E82" i="16" s="1"/>
  <c r="J82" i="16" s="1"/>
  <c r="O12" i="16"/>
  <c r="E79" i="16" s="1"/>
  <c r="J79" i="16" s="1"/>
  <c r="O6" i="16"/>
  <c r="F41" i="16"/>
  <c r="F44" i="16"/>
  <c r="F45" i="16" s="1"/>
  <c r="H12" i="16"/>
  <c r="B69" i="16" s="1"/>
  <c r="G69" i="16" s="1"/>
  <c r="H6" i="16"/>
  <c r="H4" i="16"/>
  <c r="O4" i="16"/>
  <c r="H75" i="16"/>
  <c r="C105" i="16"/>
  <c r="H44" i="16"/>
  <c r="H45" i="16" s="1"/>
  <c r="H41" i="16"/>
  <c r="P44" i="16"/>
  <c r="P45" i="16" s="1"/>
  <c r="P41" i="16"/>
  <c r="F90" i="16"/>
  <c r="A100" i="16"/>
  <c r="A101" i="16"/>
  <c r="F12" i="16"/>
  <c r="D59" i="16" s="1"/>
  <c r="I59" i="16" s="1"/>
  <c r="N12" i="16"/>
  <c r="D79" i="16" s="1"/>
  <c r="I79" i="16" s="1"/>
  <c r="E23" i="16"/>
  <c r="C62" i="16" s="1"/>
  <c r="H62" i="16" s="1"/>
  <c r="M23" i="16"/>
  <c r="C82" i="16" s="1"/>
  <c r="H82" i="16" s="1"/>
  <c r="I94" i="16"/>
  <c r="I4" i="16"/>
  <c r="Q4" i="16"/>
  <c r="J4" i="16"/>
  <c r="R4" i="16"/>
  <c r="I6" i="16"/>
  <c r="Q6" i="16"/>
  <c r="K6" i="16"/>
  <c r="S6" i="16"/>
  <c r="J12" i="16"/>
  <c r="D69" i="16" s="1"/>
  <c r="I69" i="16" s="1"/>
  <c r="R12" i="16"/>
  <c r="D89" i="16" s="1"/>
  <c r="E46" i="16" l="1"/>
  <c r="E47" i="16" s="1"/>
  <c r="C57" i="17"/>
  <c r="H72" i="16"/>
  <c r="K85" i="17"/>
  <c r="H70" i="16"/>
  <c r="D54" i="17"/>
  <c r="D55" i="17" s="1"/>
  <c r="I92" i="16"/>
  <c r="L90" i="17"/>
  <c r="I90" i="16"/>
  <c r="K80" i="17"/>
  <c r="H46" i="16"/>
  <c r="H47" i="16" s="1"/>
  <c r="S46" i="16"/>
  <c r="S47" i="16" s="1"/>
  <c r="K46" i="16"/>
  <c r="K47" i="16" s="1"/>
  <c r="L54" i="17"/>
  <c r="L55" i="17" s="1"/>
  <c r="C103" i="17"/>
  <c r="N54" i="17"/>
  <c r="N55" i="17" s="1"/>
  <c r="E81" i="17"/>
  <c r="L81" i="17" s="1"/>
  <c r="E54" i="17"/>
  <c r="E55" i="17" s="1"/>
  <c r="M54" i="17"/>
  <c r="M55" i="17" s="1"/>
  <c r="J54" i="17"/>
  <c r="J55" i="17" s="1"/>
  <c r="H54" i="17"/>
  <c r="H56" i="17" s="1"/>
  <c r="F54" i="17"/>
  <c r="F55" i="17" s="1"/>
  <c r="O54" i="17"/>
  <c r="O55" i="17" s="1"/>
  <c r="I54" i="17"/>
  <c r="I55" i="17" s="1"/>
  <c r="C99" i="16"/>
  <c r="I46" i="16"/>
  <c r="I47" i="16" s="1"/>
  <c r="D46" i="16"/>
  <c r="D47" i="16" s="1"/>
  <c r="Q46" i="16"/>
  <c r="Q47" i="16" s="1"/>
  <c r="L95" i="17"/>
  <c r="D107" i="17"/>
  <c r="C101" i="17"/>
  <c r="K79" i="17"/>
  <c r="L93" i="17"/>
  <c r="D105" i="17"/>
  <c r="C105" i="17"/>
  <c r="K83" i="17"/>
  <c r="K54" i="17"/>
  <c r="D104" i="17"/>
  <c r="L92" i="17"/>
  <c r="C108" i="17"/>
  <c r="K86" i="17"/>
  <c r="P54" i="17"/>
  <c r="D103" i="17"/>
  <c r="L91" i="17"/>
  <c r="G54" i="17"/>
  <c r="D101" i="17"/>
  <c r="L89" i="17"/>
  <c r="B96" i="16"/>
  <c r="G96" i="16" s="1"/>
  <c r="K48" i="16"/>
  <c r="E76" i="16"/>
  <c r="J76" i="16" s="1"/>
  <c r="D86" i="16"/>
  <c r="I86" i="16" s="1"/>
  <c r="B86" i="16"/>
  <c r="G86" i="16" s="1"/>
  <c r="N46" i="16"/>
  <c r="N47" i="16" s="1"/>
  <c r="C96" i="16"/>
  <c r="H96" i="16" s="1"/>
  <c r="H71" i="16"/>
  <c r="C101" i="16"/>
  <c r="B91" i="16"/>
  <c r="G91" i="16" s="1"/>
  <c r="P46" i="16"/>
  <c r="P47" i="16" s="1"/>
  <c r="B76" i="16"/>
  <c r="G76" i="16" s="1"/>
  <c r="H48" i="16"/>
  <c r="R46" i="16"/>
  <c r="D66" i="16"/>
  <c r="I66" i="16" s="1"/>
  <c r="I91" i="16"/>
  <c r="D101" i="16"/>
  <c r="B66" i="16"/>
  <c r="G66" i="16" s="1"/>
  <c r="F46" i="16"/>
  <c r="F47" i="16" s="1"/>
  <c r="C66" i="16"/>
  <c r="H66" i="16" s="1"/>
  <c r="E48" i="16"/>
  <c r="E96" i="16"/>
  <c r="J96" i="16" s="1"/>
  <c r="E66" i="16"/>
  <c r="J66" i="16" s="1"/>
  <c r="G46" i="16"/>
  <c r="G47" i="16" s="1"/>
  <c r="E61" i="16"/>
  <c r="J61" i="16" s="1"/>
  <c r="D99" i="16"/>
  <c r="I89" i="16"/>
  <c r="J46" i="16"/>
  <c r="D106" i="16"/>
  <c r="I96" i="16"/>
  <c r="C86" i="16"/>
  <c r="H86" i="16" s="1"/>
  <c r="M46" i="16"/>
  <c r="M47" i="16" s="1"/>
  <c r="E86" i="16"/>
  <c r="J86" i="16" s="1"/>
  <c r="O46" i="16"/>
  <c r="O47" i="16" s="1"/>
  <c r="E81" i="16"/>
  <c r="J81" i="16" s="1"/>
  <c r="C76" i="16"/>
  <c r="L46" i="16"/>
  <c r="L47" i="16" s="1"/>
  <c r="S48" i="16" l="1"/>
  <c r="D56" i="17"/>
  <c r="O56" i="17"/>
  <c r="E56" i="17"/>
  <c r="I48" i="16"/>
  <c r="N48" i="16"/>
  <c r="D48" i="16"/>
  <c r="F56" i="17"/>
  <c r="L56" i="17"/>
  <c r="N56" i="17"/>
  <c r="J56" i="17"/>
  <c r="M56" i="17"/>
  <c r="I56" i="17"/>
  <c r="H55" i="17"/>
  <c r="F48" i="16"/>
  <c r="M48" i="16"/>
  <c r="Q48" i="16"/>
  <c r="G56" i="17"/>
  <c r="G55" i="17"/>
  <c r="K55" i="17"/>
  <c r="K56" i="17"/>
  <c r="P56" i="17"/>
  <c r="P55" i="17"/>
  <c r="J47" i="16"/>
  <c r="J48" i="16"/>
  <c r="L48" i="16"/>
  <c r="H76" i="16"/>
  <c r="C106" i="16"/>
  <c r="G48" i="16"/>
  <c r="O48" i="16"/>
  <c r="R47" i="16"/>
  <c r="R48" i="16"/>
  <c r="P48" i="16"/>
  <c r="H14" i="10" l="1"/>
  <c r="I14" i="10"/>
  <c r="J14" i="10"/>
  <c r="K14" i="10"/>
  <c r="L14" i="10"/>
  <c r="M14" i="10"/>
  <c r="N14" i="10"/>
  <c r="O14" i="10"/>
  <c r="P14" i="10"/>
  <c r="Q14" i="10"/>
  <c r="R14" i="10"/>
  <c r="G14" i="10"/>
  <c r="C9" i="14" l="1"/>
  <c r="D21" i="14" l="1"/>
  <c r="C20" i="4"/>
  <c r="B20" i="14"/>
  <c r="C20" i="14"/>
  <c r="A27" i="14"/>
  <c r="B21" i="14"/>
  <c r="C21" i="14"/>
  <c r="B12" i="14"/>
  <c r="C12" i="14"/>
  <c r="D12" i="14"/>
  <c r="E12" i="14"/>
  <c r="A7" i="14"/>
  <c r="A17" i="14" s="1"/>
  <c r="A5" i="14"/>
  <c r="A15" i="14" s="1"/>
  <c r="A6" i="14"/>
  <c r="A16" i="14" s="1"/>
  <c r="A4" i="14"/>
  <c r="A14" i="14" s="1"/>
  <c r="A3" i="14"/>
  <c r="A13" i="14" s="1"/>
  <c r="A2" i="14"/>
  <c r="A12" i="14" s="1"/>
  <c r="B5" i="14"/>
  <c r="D5" i="14"/>
  <c r="E5" i="14"/>
  <c r="D2" i="14"/>
  <c r="E2" i="14"/>
  <c r="D30" i="4"/>
  <c r="D31" i="4" s="1"/>
  <c r="E30" i="4"/>
  <c r="C30" i="4"/>
  <c r="C31" i="4" s="1"/>
  <c r="H47" i="10"/>
  <c r="I47" i="10"/>
  <c r="J47" i="10"/>
  <c r="K47" i="10"/>
  <c r="L47" i="10"/>
  <c r="M47" i="10"/>
  <c r="N47" i="10"/>
  <c r="O47" i="10"/>
  <c r="P47" i="10"/>
  <c r="Q47" i="10"/>
  <c r="R47" i="10"/>
  <c r="C47" i="10"/>
  <c r="C50" i="10" s="1"/>
  <c r="B26" i="14" s="1"/>
  <c r="D47" i="10"/>
  <c r="D50" i="10" s="1"/>
  <c r="C26" i="14" s="1"/>
  <c r="E47" i="10"/>
  <c r="E50" i="10" s="1"/>
  <c r="D26" i="14" s="1"/>
  <c r="F47" i="10"/>
  <c r="F50" i="10" s="1"/>
  <c r="E26" i="14" s="1"/>
  <c r="G47" i="10"/>
  <c r="E53" i="10"/>
  <c r="E45" i="10"/>
  <c r="E43" i="10"/>
  <c r="E39" i="10"/>
  <c r="E29" i="10"/>
  <c r="D23" i="14" s="1"/>
  <c r="E25" i="10"/>
  <c r="E19" i="10"/>
  <c r="D22" i="14" s="1"/>
  <c r="E8" i="10"/>
  <c r="E7" i="10"/>
  <c r="E4" i="10"/>
  <c r="E5" i="10" s="1"/>
  <c r="D53" i="10"/>
  <c r="D45" i="10"/>
  <c r="D43" i="10"/>
  <c r="D39" i="10"/>
  <c r="D29" i="10"/>
  <c r="C23" i="14" s="1"/>
  <c r="D25" i="10"/>
  <c r="D19" i="10"/>
  <c r="C22" i="14" s="1"/>
  <c r="D8" i="10"/>
  <c r="D7" i="10"/>
  <c r="D4" i="10"/>
  <c r="D5" i="10" s="1"/>
  <c r="C53" i="10"/>
  <c r="C45" i="10"/>
  <c r="C43" i="10"/>
  <c r="C39" i="10"/>
  <c r="C29" i="10"/>
  <c r="B23" i="14" s="1"/>
  <c r="C25" i="10"/>
  <c r="C19" i="10"/>
  <c r="B22" i="14" s="1"/>
  <c r="C8" i="10"/>
  <c r="C7" i="10"/>
  <c r="C4" i="10"/>
  <c r="C5" i="10" s="1"/>
  <c r="A18" i="14"/>
  <c r="B11" i="14"/>
  <c r="C11" i="14"/>
  <c r="D11" i="14"/>
  <c r="E11" i="14"/>
  <c r="C44" i="3"/>
  <c r="C45" i="3" s="1"/>
  <c r="B17" i="14" s="1"/>
  <c r="D44" i="3"/>
  <c r="D45" i="3" s="1"/>
  <c r="C17" i="14" s="1"/>
  <c r="E44" i="3"/>
  <c r="E45" i="3" s="1"/>
  <c r="D17" i="14" s="1"/>
  <c r="F44" i="3"/>
  <c r="F45" i="3" s="1"/>
  <c r="E17" i="14" s="1"/>
  <c r="T44" i="3"/>
  <c r="U44" i="3"/>
  <c r="H44" i="3"/>
  <c r="H46" i="3" s="1"/>
  <c r="I44" i="3"/>
  <c r="I46" i="3" s="1"/>
  <c r="J44" i="3"/>
  <c r="J46" i="3" s="1"/>
  <c r="K44" i="3"/>
  <c r="K46" i="3" s="1"/>
  <c r="L44" i="3"/>
  <c r="M44" i="3"/>
  <c r="N44" i="3"/>
  <c r="O44" i="3"/>
  <c r="P44" i="3"/>
  <c r="Q44" i="3"/>
  <c r="R44" i="3"/>
  <c r="S44" i="3"/>
  <c r="G44" i="3"/>
  <c r="G46" i="3" s="1"/>
  <c r="C39" i="3"/>
  <c r="C40" i="3" s="1"/>
  <c r="B16" i="14" s="1"/>
  <c r="C38" i="3"/>
  <c r="B15" i="14" s="1"/>
  <c r="C7" i="3"/>
  <c r="C3" i="3"/>
  <c r="D39" i="3"/>
  <c r="D40" i="3" s="1"/>
  <c r="C16" i="14" s="1"/>
  <c r="D38" i="3"/>
  <c r="C15" i="14" s="1"/>
  <c r="D7" i="3"/>
  <c r="D3" i="3"/>
  <c r="D28" i="3" s="1"/>
  <c r="C14" i="14" s="1"/>
  <c r="E39" i="3"/>
  <c r="E40" i="3" s="1"/>
  <c r="D16" i="14" s="1"/>
  <c r="E38" i="3"/>
  <c r="D15" i="14" s="1"/>
  <c r="E7" i="3"/>
  <c r="E3" i="3"/>
  <c r="E3" i="4"/>
  <c r="C3" i="4"/>
  <c r="C6" i="4" s="1"/>
  <c r="D38" i="4"/>
  <c r="D7" i="14" s="1"/>
  <c r="D28" i="4"/>
  <c r="D4" i="14" s="1"/>
  <c r="D24" i="4"/>
  <c r="D20" i="4"/>
  <c r="D3" i="14" s="1"/>
  <c r="D7" i="4"/>
  <c r="D6" i="4"/>
  <c r="D4" i="4"/>
  <c r="C38" i="4"/>
  <c r="B7" i="14" s="1"/>
  <c r="C28" i="4"/>
  <c r="B4" i="14" s="1"/>
  <c r="C24" i="4"/>
  <c r="B3" i="14"/>
  <c r="C7" i="4"/>
  <c r="H48" i="10"/>
  <c r="I48" i="10"/>
  <c r="J48" i="10"/>
  <c r="K48" i="10"/>
  <c r="L48" i="10"/>
  <c r="M48" i="10"/>
  <c r="N48" i="10"/>
  <c r="O48" i="10"/>
  <c r="P48" i="10"/>
  <c r="Q48" i="10"/>
  <c r="R48" i="10"/>
  <c r="G48" i="10"/>
  <c r="A22" i="14" l="1"/>
  <c r="A26" i="14"/>
  <c r="A25" i="14"/>
  <c r="A21" i="14"/>
  <c r="A24" i="14"/>
  <c r="A23" i="14"/>
  <c r="C34" i="4"/>
  <c r="B6" i="14" s="1"/>
  <c r="B8" i="14" s="1"/>
  <c r="D34" i="4"/>
  <c r="D6" i="14" s="1"/>
  <c r="D8" i="14" s="1"/>
  <c r="C4" i="4"/>
  <c r="C33" i="10"/>
  <c r="C34" i="10" s="1"/>
  <c r="E33" i="10"/>
  <c r="E34" i="10" s="1"/>
  <c r="D33" i="10"/>
  <c r="D34" i="10" s="1"/>
  <c r="E40" i="10"/>
  <c r="D24" i="14" s="1"/>
  <c r="D40" i="10"/>
  <c r="C24" i="14" s="1"/>
  <c r="C40" i="10"/>
  <c r="B24" i="14" s="1"/>
  <c r="D24" i="3"/>
  <c r="D18" i="3"/>
  <c r="C13" i="14" s="1"/>
  <c r="C19" i="14" s="1"/>
  <c r="C6" i="3"/>
  <c r="C18" i="3"/>
  <c r="B13" i="14" s="1"/>
  <c r="C28" i="3"/>
  <c r="B14" i="14" s="1"/>
  <c r="C24" i="3"/>
  <c r="D6" i="3"/>
  <c r="E6" i="3"/>
  <c r="E24" i="3"/>
  <c r="E28" i="3"/>
  <c r="D14" i="14" s="1"/>
  <c r="E18" i="3"/>
  <c r="D13" i="14" s="1"/>
  <c r="D49" i="4"/>
  <c r="C49" i="4"/>
  <c r="I12" i="12"/>
  <c r="E38" i="4"/>
  <c r="E7" i="14" s="1"/>
  <c r="G37" i="4"/>
  <c r="H37" i="4"/>
  <c r="I37" i="4"/>
  <c r="J37" i="4"/>
  <c r="K37" i="4"/>
  <c r="L37" i="4"/>
  <c r="M37" i="4"/>
  <c r="N37" i="4"/>
  <c r="O37" i="4"/>
  <c r="P37" i="4"/>
  <c r="Q37" i="4"/>
  <c r="F37" i="4"/>
  <c r="D19" i="14" l="1"/>
  <c r="B19" i="14"/>
  <c r="C57" i="3"/>
  <c r="B9" i="14"/>
  <c r="D9" i="14"/>
  <c r="D44" i="10"/>
  <c r="C25" i="14" s="1"/>
  <c r="C27" i="14" s="1"/>
  <c r="C44" i="10"/>
  <c r="E44" i="10"/>
  <c r="D25" i="14" s="1"/>
  <c r="D28" i="14" s="1"/>
  <c r="B18" i="14"/>
  <c r="E57" i="3"/>
  <c r="D18" i="14"/>
  <c r="D57" i="3"/>
  <c r="C18" i="14"/>
  <c r="F4" i="10"/>
  <c r="J22" i="12"/>
  <c r="J12" i="12"/>
  <c r="J2" i="12"/>
  <c r="K91" i="10"/>
  <c r="L91" i="10"/>
  <c r="M91" i="10"/>
  <c r="N91" i="10"/>
  <c r="B91" i="10"/>
  <c r="F91" i="10"/>
  <c r="G91" i="10"/>
  <c r="H91" i="10"/>
  <c r="K80" i="10"/>
  <c r="L80" i="10"/>
  <c r="M80" i="10"/>
  <c r="N80" i="10"/>
  <c r="B80" i="10"/>
  <c r="F80" i="10"/>
  <c r="G80" i="10"/>
  <c r="H80" i="10"/>
  <c r="K69" i="10"/>
  <c r="L69" i="10"/>
  <c r="M69" i="10"/>
  <c r="N69" i="10"/>
  <c r="B69" i="10"/>
  <c r="F69" i="10"/>
  <c r="G69" i="10"/>
  <c r="H69" i="10"/>
  <c r="J77" i="10"/>
  <c r="J99" i="10" s="1"/>
  <c r="J76" i="10"/>
  <c r="J87" i="10" s="1"/>
  <c r="J75" i="10"/>
  <c r="J86" i="10" s="1"/>
  <c r="J74" i="10"/>
  <c r="J96" i="10" s="1"/>
  <c r="J73" i="10"/>
  <c r="J84" i="10" s="1"/>
  <c r="J72" i="10"/>
  <c r="J94" i="10" s="1"/>
  <c r="J71" i="10"/>
  <c r="J93" i="10" s="1"/>
  <c r="J70" i="10"/>
  <c r="J92" i="10" s="1"/>
  <c r="H98" i="10"/>
  <c r="N98" i="10" s="1"/>
  <c r="B81" i="10"/>
  <c r="K81" i="10" s="1"/>
  <c r="F81" i="10"/>
  <c r="G81" i="10"/>
  <c r="D13" i="12" s="1"/>
  <c r="H81" i="10"/>
  <c r="N81" i="10" s="1"/>
  <c r="B92" i="10"/>
  <c r="K92" i="10" s="1"/>
  <c r="F92" i="10"/>
  <c r="G92" i="10"/>
  <c r="H92" i="10"/>
  <c r="N92" i="10" s="1"/>
  <c r="A99" i="10"/>
  <c r="A98" i="10"/>
  <c r="A97" i="10"/>
  <c r="A96" i="10"/>
  <c r="A95" i="10"/>
  <c r="A94" i="10"/>
  <c r="A93" i="10"/>
  <c r="A92" i="10"/>
  <c r="A88" i="10"/>
  <c r="A87" i="10"/>
  <c r="A86" i="10"/>
  <c r="A85" i="10"/>
  <c r="A84" i="10"/>
  <c r="A83" i="10"/>
  <c r="A82" i="10"/>
  <c r="A81" i="10"/>
  <c r="F76" i="10"/>
  <c r="L76" i="10" s="1"/>
  <c r="G76" i="10"/>
  <c r="M76" i="10" s="1"/>
  <c r="H76" i="10"/>
  <c r="N76" i="10" s="1"/>
  <c r="A77" i="10"/>
  <c r="A76" i="10"/>
  <c r="A75" i="10"/>
  <c r="A74" i="10"/>
  <c r="A73" i="10"/>
  <c r="A72" i="10"/>
  <c r="A71" i="10"/>
  <c r="A70" i="10"/>
  <c r="P4" i="10"/>
  <c r="P5" i="10" s="1"/>
  <c r="P41" i="10" s="1"/>
  <c r="F97" i="10" s="1"/>
  <c r="D28" i="12" s="1"/>
  <c r="Q4" i="10"/>
  <c r="Q5" i="10" s="1"/>
  <c r="Q41" i="10" s="1"/>
  <c r="G97" i="10" s="1"/>
  <c r="R4" i="10"/>
  <c r="R5" i="10" s="1"/>
  <c r="R41" i="10" s="1"/>
  <c r="H97" i="10" s="1"/>
  <c r="N97" i="10" s="1"/>
  <c r="O4" i="10"/>
  <c r="L4" i="10"/>
  <c r="L5" i="10" s="1"/>
  <c r="L41" i="10" s="1"/>
  <c r="F86" i="10" s="1"/>
  <c r="M4" i="10"/>
  <c r="M5" i="10" s="1"/>
  <c r="M41" i="10" s="1"/>
  <c r="G86" i="10" s="1"/>
  <c r="D18" i="12" s="1"/>
  <c r="N4" i="10"/>
  <c r="N5" i="10" s="1"/>
  <c r="N41" i="10" s="1"/>
  <c r="H86" i="10" s="1"/>
  <c r="N86" i="10" s="1"/>
  <c r="K4" i="10"/>
  <c r="H7" i="10"/>
  <c r="H16" i="10" s="1"/>
  <c r="F71" i="10" s="1"/>
  <c r="L71" i="10" s="1"/>
  <c r="I7" i="10"/>
  <c r="I16" i="10" s="1"/>
  <c r="G71" i="10" s="1"/>
  <c r="M71" i="10" s="1"/>
  <c r="J7" i="10"/>
  <c r="J16" i="10" s="1"/>
  <c r="H71" i="10" s="1"/>
  <c r="N71" i="10" s="1"/>
  <c r="K7" i="10"/>
  <c r="K16" i="10" s="1"/>
  <c r="B82" i="10" s="1"/>
  <c r="K82" i="10" s="1"/>
  <c r="L7" i="10"/>
  <c r="L16" i="10" s="1"/>
  <c r="F82" i="10" s="1"/>
  <c r="M7" i="10"/>
  <c r="M16" i="10" s="1"/>
  <c r="G82" i="10" s="1"/>
  <c r="D14" i="12" s="1"/>
  <c r="N7" i="10"/>
  <c r="N16" i="10" s="1"/>
  <c r="H82" i="10" s="1"/>
  <c r="N82" i="10" s="1"/>
  <c r="O7" i="10"/>
  <c r="O16" i="10" s="1"/>
  <c r="B93" i="10" s="1"/>
  <c r="K93" i="10" s="1"/>
  <c r="P7" i="10"/>
  <c r="P16" i="10" s="1"/>
  <c r="F93" i="10" s="1"/>
  <c r="Q7" i="10"/>
  <c r="Q16" i="10" s="1"/>
  <c r="G93" i="10" s="1"/>
  <c r="R7" i="10"/>
  <c r="R16" i="10" s="1"/>
  <c r="H93" i="10" s="1"/>
  <c r="N93" i="10" s="1"/>
  <c r="G7" i="10"/>
  <c r="G16" i="10" s="1"/>
  <c r="B71" i="10" s="1"/>
  <c r="K71" i="10" s="1"/>
  <c r="H4" i="10"/>
  <c r="H5" i="10" s="1"/>
  <c r="H41" i="10" s="1"/>
  <c r="F75" i="10" s="1"/>
  <c r="L75" i="10" s="1"/>
  <c r="I4" i="10"/>
  <c r="I5" i="10" s="1"/>
  <c r="I41" i="10" s="1"/>
  <c r="G75" i="10" s="1"/>
  <c r="M75" i="10" s="1"/>
  <c r="J4" i="10"/>
  <c r="J5" i="10" s="1"/>
  <c r="J41" i="10" s="1"/>
  <c r="H75" i="10" s="1"/>
  <c r="N75" i="10" s="1"/>
  <c r="G4" i="10"/>
  <c r="J55" i="10"/>
  <c r="J57" i="10" s="1"/>
  <c r="J31" i="10"/>
  <c r="J28" i="10"/>
  <c r="H74" i="10" s="1"/>
  <c r="N74" i="10" s="1"/>
  <c r="J23" i="10"/>
  <c r="H73" i="10" s="1"/>
  <c r="N73" i="10" s="1"/>
  <c r="H70" i="10"/>
  <c r="N70" i="10" s="1"/>
  <c r="J18" i="10"/>
  <c r="I55" i="10"/>
  <c r="I57" i="10" s="1"/>
  <c r="I31" i="10"/>
  <c r="I28" i="10"/>
  <c r="G74" i="10" s="1"/>
  <c r="M74" i="10" s="1"/>
  <c r="I23" i="10"/>
  <c r="G73" i="10" s="1"/>
  <c r="M73" i="10" s="1"/>
  <c r="G70" i="10"/>
  <c r="M70" i="10" s="1"/>
  <c r="I18" i="10"/>
  <c r="H55" i="10"/>
  <c r="H57" i="10" s="1"/>
  <c r="H31" i="10"/>
  <c r="H28" i="10"/>
  <c r="F74" i="10" s="1"/>
  <c r="L74" i="10" s="1"/>
  <c r="H23" i="10"/>
  <c r="F73" i="10" s="1"/>
  <c r="L73" i="10" s="1"/>
  <c r="F70" i="10"/>
  <c r="L70" i="10" s="1"/>
  <c r="H18" i="10"/>
  <c r="R55" i="10"/>
  <c r="R57" i="10" s="1"/>
  <c r="R31" i="10"/>
  <c r="R28" i="10"/>
  <c r="H96" i="10" s="1"/>
  <c r="N96" i="10" s="1"/>
  <c r="R23" i="10"/>
  <c r="H95" i="10" s="1"/>
  <c r="N95" i="10" s="1"/>
  <c r="R18" i="10"/>
  <c r="Q55" i="10"/>
  <c r="Q57" i="10" s="1"/>
  <c r="G98" i="10"/>
  <c r="Q31" i="10"/>
  <c r="Q28" i="10"/>
  <c r="G96" i="10" s="1"/>
  <c r="Q23" i="10"/>
  <c r="G95" i="10" s="1"/>
  <c r="Q18" i="10"/>
  <c r="P55" i="10"/>
  <c r="P57" i="10" s="1"/>
  <c r="F98" i="10"/>
  <c r="P31" i="10"/>
  <c r="P28" i="10"/>
  <c r="F96" i="10" s="1"/>
  <c r="P23" i="10"/>
  <c r="F95" i="10" s="1"/>
  <c r="P18" i="10"/>
  <c r="N55" i="10"/>
  <c r="N57" i="10" s="1"/>
  <c r="H87" i="10"/>
  <c r="N87" i="10" s="1"/>
  <c r="N31" i="10"/>
  <c r="N28" i="10"/>
  <c r="H85" i="10" s="1"/>
  <c r="N85" i="10" s="1"/>
  <c r="N23" i="10"/>
  <c r="H84" i="10" s="1"/>
  <c r="N84" i="10" s="1"/>
  <c r="N18" i="10"/>
  <c r="M55" i="10"/>
  <c r="M57" i="10" s="1"/>
  <c r="G87" i="10"/>
  <c r="D19" i="12" s="1"/>
  <c r="M31" i="10"/>
  <c r="M28" i="10"/>
  <c r="G85" i="10" s="1"/>
  <c r="D17" i="12" s="1"/>
  <c r="M23" i="10"/>
  <c r="G84" i="10" s="1"/>
  <c r="D16" i="12" s="1"/>
  <c r="M18" i="10"/>
  <c r="L55" i="10"/>
  <c r="L57" i="10" s="1"/>
  <c r="F87" i="10"/>
  <c r="L31" i="10"/>
  <c r="L28" i="10"/>
  <c r="F85" i="10" s="1"/>
  <c r="L23" i="10"/>
  <c r="F84" i="10" s="1"/>
  <c r="L18" i="10"/>
  <c r="K55" i="10"/>
  <c r="K57" i="10" s="1"/>
  <c r="K56" i="10" s="1"/>
  <c r="O55" i="10"/>
  <c r="O57" i="10" s="1"/>
  <c r="O56" i="10" s="1"/>
  <c r="G55" i="10"/>
  <c r="G57" i="10" s="1"/>
  <c r="G56" i="10" s="1"/>
  <c r="B70" i="10"/>
  <c r="K70" i="10" s="1"/>
  <c r="T48" i="3"/>
  <c r="T50" i="3" s="1"/>
  <c r="T42" i="3"/>
  <c r="T46" i="3" s="1"/>
  <c r="T41" i="3"/>
  <c r="H94" i="3" s="1"/>
  <c r="O94" i="3" s="1"/>
  <c r="T39" i="3"/>
  <c r="T31" i="3"/>
  <c r="T20" i="3"/>
  <c r="T8" i="3"/>
  <c r="T15" i="3" s="1"/>
  <c r="T3" i="3"/>
  <c r="J48" i="3"/>
  <c r="J50" i="3" s="1"/>
  <c r="J41" i="3"/>
  <c r="H74" i="3" s="1"/>
  <c r="J39" i="3"/>
  <c r="J36" i="3"/>
  <c r="J37" i="3" s="1"/>
  <c r="J8" i="3"/>
  <c r="J15" i="3" s="1"/>
  <c r="J3" i="3"/>
  <c r="O48" i="3"/>
  <c r="O50" i="3" s="1"/>
  <c r="O42" i="3"/>
  <c r="O46" i="3" s="1"/>
  <c r="O41" i="3"/>
  <c r="H84" i="3" s="1"/>
  <c r="O84" i="3" s="1"/>
  <c r="O39" i="3"/>
  <c r="O36" i="3"/>
  <c r="O37" i="3" s="1"/>
  <c r="O31" i="3"/>
  <c r="O20" i="3"/>
  <c r="O8" i="3"/>
  <c r="O15" i="3" s="1"/>
  <c r="O3" i="3"/>
  <c r="H8" i="3"/>
  <c r="H15" i="3" s="1"/>
  <c r="I8" i="3"/>
  <c r="I15" i="3" s="1"/>
  <c r="K8" i="3"/>
  <c r="K15" i="3" s="1"/>
  <c r="L8" i="3"/>
  <c r="L15" i="3" s="1"/>
  <c r="M8" i="3"/>
  <c r="M15" i="3" s="1"/>
  <c r="N8" i="3"/>
  <c r="N15" i="3" s="1"/>
  <c r="P8" i="3"/>
  <c r="P15" i="3" s="1"/>
  <c r="Q8" i="3"/>
  <c r="Q15" i="3" s="1"/>
  <c r="R8" i="3"/>
  <c r="R15" i="3" s="1"/>
  <c r="S8" i="3"/>
  <c r="S15" i="3" s="1"/>
  <c r="U8" i="3"/>
  <c r="U15" i="3" s="1"/>
  <c r="G8" i="3"/>
  <c r="G15" i="3" s="1"/>
  <c r="H48" i="3"/>
  <c r="I48" i="3"/>
  <c r="K48" i="3"/>
  <c r="L48" i="3"/>
  <c r="M48" i="3"/>
  <c r="N48" i="3"/>
  <c r="P48" i="3"/>
  <c r="Q48" i="3"/>
  <c r="R48" i="3"/>
  <c r="S48" i="3"/>
  <c r="U48" i="3"/>
  <c r="G48" i="3"/>
  <c r="O40" i="4"/>
  <c r="P40" i="4"/>
  <c r="Q40" i="4"/>
  <c r="N40" i="4"/>
  <c r="N8" i="4"/>
  <c r="N15" i="4" s="1"/>
  <c r="O8" i="4"/>
  <c r="O15" i="4" s="1"/>
  <c r="P8" i="4"/>
  <c r="P15" i="4" s="1"/>
  <c r="Q8" i="4"/>
  <c r="Q15" i="4" s="1"/>
  <c r="K8" i="4"/>
  <c r="K15" i="4" s="1"/>
  <c r="L8" i="4"/>
  <c r="L15" i="4" s="1"/>
  <c r="M8" i="4"/>
  <c r="M15" i="4" s="1"/>
  <c r="J8" i="4"/>
  <c r="J15" i="4" s="1"/>
  <c r="K40" i="4"/>
  <c r="L40" i="4"/>
  <c r="M40" i="4"/>
  <c r="J40" i="4"/>
  <c r="G8" i="4"/>
  <c r="G15" i="4" s="1"/>
  <c r="H8" i="4"/>
  <c r="H15" i="4" s="1"/>
  <c r="I8" i="4"/>
  <c r="I15" i="4" s="1"/>
  <c r="F8" i="4"/>
  <c r="F15" i="4" s="1"/>
  <c r="G40" i="4"/>
  <c r="H40" i="4"/>
  <c r="I40" i="4"/>
  <c r="F40" i="4"/>
  <c r="O12" i="3" l="1"/>
  <c r="H79" i="3" s="1"/>
  <c r="O79" i="3" s="1"/>
  <c r="H80" i="3"/>
  <c r="O80" i="3" s="1"/>
  <c r="T12" i="3"/>
  <c r="H90" i="3"/>
  <c r="O90" i="3" s="1"/>
  <c r="H75" i="3"/>
  <c r="O75" i="3" s="1"/>
  <c r="J12" i="3"/>
  <c r="H69" i="3" s="1"/>
  <c r="H70" i="3"/>
  <c r="O70" i="3" s="1"/>
  <c r="E64" i="10"/>
  <c r="D64" i="10"/>
  <c r="C28" i="14"/>
  <c r="H89" i="3"/>
  <c r="O89" i="3" s="1"/>
  <c r="O74" i="3"/>
  <c r="C8" i="12"/>
  <c r="B106" i="17" s="1"/>
  <c r="C64" i="10"/>
  <c r="B25" i="14"/>
  <c r="J98" i="10"/>
  <c r="L86" i="10"/>
  <c r="L95" i="10"/>
  <c r="D26" i="12"/>
  <c r="L96" i="10"/>
  <c r="D27" i="12"/>
  <c r="L81" i="10"/>
  <c r="L93" i="10"/>
  <c r="D24" i="12"/>
  <c r="L84" i="10"/>
  <c r="L92" i="10"/>
  <c r="D23" i="12"/>
  <c r="L85" i="10"/>
  <c r="L87" i="10"/>
  <c r="L82" i="10"/>
  <c r="L98" i="10"/>
  <c r="D29" i="12"/>
  <c r="M82" i="10"/>
  <c r="J95" i="10"/>
  <c r="J88" i="10"/>
  <c r="D7" i="12"/>
  <c r="J97" i="10"/>
  <c r="M84" i="10"/>
  <c r="D4" i="12"/>
  <c r="M85" i="10"/>
  <c r="M93" i="10"/>
  <c r="M96" i="10"/>
  <c r="M97" i="10"/>
  <c r="M92" i="10"/>
  <c r="M95" i="10"/>
  <c r="M86" i="10"/>
  <c r="M98" i="10"/>
  <c r="M87" i="10"/>
  <c r="D6" i="12"/>
  <c r="L97" i="10"/>
  <c r="M81" i="10"/>
  <c r="D3" i="12"/>
  <c r="D9" i="12"/>
  <c r="D8" i="12"/>
  <c r="J85" i="10"/>
  <c r="J83" i="10"/>
  <c r="J82" i="10"/>
  <c r="J81" i="10"/>
  <c r="Q32" i="10"/>
  <c r="J32" i="10"/>
  <c r="H32" i="10"/>
  <c r="L32" i="10"/>
  <c r="M32" i="10"/>
  <c r="J21" i="10"/>
  <c r="H72" i="10" s="1"/>
  <c r="N72" i="10" s="1"/>
  <c r="N32" i="10"/>
  <c r="J56" i="10"/>
  <c r="J59" i="10"/>
  <c r="J60" i="10" s="1"/>
  <c r="H77" i="10" s="1"/>
  <c r="N77" i="10" s="1"/>
  <c r="I21" i="10"/>
  <c r="L21" i="10"/>
  <c r="H21" i="10"/>
  <c r="N21" i="10"/>
  <c r="M21" i="10"/>
  <c r="P32" i="10"/>
  <c r="I32" i="10"/>
  <c r="I59" i="10"/>
  <c r="I60" i="10" s="1"/>
  <c r="G77" i="10" s="1"/>
  <c r="M77" i="10" s="1"/>
  <c r="I56" i="10"/>
  <c r="H59" i="10"/>
  <c r="H60" i="10" s="1"/>
  <c r="F77" i="10" s="1"/>
  <c r="H56" i="10"/>
  <c r="Q21" i="10"/>
  <c r="R21" i="10"/>
  <c r="P21" i="10"/>
  <c r="R32" i="10"/>
  <c r="R59" i="10"/>
  <c r="R60" i="10" s="1"/>
  <c r="H99" i="10" s="1"/>
  <c r="N99" i="10" s="1"/>
  <c r="R56" i="10"/>
  <c r="Q59" i="10"/>
  <c r="Q60" i="10" s="1"/>
  <c r="G99" i="10" s="1"/>
  <c r="Q56" i="10"/>
  <c r="P59" i="10"/>
  <c r="P60" i="10" s="1"/>
  <c r="F99" i="10" s="1"/>
  <c r="D30" i="12" s="1"/>
  <c r="P56" i="10"/>
  <c r="N59" i="10"/>
  <c r="N60" i="10" s="1"/>
  <c r="H88" i="10" s="1"/>
  <c r="N88" i="10" s="1"/>
  <c r="N56" i="10"/>
  <c r="M59" i="10"/>
  <c r="M60" i="10" s="1"/>
  <c r="G88" i="10" s="1"/>
  <c r="D20" i="12" s="1"/>
  <c r="M56" i="10"/>
  <c r="L59" i="10"/>
  <c r="L60" i="10" s="1"/>
  <c r="F88" i="10" s="1"/>
  <c r="L56" i="10"/>
  <c r="T23" i="3"/>
  <c r="H92" i="3" s="1"/>
  <c r="O92" i="3" s="1"/>
  <c r="T27" i="3"/>
  <c r="H93" i="3" s="1"/>
  <c r="O93" i="3" s="1"/>
  <c r="O16" i="3"/>
  <c r="O19" i="3" s="1"/>
  <c r="H95" i="3"/>
  <c r="O95" i="3" s="1"/>
  <c r="T52" i="3"/>
  <c r="T53" i="3" s="1"/>
  <c r="H96" i="3" s="1"/>
  <c r="O96" i="3" s="1"/>
  <c r="T49" i="3"/>
  <c r="T6" i="3"/>
  <c r="J16" i="3"/>
  <c r="J19" i="3" s="1"/>
  <c r="H71" i="3" s="1"/>
  <c r="J49" i="3"/>
  <c r="J52" i="3"/>
  <c r="J53" i="3" s="1"/>
  <c r="H76" i="3" s="1"/>
  <c r="J23" i="3"/>
  <c r="H72" i="3" s="1"/>
  <c r="J6" i="3"/>
  <c r="J27" i="3"/>
  <c r="H73" i="3" s="1"/>
  <c r="O23" i="3"/>
  <c r="H82" i="3" s="1"/>
  <c r="O82" i="3" s="1"/>
  <c r="O27" i="3"/>
  <c r="H83" i="3" s="1"/>
  <c r="O83" i="3" s="1"/>
  <c r="H85" i="3"/>
  <c r="O85" i="3" s="1"/>
  <c r="O52" i="3"/>
  <c r="O53" i="3" s="1"/>
  <c r="H86" i="3" s="1"/>
  <c r="O86" i="3" s="1"/>
  <c r="O49" i="3"/>
  <c r="O6" i="3"/>
  <c r="H22" i="12"/>
  <c r="H12" i="12"/>
  <c r="I78" i="4"/>
  <c r="J78" i="4"/>
  <c r="K78" i="4"/>
  <c r="L78" i="4"/>
  <c r="B78" i="4"/>
  <c r="E78" i="4"/>
  <c r="F78" i="4"/>
  <c r="G78" i="4"/>
  <c r="I68" i="4"/>
  <c r="J68" i="4"/>
  <c r="K68" i="4"/>
  <c r="L68" i="4"/>
  <c r="B68" i="4"/>
  <c r="E68" i="4"/>
  <c r="F68" i="4"/>
  <c r="G68" i="4"/>
  <c r="H2" i="12"/>
  <c r="I22" i="12"/>
  <c r="I2" i="12"/>
  <c r="K96" i="3"/>
  <c r="K95" i="3"/>
  <c r="K94" i="3"/>
  <c r="K93" i="3"/>
  <c r="K92" i="3"/>
  <c r="K91" i="3"/>
  <c r="K90" i="3"/>
  <c r="K89" i="3"/>
  <c r="A96" i="3"/>
  <c r="A95" i="3"/>
  <c r="A94" i="3"/>
  <c r="A93" i="3"/>
  <c r="A92" i="3"/>
  <c r="A91" i="3"/>
  <c r="A90" i="3"/>
  <c r="A89" i="3"/>
  <c r="K86" i="3"/>
  <c r="K85" i="3"/>
  <c r="K84" i="3"/>
  <c r="K83" i="3"/>
  <c r="K82" i="3"/>
  <c r="K81" i="3"/>
  <c r="K80" i="3"/>
  <c r="K79" i="3"/>
  <c r="A86" i="3"/>
  <c r="A85" i="3"/>
  <c r="A84" i="3"/>
  <c r="A83" i="3"/>
  <c r="A82" i="3"/>
  <c r="A81" i="3"/>
  <c r="A80" i="3"/>
  <c r="A79" i="3"/>
  <c r="A76" i="3"/>
  <c r="K76" i="3" s="1"/>
  <c r="A75" i="3"/>
  <c r="K75" i="3" s="1"/>
  <c r="A74" i="3"/>
  <c r="K74" i="3" s="1"/>
  <c r="A73" i="3"/>
  <c r="K73" i="3" s="1"/>
  <c r="A72" i="3"/>
  <c r="K72" i="3" s="1"/>
  <c r="A71" i="3"/>
  <c r="K71" i="3" s="1"/>
  <c r="A70" i="3"/>
  <c r="K70" i="3" s="1"/>
  <c r="A69" i="3"/>
  <c r="K69" i="3" s="1"/>
  <c r="C4" i="12" l="1"/>
  <c r="B102" i="17" s="1"/>
  <c r="C9" i="12"/>
  <c r="B107" i="17" s="1"/>
  <c r="B27" i="14"/>
  <c r="B28" i="14"/>
  <c r="O69" i="3"/>
  <c r="C3" i="12"/>
  <c r="B101" i="17" s="1"/>
  <c r="O76" i="3"/>
  <c r="C10" i="12"/>
  <c r="B108" i="17" s="1"/>
  <c r="O71" i="3"/>
  <c r="C5" i="12"/>
  <c r="B103" i="17" s="1"/>
  <c r="O73" i="3"/>
  <c r="C7" i="12"/>
  <c r="B105" i="17" s="1"/>
  <c r="O72" i="3"/>
  <c r="C6" i="12"/>
  <c r="B104" i="17" s="1"/>
  <c r="M99" i="10"/>
  <c r="L88" i="10"/>
  <c r="J61" i="10"/>
  <c r="J63" i="10" s="1"/>
  <c r="L77" i="10"/>
  <c r="D10" i="12"/>
  <c r="L99" i="10"/>
  <c r="M88" i="10"/>
  <c r="I61" i="10"/>
  <c r="I63" i="10" s="1"/>
  <c r="G72" i="10"/>
  <c r="M72" i="10" s="1"/>
  <c r="L61" i="10"/>
  <c r="L63" i="10" s="1"/>
  <c r="F83" i="10"/>
  <c r="M61" i="10"/>
  <c r="M62" i="10" s="1"/>
  <c r="G83" i="10"/>
  <c r="D15" i="12" s="1"/>
  <c r="Q61" i="10"/>
  <c r="Q63" i="10" s="1"/>
  <c r="G94" i="10"/>
  <c r="N61" i="10"/>
  <c r="N62" i="10" s="1"/>
  <c r="H83" i="10"/>
  <c r="N83" i="10" s="1"/>
  <c r="P61" i="10"/>
  <c r="P62" i="10" s="1"/>
  <c r="F94" i="10"/>
  <c r="D25" i="12" s="1"/>
  <c r="R61" i="10"/>
  <c r="R63" i="10" s="1"/>
  <c r="H94" i="10"/>
  <c r="N94" i="10" s="1"/>
  <c r="H61" i="10"/>
  <c r="H62" i="10" s="1"/>
  <c r="F72" i="10"/>
  <c r="J54" i="3"/>
  <c r="J56" i="3" s="1"/>
  <c r="O54" i="3"/>
  <c r="O55" i="3" s="1"/>
  <c r="H81" i="3"/>
  <c r="O81" i="3" s="1"/>
  <c r="H50" i="3"/>
  <c r="K50" i="3"/>
  <c r="G50" i="3"/>
  <c r="G49" i="3" s="1"/>
  <c r="P50" i="3"/>
  <c r="P42" i="3"/>
  <c r="P46" i="3" s="1"/>
  <c r="P41" i="3"/>
  <c r="P39" i="3"/>
  <c r="P36" i="3"/>
  <c r="P37" i="3" s="1"/>
  <c r="P31" i="3"/>
  <c r="P20" i="3"/>
  <c r="P16" i="3"/>
  <c r="P3" i="3"/>
  <c r="N50" i="3"/>
  <c r="N42" i="3"/>
  <c r="N46" i="3" s="1"/>
  <c r="N41" i="3"/>
  <c r="N39" i="3"/>
  <c r="N36" i="3"/>
  <c r="N37" i="3" s="1"/>
  <c r="N31" i="3"/>
  <c r="N20" i="3"/>
  <c r="T16" i="3" s="1"/>
  <c r="T19" i="3" s="1"/>
  <c r="N16" i="3"/>
  <c r="N3" i="3"/>
  <c r="M50" i="3"/>
  <c r="M42" i="3"/>
  <c r="M46" i="3" s="1"/>
  <c r="M41" i="3"/>
  <c r="M39" i="3"/>
  <c r="M36" i="3"/>
  <c r="M37" i="3" s="1"/>
  <c r="M31" i="3"/>
  <c r="S36" i="3" s="1"/>
  <c r="S37" i="3" s="1"/>
  <c r="M20" i="3"/>
  <c r="M16" i="3"/>
  <c r="M3" i="3"/>
  <c r="U50" i="3"/>
  <c r="U42" i="3"/>
  <c r="U46" i="3" s="1"/>
  <c r="U41" i="3"/>
  <c r="U39" i="3"/>
  <c r="U31" i="3"/>
  <c r="U20" i="3"/>
  <c r="U3" i="3"/>
  <c r="S50" i="3"/>
  <c r="S42" i="3"/>
  <c r="S46" i="3" s="1"/>
  <c r="S41" i="3"/>
  <c r="S39" i="3"/>
  <c r="S31" i="3"/>
  <c r="S20" i="3"/>
  <c r="S3" i="3"/>
  <c r="R50" i="3"/>
  <c r="R42" i="3"/>
  <c r="R46" i="3" s="1"/>
  <c r="R41" i="3"/>
  <c r="R39" i="3"/>
  <c r="R31" i="3"/>
  <c r="R20" i="3"/>
  <c r="R3" i="3"/>
  <c r="Q50" i="3"/>
  <c r="Q42" i="3"/>
  <c r="Q46" i="3" s="1"/>
  <c r="Q41" i="3"/>
  <c r="Q39" i="3"/>
  <c r="Q36" i="3"/>
  <c r="Q37" i="3" s="1"/>
  <c r="Q31" i="3"/>
  <c r="Q20" i="3"/>
  <c r="Q16" i="3"/>
  <c r="Q3" i="3"/>
  <c r="K41" i="3"/>
  <c r="K39" i="3"/>
  <c r="K36" i="3"/>
  <c r="K37" i="3" s="1"/>
  <c r="K16" i="3"/>
  <c r="K3" i="3"/>
  <c r="I50" i="3"/>
  <c r="I41" i="3"/>
  <c r="I39" i="3"/>
  <c r="I36" i="3"/>
  <c r="I37" i="3" s="1"/>
  <c r="I16" i="3"/>
  <c r="I3" i="3"/>
  <c r="H41" i="3"/>
  <c r="H39" i="3"/>
  <c r="H36" i="3"/>
  <c r="H37" i="3" s="1"/>
  <c r="H16" i="3"/>
  <c r="H3" i="3"/>
  <c r="P42" i="4"/>
  <c r="P44" i="4" s="1"/>
  <c r="P45" i="4" s="1"/>
  <c r="F86" i="4" s="1"/>
  <c r="Q42" i="4"/>
  <c r="Q44" i="4" s="1"/>
  <c r="Q45" i="4" s="1"/>
  <c r="G86" i="4" s="1"/>
  <c r="L86" i="4" s="1"/>
  <c r="N42" i="4"/>
  <c r="N41" i="4" s="1"/>
  <c r="I42" i="4"/>
  <c r="F42" i="4"/>
  <c r="F41" i="4" s="1"/>
  <c r="H86" i="4"/>
  <c r="H85" i="4"/>
  <c r="H84" i="4"/>
  <c r="H83" i="4"/>
  <c r="H82" i="4"/>
  <c r="H81" i="4"/>
  <c r="H80" i="4"/>
  <c r="H79" i="4"/>
  <c r="H76" i="4"/>
  <c r="H75" i="4"/>
  <c r="H74" i="4"/>
  <c r="H73" i="4"/>
  <c r="H72" i="4"/>
  <c r="H71" i="4"/>
  <c r="H70" i="4"/>
  <c r="H69" i="4"/>
  <c r="H66" i="4"/>
  <c r="H65" i="4"/>
  <c r="H64" i="4"/>
  <c r="H63" i="4"/>
  <c r="H62" i="4"/>
  <c r="H61" i="4"/>
  <c r="H60" i="4"/>
  <c r="H59" i="4"/>
  <c r="B60" i="4"/>
  <c r="I60" i="4" s="1"/>
  <c r="E60" i="4"/>
  <c r="B4" i="12" s="1"/>
  <c r="B100" i="16" s="1"/>
  <c r="F60" i="4"/>
  <c r="K60" i="4" s="1"/>
  <c r="G60" i="4"/>
  <c r="L60" i="4" s="1"/>
  <c r="B64" i="4"/>
  <c r="I64" i="4" s="1"/>
  <c r="E64" i="4"/>
  <c r="B8" i="12" s="1"/>
  <c r="B104" i="16" s="1"/>
  <c r="F64" i="4"/>
  <c r="K64" i="4" s="1"/>
  <c r="G64" i="4"/>
  <c r="L64" i="4" s="1"/>
  <c r="B65" i="4"/>
  <c r="I65" i="4" s="1"/>
  <c r="E65" i="4"/>
  <c r="F65" i="4"/>
  <c r="K65" i="4" s="1"/>
  <c r="G65" i="4"/>
  <c r="L65" i="4" s="1"/>
  <c r="B58" i="4"/>
  <c r="I58" i="4" s="1"/>
  <c r="E58" i="4"/>
  <c r="J58" i="4" s="1"/>
  <c r="F58" i="4"/>
  <c r="K58" i="4" s="1"/>
  <c r="G58" i="4"/>
  <c r="L58" i="4" s="1"/>
  <c r="A59" i="4"/>
  <c r="A60" i="4"/>
  <c r="B85" i="4"/>
  <c r="I85" i="4" s="1"/>
  <c r="E85" i="4"/>
  <c r="F85" i="4"/>
  <c r="G85" i="4"/>
  <c r="L85" i="4" s="1"/>
  <c r="B84" i="4"/>
  <c r="I84" i="4" s="1"/>
  <c r="E84" i="4"/>
  <c r="F84" i="4"/>
  <c r="G84" i="4"/>
  <c r="L84" i="4" s="1"/>
  <c r="B80" i="4"/>
  <c r="I80" i="4" s="1"/>
  <c r="E80" i="4"/>
  <c r="F80" i="4"/>
  <c r="G80" i="4"/>
  <c r="L80" i="4" s="1"/>
  <c r="A86" i="4"/>
  <c r="A85" i="4"/>
  <c r="A84" i="4"/>
  <c r="A83" i="4"/>
  <c r="A82" i="4"/>
  <c r="A81" i="4"/>
  <c r="A80" i="4"/>
  <c r="A79" i="4"/>
  <c r="B75" i="4"/>
  <c r="E75" i="4"/>
  <c r="B19" i="12" s="1"/>
  <c r="F75" i="4"/>
  <c r="K75" i="4" s="1"/>
  <c r="G75" i="4"/>
  <c r="L75" i="4" s="1"/>
  <c r="B74" i="4"/>
  <c r="I74" i="4" s="1"/>
  <c r="E74" i="4"/>
  <c r="B18" i="12" s="1"/>
  <c r="F74" i="4"/>
  <c r="K74" i="4" s="1"/>
  <c r="G74" i="4"/>
  <c r="L74" i="4" s="1"/>
  <c r="B70" i="4"/>
  <c r="I70" i="4" s="1"/>
  <c r="E70" i="4"/>
  <c r="B14" i="12" s="1"/>
  <c r="F70" i="4"/>
  <c r="K70" i="4" s="1"/>
  <c r="G70" i="4"/>
  <c r="L70" i="4" s="1"/>
  <c r="A76" i="4"/>
  <c r="A75" i="4"/>
  <c r="A74" i="4"/>
  <c r="A73" i="4"/>
  <c r="A72" i="4"/>
  <c r="A71" i="4"/>
  <c r="A70" i="4"/>
  <c r="A69" i="4"/>
  <c r="A66" i="4"/>
  <c r="A65" i="4"/>
  <c r="A64" i="4"/>
  <c r="A63" i="4"/>
  <c r="A62" i="4"/>
  <c r="A61" i="4"/>
  <c r="Q17" i="4"/>
  <c r="Q3" i="4"/>
  <c r="Q12" i="4" s="1"/>
  <c r="P17" i="4"/>
  <c r="P3" i="4"/>
  <c r="P12" i="4" s="1"/>
  <c r="O42" i="4"/>
  <c r="O44" i="4" s="1"/>
  <c r="O45" i="4" s="1"/>
  <c r="E86" i="4" s="1"/>
  <c r="O17" i="4"/>
  <c r="O3" i="4"/>
  <c r="O12" i="4" s="1"/>
  <c r="M42" i="4"/>
  <c r="M44" i="4" s="1"/>
  <c r="M45" i="4" s="1"/>
  <c r="G76" i="4" s="1"/>
  <c r="L76" i="4" s="1"/>
  <c r="M17" i="4"/>
  <c r="M3" i="4"/>
  <c r="M12" i="4" s="1"/>
  <c r="L42" i="4"/>
  <c r="L44" i="4" s="1"/>
  <c r="L45" i="4" s="1"/>
  <c r="F76" i="4" s="1"/>
  <c r="K76" i="4" s="1"/>
  <c r="L17" i="4"/>
  <c r="L3" i="4"/>
  <c r="L12" i="4" s="1"/>
  <c r="K42" i="4"/>
  <c r="K44" i="4" s="1"/>
  <c r="K45" i="4" s="1"/>
  <c r="E76" i="4" s="1"/>
  <c r="B20" i="12" s="1"/>
  <c r="K17" i="4"/>
  <c r="K3" i="4"/>
  <c r="K12" i="4" s="1"/>
  <c r="I3" i="4"/>
  <c r="I12" i="4" s="1"/>
  <c r="I17" i="4"/>
  <c r="Q27" i="4"/>
  <c r="G83" i="4" s="1"/>
  <c r="L83" i="4" s="1"/>
  <c r="H42" i="4"/>
  <c r="H44" i="4" s="1"/>
  <c r="H45" i="4" s="1"/>
  <c r="F66" i="4" s="1"/>
  <c r="K66" i="4" s="1"/>
  <c r="L27" i="4"/>
  <c r="F73" i="4" s="1"/>
  <c r="K73" i="4" s="1"/>
  <c r="H17" i="4"/>
  <c r="H3" i="4"/>
  <c r="H12" i="4" s="1"/>
  <c r="G42" i="4"/>
  <c r="G44" i="4" s="1"/>
  <c r="G45" i="4" s="1"/>
  <c r="E66" i="4" s="1"/>
  <c r="O27" i="4"/>
  <c r="E83" i="4" s="1"/>
  <c r="G17" i="4"/>
  <c r="G3" i="4"/>
  <c r="G12" i="4" s="1"/>
  <c r="L50" i="3"/>
  <c r="L49" i="3" s="1"/>
  <c r="F3" i="3"/>
  <c r="L3" i="3"/>
  <c r="G3" i="3"/>
  <c r="N3" i="4"/>
  <c r="N12" i="4" s="1"/>
  <c r="J3" i="4"/>
  <c r="J12" i="4" s="1"/>
  <c r="F3" i="4"/>
  <c r="F12" i="4" s="1"/>
  <c r="J42" i="4"/>
  <c r="J41" i="4" s="1"/>
  <c r="R6" i="3" l="1"/>
  <c r="R12" i="3"/>
  <c r="F90" i="3"/>
  <c r="M90" i="3" s="1"/>
  <c r="U6" i="3"/>
  <c r="U12" i="3"/>
  <c r="I90" i="3"/>
  <c r="P90" i="3" s="1"/>
  <c r="Q6" i="3"/>
  <c r="Q12" i="3"/>
  <c r="B89" i="3" s="1"/>
  <c r="L89" i="3" s="1"/>
  <c r="B90" i="3"/>
  <c r="L90" i="3" s="1"/>
  <c r="P23" i="3"/>
  <c r="I82" i="3" s="1"/>
  <c r="C16" i="12" s="1"/>
  <c r="P12" i="3"/>
  <c r="I79" i="3" s="1"/>
  <c r="C13" i="12" s="1"/>
  <c r="I80" i="3"/>
  <c r="I12" i="3"/>
  <c r="G70" i="3"/>
  <c r="N70" i="3" s="1"/>
  <c r="N6" i="3"/>
  <c r="N12" i="3"/>
  <c r="G79" i="3" s="1"/>
  <c r="N79" i="3" s="1"/>
  <c r="G80" i="3"/>
  <c r="N80" i="3" s="1"/>
  <c r="S6" i="3"/>
  <c r="S12" i="3"/>
  <c r="G90" i="3"/>
  <c r="G12" i="3"/>
  <c r="B69" i="3" s="1"/>
  <c r="L69" i="3" s="1"/>
  <c r="B70" i="3"/>
  <c r="L70" i="3" s="1"/>
  <c r="L12" i="3"/>
  <c r="B79" i="3" s="1"/>
  <c r="L79" i="3" s="1"/>
  <c r="B80" i="3"/>
  <c r="L80" i="3" s="1"/>
  <c r="M12" i="3"/>
  <c r="F80" i="3"/>
  <c r="M80" i="3" s="1"/>
  <c r="H12" i="3"/>
  <c r="F70" i="3"/>
  <c r="M70" i="3" s="1"/>
  <c r="K12" i="3"/>
  <c r="I69" i="3" s="1"/>
  <c r="I70" i="3"/>
  <c r="P70" i="3" s="1"/>
  <c r="F89" i="3"/>
  <c r="M89" i="3" s="1"/>
  <c r="G89" i="3"/>
  <c r="I89" i="3"/>
  <c r="P89" i="3" s="1"/>
  <c r="K80" i="4"/>
  <c r="B24" i="12"/>
  <c r="K85" i="4"/>
  <c r="B29" i="12"/>
  <c r="B69" i="4"/>
  <c r="I69" i="4" s="1"/>
  <c r="K84" i="4"/>
  <c r="B28" i="12"/>
  <c r="K86" i="4"/>
  <c r="B30" i="12"/>
  <c r="H4" i="4"/>
  <c r="F59" i="4"/>
  <c r="K59" i="4" s="1"/>
  <c r="O23" i="4"/>
  <c r="E82" i="4" s="1"/>
  <c r="K23" i="4"/>
  <c r="E72" i="4" s="1"/>
  <c r="B16" i="12" s="1"/>
  <c r="E69" i="4"/>
  <c r="B13" i="12" s="1"/>
  <c r="L23" i="4"/>
  <c r="F72" i="4" s="1"/>
  <c r="K72" i="4" s="1"/>
  <c r="F69" i="4"/>
  <c r="K69" i="4" s="1"/>
  <c r="P6" i="4"/>
  <c r="F79" i="4"/>
  <c r="G23" i="4"/>
  <c r="E62" i="4" s="1"/>
  <c r="J62" i="4" s="1"/>
  <c r="E59" i="4"/>
  <c r="M23" i="4"/>
  <c r="G72" i="4" s="1"/>
  <c r="L72" i="4" s="1"/>
  <c r="G69" i="4"/>
  <c r="L69" i="4" s="1"/>
  <c r="I6" i="4"/>
  <c r="G59" i="4"/>
  <c r="L59" i="4" s="1"/>
  <c r="M94" i="10"/>
  <c r="P63" i="10"/>
  <c r="L83" i="10"/>
  <c r="J62" i="10"/>
  <c r="M63" i="10"/>
  <c r="J55" i="3"/>
  <c r="O56" i="3"/>
  <c r="I75" i="4"/>
  <c r="R62" i="10"/>
  <c r="N63" i="10"/>
  <c r="L72" i="10"/>
  <c r="D5" i="12"/>
  <c r="I62" i="10"/>
  <c r="L94" i="10"/>
  <c r="M83" i="10"/>
  <c r="H63" i="10"/>
  <c r="L62" i="10"/>
  <c r="Q62" i="10"/>
  <c r="T54" i="3"/>
  <c r="T56" i="3" s="1"/>
  <c r="H91" i="3"/>
  <c r="O91" i="3" s="1"/>
  <c r="U36" i="3"/>
  <c r="U37" i="3" s="1"/>
  <c r="T36" i="3"/>
  <c r="T37" i="3" s="1"/>
  <c r="G69" i="3"/>
  <c r="N69" i="3" s="1"/>
  <c r="F69" i="3"/>
  <c r="M69" i="3" s="1"/>
  <c r="M27" i="3"/>
  <c r="F83" i="3" s="1"/>
  <c r="M83" i="3" s="1"/>
  <c r="B59" i="4"/>
  <c r="I59" i="4" s="1"/>
  <c r="K27" i="4"/>
  <c r="E73" i="4" s="1"/>
  <c r="B17" i="12" s="1"/>
  <c r="G41" i="4"/>
  <c r="I44" i="4"/>
  <c r="I45" i="4" s="1"/>
  <c r="G66" i="4" s="1"/>
  <c r="L66" i="4" s="1"/>
  <c r="I41" i="4"/>
  <c r="J84" i="4"/>
  <c r="J65" i="4"/>
  <c r="B9" i="12"/>
  <c r="B105" i="16" s="1"/>
  <c r="J76" i="4"/>
  <c r="J75" i="4"/>
  <c r="J85" i="4"/>
  <c r="J83" i="4"/>
  <c r="J60" i="4"/>
  <c r="J66" i="4"/>
  <c r="B10" i="12"/>
  <c r="B106" i="16" s="1"/>
  <c r="J70" i="4"/>
  <c r="J74" i="4"/>
  <c r="J80" i="4"/>
  <c r="M27" i="4"/>
  <c r="G73" i="4" s="1"/>
  <c r="L73" i="4" s="1"/>
  <c r="J64" i="4"/>
  <c r="J86" i="4"/>
  <c r="B94" i="3"/>
  <c r="L94" i="3" s="1"/>
  <c r="G94" i="3"/>
  <c r="C28" i="12" s="1"/>
  <c r="F94" i="3"/>
  <c r="I94" i="3"/>
  <c r="F84" i="3"/>
  <c r="M84" i="3" s="1"/>
  <c r="G84" i="3"/>
  <c r="N84" i="3" s="1"/>
  <c r="I84" i="3"/>
  <c r="C18" i="12" s="1"/>
  <c r="F79" i="3"/>
  <c r="M79" i="3" s="1"/>
  <c r="F74" i="3"/>
  <c r="M74" i="3" s="1"/>
  <c r="I75" i="3"/>
  <c r="I74" i="3"/>
  <c r="G74" i="3"/>
  <c r="N74" i="3" s="1"/>
  <c r="G75" i="3"/>
  <c r="N75" i="3" s="1"/>
  <c r="F75" i="3"/>
  <c r="M75" i="3" s="1"/>
  <c r="B79" i="4"/>
  <c r="I79" i="4" s="1"/>
  <c r="N27" i="3"/>
  <c r="N19" i="3"/>
  <c r="P27" i="3"/>
  <c r="H27" i="3"/>
  <c r="K27" i="3"/>
  <c r="Q19" i="3"/>
  <c r="S16" i="3"/>
  <c r="S19" i="3" s="1"/>
  <c r="Q27" i="3"/>
  <c r="S27" i="3"/>
  <c r="P19" i="3"/>
  <c r="I19" i="3"/>
  <c r="G71" i="3" s="1"/>
  <c r="N71" i="3" s="1"/>
  <c r="K19" i="3"/>
  <c r="I27" i="3"/>
  <c r="P52" i="3"/>
  <c r="P53" i="3" s="1"/>
  <c r="I86" i="3" s="1"/>
  <c r="C20" i="12" s="1"/>
  <c r="P49" i="3"/>
  <c r="P6" i="3"/>
  <c r="N52" i="3"/>
  <c r="N53" i="3" s="1"/>
  <c r="G86" i="3" s="1"/>
  <c r="N49" i="3"/>
  <c r="U16" i="3"/>
  <c r="U19" i="3" s="1"/>
  <c r="N23" i="3"/>
  <c r="U27" i="3"/>
  <c r="M6" i="3"/>
  <c r="M23" i="3"/>
  <c r="M19" i="3"/>
  <c r="M49" i="3"/>
  <c r="M52" i="3"/>
  <c r="M53" i="3" s="1"/>
  <c r="F86" i="3" s="1"/>
  <c r="U49" i="3"/>
  <c r="U52" i="3"/>
  <c r="U53" i="3" s="1"/>
  <c r="I96" i="3" s="1"/>
  <c r="U23" i="3"/>
  <c r="S52" i="3"/>
  <c r="S53" i="3" s="1"/>
  <c r="G96" i="3" s="1"/>
  <c r="C30" i="12" s="1"/>
  <c r="S49" i="3"/>
  <c r="S23" i="3"/>
  <c r="R52" i="3"/>
  <c r="R53" i="3" s="1"/>
  <c r="F96" i="3" s="1"/>
  <c r="R49" i="3"/>
  <c r="R23" i="3"/>
  <c r="Q49" i="3"/>
  <c r="Q52" i="3"/>
  <c r="Q53" i="3" s="1"/>
  <c r="B96" i="3" s="1"/>
  <c r="Q23" i="3"/>
  <c r="K52" i="3"/>
  <c r="K53" i="3" s="1"/>
  <c r="I76" i="3" s="1"/>
  <c r="K49" i="3"/>
  <c r="K6" i="3"/>
  <c r="H19" i="3"/>
  <c r="F71" i="3" s="1"/>
  <c r="M71" i="3" s="1"/>
  <c r="K23" i="3"/>
  <c r="I52" i="3"/>
  <c r="I53" i="3" s="1"/>
  <c r="G76" i="3" s="1"/>
  <c r="N76" i="3" s="1"/>
  <c r="I49" i="3"/>
  <c r="I6" i="3"/>
  <c r="I23" i="3"/>
  <c r="G72" i="3" s="1"/>
  <c r="N72" i="3" s="1"/>
  <c r="H49" i="3"/>
  <c r="H52" i="3"/>
  <c r="H53" i="3" s="1"/>
  <c r="F76" i="3" s="1"/>
  <c r="M76" i="3" s="1"/>
  <c r="H6" i="3"/>
  <c r="H23" i="3"/>
  <c r="F72" i="3" s="1"/>
  <c r="M72" i="3" s="1"/>
  <c r="P41" i="4"/>
  <c r="O41" i="4"/>
  <c r="Q41" i="4"/>
  <c r="H41" i="4"/>
  <c r="G79" i="4"/>
  <c r="L79" i="4" s="1"/>
  <c r="M41" i="4"/>
  <c r="I27" i="4"/>
  <c r="G63" i="4" s="1"/>
  <c r="L63" i="4" s="1"/>
  <c r="L41" i="4"/>
  <c r="K41" i="4"/>
  <c r="H27" i="4"/>
  <c r="F63" i="4" s="1"/>
  <c r="K63" i="4" s="1"/>
  <c r="P27" i="4"/>
  <c r="F83" i="4" s="1"/>
  <c r="G27" i="4"/>
  <c r="E63" i="4" s="1"/>
  <c r="O19" i="4"/>
  <c r="E81" i="4" s="1"/>
  <c r="I19" i="4"/>
  <c r="G61" i="4" s="1"/>
  <c r="L61" i="4" s="1"/>
  <c r="I4" i="4"/>
  <c r="O6" i="4"/>
  <c r="Q23" i="4"/>
  <c r="G82" i="4" s="1"/>
  <c r="L82" i="4" s="1"/>
  <c r="P4" i="4"/>
  <c r="L4" i="4"/>
  <c r="L6" i="4"/>
  <c r="M19" i="4"/>
  <c r="G71" i="4" s="1"/>
  <c r="L71" i="4" s="1"/>
  <c r="M6" i="4"/>
  <c r="P19" i="4"/>
  <c r="F81" i="4" s="1"/>
  <c r="L19" i="4"/>
  <c r="F71" i="4" s="1"/>
  <c r="K71" i="4" s="1"/>
  <c r="P23" i="4"/>
  <c r="F82" i="4" s="1"/>
  <c r="Q4" i="4"/>
  <c r="Q6" i="4"/>
  <c r="Q19" i="4"/>
  <c r="O4" i="4"/>
  <c r="M4" i="4"/>
  <c r="H19" i="4"/>
  <c r="F61" i="4" s="1"/>
  <c r="K61" i="4" s="1"/>
  <c r="I23" i="4"/>
  <c r="G62" i="4" s="1"/>
  <c r="L62" i="4" s="1"/>
  <c r="K6" i="4"/>
  <c r="K4" i="4"/>
  <c r="K19" i="4"/>
  <c r="E71" i="4" s="1"/>
  <c r="B15" i="12" s="1"/>
  <c r="H6" i="4"/>
  <c r="G4" i="4"/>
  <c r="H23" i="4"/>
  <c r="F62" i="4" s="1"/>
  <c r="K62" i="4" s="1"/>
  <c r="G19" i="4"/>
  <c r="E61" i="4" s="1"/>
  <c r="G6" i="4"/>
  <c r="D12" i="11"/>
  <c r="C12" i="11"/>
  <c r="B12" i="11"/>
  <c r="B11" i="11"/>
  <c r="C24" i="11"/>
  <c r="D23" i="11"/>
  <c r="D24" i="11" s="1"/>
  <c r="B24" i="11"/>
  <c r="C11" i="11"/>
  <c r="D11" i="11"/>
  <c r="N90" i="3" l="1"/>
  <c r="C24" i="12"/>
  <c r="P80" i="3"/>
  <c r="C14" i="12"/>
  <c r="C23" i="12"/>
  <c r="N89" i="3"/>
  <c r="K83" i="4"/>
  <c r="B27" i="12"/>
  <c r="K79" i="4"/>
  <c r="B23" i="12"/>
  <c r="K82" i="4"/>
  <c r="B26" i="12"/>
  <c r="K81" i="4"/>
  <c r="B25" i="12"/>
  <c r="J82" i="4"/>
  <c r="B6" i="12"/>
  <c r="B102" i="16" s="1"/>
  <c r="J72" i="4"/>
  <c r="J73" i="4"/>
  <c r="T55" i="3"/>
  <c r="N94" i="3"/>
  <c r="P84" i="3"/>
  <c r="P94" i="3"/>
  <c r="J63" i="4"/>
  <c r="B7" i="12"/>
  <c r="B103" i="16" s="1"/>
  <c r="J71" i="4"/>
  <c r="J81" i="4"/>
  <c r="J59" i="4"/>
  <c r="B3" i="12"/>
  <c r="B99" i="16" s="1"/>
  <c r="J61" i="4"/>
  <c r="B5" i="12"/>
  <c r="B101" i="16" s="1"/>
  <c r="J69" i="4"/>
  <c r="G93" i="3"/>
  <c r="C27" i="12" s="1"/>
  <c r="P75" i="3"/>
  <c r="M96" i="3"/>
  <c r="F95" i="3"/>
  <c r="M95" i="3" s="1"/>
  <c r="I92" i="3"/>
  <c r="P96" i="3"/>
  <c r="I95" i="3"/>
  <c r="I93" i="3"/>
  <c r="G91" i="3"/>
  <c r="N86" i="3"/>
  <c r="G85" i="3"/>
  <c r="N85" i="3" s="1"/>
  <c r="F92" i="3"/>
  <c r="M92" i="3" s="1"/>
  <c r="G82" i="3"/>
  <c r="N82" i="3" s="1"/>
  <c r="L96" i="3"/>
  <c r="B95" i="3"/>
  <c r="L95" i="3" s="1"/>
  <c r="G81" i="3"/>
  <c r="N81" i="3" s="1"/>
  <c r="I91" i="3"/>
  <c r="B91" i="3"/>
  <c r="L91" i="3" s="1"/>
  <c r="G83" i="3"/>
  <c r="N83" i="3" s="1"/>
  <c r="P79" i="3"/>
  <c r="P76" i="3"/>
  <c r="F81" i="3"/>
  <c r="M81" i="3" s="1"/>
  <c r="B92" i="3"/>
  <c r="L92" i="3" s="1"/>
  <c r="F82" i="3"/>
  <c r="M82" i="3" s="1"/>
  <c r="B93" i="3"/>
  <c r="L93" i="3" s="1"/>
  <c r="I83" i="3"/>
  <c r="C17" i="12" s="1"/>
  <c r="P86" i="3"/>
  <c r="I85" i="3"/>
  <c r="P69" i="3"/>
  <c r="G92" i="3"/>
  <c r="C26" i="12" s="1"/>
  <c r="M86" i="3"/>
  <c r="F85" i="3"/>
  <c r="M85" i="3" s="1"/>
  <c r="I81" i="3"/>
  <c r="C15" i="12" s="1"/>
  <c r="N96" i="3"/>
  <c r="G95" i="3"/>
  <c r="C29" i="12" s="1"/>
  <c r="P74" i="3"/>
  <c r="P82" i="3"/>
  <c r="I71" i="3"/>
  <c r="I73" i="3"/>
  <c r="I72" i="3"/>
  <c r="F73" i="3"/>
  <c r="M73" i="3" s="1"/>
  <c r="G73" i="3"/>
  <c r="N73" i="3" s="1"/>
  <c r="H54" i="3"/>
  <c r="H56" i="3" s="1"/>
  <c r="P54" i="3"/>
  <c r="P55" i="3" s="1"/>
  <c r="N54" i="3"/>
  <c r="N55" i="3" s="1"/>
  <c r="M54" i="3"/>
  <c r="M56" i="3" s="1"/>
  <c r="K54" i="3"/>
  <c r="K56" i="3" s="1"/>
  <c r="S54" i="3"/>
  <c r="S56" i="3" s="1"/>
  <c r="I54" i="3"/>
  <c r="I56" i="3" s="1"/>
  <c r="Q54" i="3"/>
  <c r="Q55" i="3" s="1"/>
  <c r="U54" i="3"/>
  <c r="U56" i="3" s="1"/>
  <c r="Q46" i="4"/>
  <c r="Q47" i="4" s="1"/>
  <c r="G81" i="4"/>
  <c r="L81" i="4" s="1"/>
  <c r="O46" i="4"/>
  <c r="O47" i="4" s="1"/>
  <c r="E79" i="4"/>
  <c r="L46" i="4"/>
  <c r="L48" i="4" s="1"/>
  <c r="I46" i="4"/>
  <c r="I47" i="4" s="1"/>
  <c r="M46" i="4"/>
  <c r="M48" i="4" s="1"/>
  <c r="H46" i="4"/>
  <c r="H47" i="4" s="1"/>
  <c r="K46" i="4"/>
  <c r="K48" i="4" s="1"/>
  <c r="P46" i="4"/>
  <c r="G46" i="4"/>
  <c r="G47" i="4" s="1"/>
  <c r="P16" i="15"/>
  <c r="L16" i="15"/>
  <c r="O4" i="15"/>
  <c r="N91" i="3" l="1"/>
  <c r="C25" i="12"/>
  <c r="N93" i="3"/>
  <c r="N95" i="3"/>
  <c r="N92" i="3"/>
  <c r="P92" i="3"/>
  <c r="L47" i="4"/>
  <c r="J79" i="4"/>
  <c r="P81" i="3"/>
  <c r="P71" i="3"/>
  <c r="P93" i="3"/>
  <c r="P95" i="3"/>
  <c r="P72" i="3"/>
  <c r="C19" i="12"/>
  <c r="P85" i="3"/>
  <c r="P73" i="3"/>
  <c r="P83" i="3"/>
  <c r="P91" i="3"/>
  <c r="P56" i="3"/>
  <c r="N56" i="3"/>
  <c r="Q48" i="4"/>
  <c r="H55" i="3"/>
  <c r="S55" i="3"/>
  <c r="M55" i="3"/>
  <c r="K55" i="3"/>
  <c r="I55" i="3"/>
  <c r="Q56" i="3"/>
  <c r="U55" i="3"/>
  <c r="O48" i="4"/>
  <c r="I48" i="4"/>
  <c r="M47" i="4"/>
  <c r="H48" i="4"/>
  <c r="K47" i="4"/>
  <c r="P47" i="4"/>
  <c r="P48" i="4"/>
  <c r="G48" i="4"/>
  <c r="H29" i="12" l="1"/>
  <c r="H28" i="12"/>
  <c r="H24" i="12"/>
  <c r="H19" i="12"/>
  <c r="H18" i="12"/>
  <c r="H14" i="12"/>
  <c r="H9" i="12"/>
  <c r="H8" i="12"/>
  <c r="H4" i="12"/>
  <c r="I24" i="12"/>
  <c r="I23" i="12"/>
  <c r="I14" i="12"/>
  <c r="I4" i="12"/>
  <c r="J4" i="12"/>
  <c r="J14" i="12"/>
  <c r="J24" i="12"/>
  <c r="J23" i="12"/>
  <c r="I13" i="12"/>
  <c r="J13" i="12"/>
  <c r="J3" i="12"/>
  <c r="I3" i="12"/>
  <c r="H23" i="12"/>
  <c r="H13" i="12"/>
  <c r="H3" i="12"/>
  <c r="I14" i="13" l="1"/>
  <c r="N15" i="13"/>
  <c r="N11" i="13"/>
  <c r="K31" i="10" l="1"/>
  <c r="O31" i="10"/>
  <c r="G31" i="10"/>
  <c r="L41" i="3"/>
  <c r="B84" i="3" s="1"/>
  <c r="I28" i="12"/>
  <c r="G41" i="3"/>
  <c r="B74" i="3" s="1"/>
  <c r="E24" i="4"/>
  <c r="J23" i="4"/>
  <c r="N23" i="4"/>
  <c r="F23" i="4"/>
  <c r="B62" i="4" s="1"/>
  <c r="I62" i="4" s="1"/>
  <c r="G36" i="3"/>
  <c r="G37" i="3" s="1"/>
  <c r="B75" i="3"/>
  <c r="L23" i="3"/>
  <c r="B82" i="3" s="1"/>
  <c r="I26" i="12"/>
  <c r="G23" i="3"/>
  <c r="B72" i="3" s="1"/>
  <c r="L72" i="3" s="1"/>
  <c r="F24" i="3"/>
  <c r="J9" i="12" l="1"/>
  <c r="B76" i="10"/>
  <c r="K76" i="10" s="1"/>
  <c r="J29" i="12"/>
  <c r="B98" i="10"/>
  <c r="K98" i="10" s="1"/>
  <c r="J19" i="12"/>
  <c r="B87" i="10"/>
  <c r="K87" i="10" s="1"/>
  <c r="L74" i="3"/>
  <c r="I18" i="12"/>
  <c r="I16" i="12"/>
  <c r="L82" i="3"/>
  <c r="I9" i="12"/>
  <c r="I6" i="12"/>
  <c r="I8" i="12"/>
  <c r="L75" i="3"/>
  <c r="H26" i="12"/>
  <c r="B82" i="4"/>
  <c r="I82" i="4" s="1"/>
  <c r="H16" i="12"/>
  <c r="B72" i="4"/>
  <c r="I72" i="4" s="1"/>
  <c r="H6" i="12"/>
  <c r="E20" i="4"/>
  <c r="E3" i="14" s="1"/>
  <c r="D19" i="11"/>
  <c r="D14" i="11"/>
  <c r="D7" i="11"/>
  <c r="D8" i="11" s="1"/>
  <c r="C19" i="11"/>
  <c r="B19" i="11"/>
  <c r="C14" i="11"/>
  <c r="B14" i="11"/>
  <c r="C7" i="11"/>
  <c r="C8" i="11" s="1"/>
  <c r="B7" i="11"/>
  <c r="B8" i="11" s="1"/>
  <c r="D15" i="11" l="1"/>
  <c r="D20" i="11" s="1"/>
  <c r="B15" i="11"/>
  <c r="B20" i="11" s="1"/>
  <c r="C15" i="11"/>
  <c r="C20" i="11" s="1"/>
  <c r="G28" i="10"/>
  <c r="J7" i="12" l="1"/>
  <c r="B74" i="10"/>
  <c r="K74" i="10" s="1"/>
  <c r="F29" i="10"/>
  <c r="E23" i="14" s="1"/>
  <c r="O28" i="10"/>
  <c r="F28" i="3"/>
  <c r="E14" i="14" s="1"/>
  <c r="G27" i="3"/>
  <c r="B73" i="3" s="1"/>
  <c r="I27" i="12"/>
  <c r="F27" i="4"/>
  <c r="B63" i="4" s="1"/>
  <c r="I63" i="4" s="1"/>
  <c r="F53" i="10"/>
  <c r="I29" i="12"/>
  <c r="L42" i="3"/>
  <c r="L46" i="3" s="1"/>
  <c r="B85" i="3" l="1"/>
  <c r="L85" i="3" s="1"/>
  <c r="J27" i="12"/>
  <c r="B96" i="10"/>
  <c r="K96" i="10" s="1"/>
  <c r="I19" i="12"/>
  <c r="I7" i="12"/>
  <c r="L73" i="3"/>
  <c r="L27" i="3"/>
  <c r="B83" i="3" s="1"/>
  <c r="R27" i="3"/>
  <c r="H7" i="12"/>
  <c r="K28" i="10"/>
  <c r="F7" i="10"/>
  <c r="F6" i="4"/>
  <c r="J6" i="4"/>
  <c r="N6" i="4"/>
  <c r="E6" i="4"/>
  <c r="F19" i="10"/>
  <c r="E22" i="14" s="1"/>
  <c r="B16" i="2"/>
  <c r="G16" i="3"/>
  <c r="F17" i="4"/>
  <c r="K18" i="10"/>
  <c r="O18" i="10"/>
  <c r="G18" i="10"/>
  <c r="J17" i="12" l="1"/>
  <c r="B85" i="10"/>
  <c r="K85" i="10" s="1"/>
  <c r="F93" i="3"/>
  <c r="M93" i="3" s="1"/>
  <c r="I17" i="12"/>
  <c r="L83" i="3"/>
  <c r="F39" i="10"/>
  <c r="F40" i="10" s="1"/>
  <c r="E24" i="14" s="1"/>
  <c r="E28" i="4"/>
  <c r="E4" i="14" s="1"/>
  <c r="F25" i="10"/>
  <c r="K23" i="10"/>
  <c r="O23" i="10"/>
  <c r="G23" i="10"/>
  <c r="D10" i="5"/>
  <c r="C26" i="5"/>
  <c r="F33" i="10"/>
  <c r="F34" i="10" s="1"/>
  <c r="G59" i="10"/>
  <c r="G60" i="10" s="1"/>
  <c r="O59" i="10"/>
  <c r="O60" i="10" s="1"/>
  <c r="K59" i="10"/>
  <c r="K60" i="10" s="1"/>
  <c r="F45" i="10"/>
  <c r="F43" i="10"/>
  <c r="O5" i="10"/>
  <c r="O41" i="10" s="1"/>
  <c r="K5" i="10"/>
  <c r="K41" i="10" s="1"/>
  <c r="G5" i="10"/>
  <c r="G41" i="10" s="1"/>
  <c r="F5" i="10"/>
  <c r="D12" i="5"/>
  <c r="C28" i="5"/>
  <c r="F28" i="5" s="1"/>
  <c r="E12" i="5"/>
  <c r="F12" i="5"/>
  <c r="D5" i="5"/>
  <c r="E5" i="5"/>
  <c r="F5" i="5"/>
  <c r="C5" i="5"/>
  <c r="E6" i="5"/>
  <c r="F6" i="5"/>
  <c r="D6" i="5"/>
  <c r="E10" i="5"/>
  <c r="F10" i="5"/>
  <c r="D33" i="5"/>
  <c r="D34" i="5" s="1"/>
  <c r="F31" i="5"/>
  <c r="F33" i="5" s="1"/>
  <c r="F34" i="5" s="1"/>
  <c r="E31" i="5"/>
  <c r="E33" i="5" s="1"/>
  <c r="E34" i="5" s="1"/>
  <c r="G52" i="3"/>
  <c r="G53" i="3" s="1"/>
  <c r="B76" i="3" s="1"/>
  <c r="L76" i="3" s="1"/>
  <c r="I30" i="12"/>
  <c r="L52" i="3"/>
  <c r="L53" i="3" s="1"/>
  <c r="B86" i="3" s="1"/>
  <c r="L86" i="3" s="1"/>
  <c r="L6" i="3"/>
  <c r="G6" i="3"/>
  <c r="L31" i="3"/>
  <c r="R36" i="3" s="1"/>
  <c r="R37" i="3" s="1"/>
  <c r="M94" i="3" s="1"/>
  <c r="L20" i="3"/>
  <c r="R16" i="3" s="1"/>
  <c r="R19" i="3" s="1"/>
  <c r="F91" i="3" s="1"/>
  <c r="D28" i="5" l="1"/>
  <c r="E28" i="5"/>
  <c r="D13" i="5"/>
  <c r="C27" i="5"/>
  <c r="F44" i="10"/>
  <c r="J8" i="12"/>
  <c r="B75" i="10"/>
  <c r="K75" i="10" s="1"/>
  <c r="J26" i="12"/>
  <c r="B95" i="10"/>
  <c r="K95" i="10" s="1"/>
  <c r="J28" i="12"/>
  <c r="B97" i="10"/>
  <c r="K97" i="10" s="1"/>
  <c r="J6" i="12"/>
  <c r="B73" i="10"/>
  <c r="K73" i="10" s="1"/>
  <c r="B99" i="10"/>
  <c r="J16" i="12"/>
  <c r="B84" i="10"/>
  <c r="K84" i="10" s="1"/>
  <c r="J18" i="12"/>
  <c r="B86" i="10"/>
  <c r="K86" i="10" s="1"/>
  <c r="B88" i="10"/>
  <c r="J10" i="12"/>
  <c r="B77" i="10"/>
  <c r="K77" i="10" s="1"/>
  <c r="G45" i="10"/>
  <c r="I45" i="10"/>
  <c r="J45" i="10"/>
  <c r="H45" i="10"/>
  <c r="I20" i="12"/>
  <c r="R54" i="3"/>
  <c r="R55" i="3" s="1"/>
  <c r="M91" i="3"/>
  <c r="I10" i="12"/>
  <c r="G32" i="10"/>
  <c r="O21" i="10"/>
  <c r="B94" i="10" s="1"/>
  <c r="K21" i="10"/>
  <c r="B83" i="10" s="1"/>
  <c r="G21" i="10"/>
  <c r="B72" i="10" s="1"/>
  <c r="K72" i="10" s="1"/>
  <c r="O32" i="10"/>
  <c r="K32" i="10"/>
  <c r="F13" i="5"/>
  <c r="E13" i="5"/>
  <c r="D11" i="5"/>
  <c r="N27" i="4"/>
  <c r="J27" i="4"/>
  <c r="F44" i="4"/>
  <c r="F45" i="4" s="1"/>
  <c r="B66" i="4" s="1"/>
  <c r="I66" i="4" s="1"/>
  <c r="N44" i="4"/>
  <c r="N45" i="4" s="1"/>
  <c r="J44" i="4"/>
  <c r="J45" i="4" s="1"/>
  <c r="E31" i="4"/>
  <c r="N17" i="4"/>
  <c r="N19" i="4" s="1"/>
  <c r="N4" i="4"/>
  <c r="J17" i="4"/>
  <c r="J19" i="4" s="1"/>
  <c r="J4" i="4"/>
  <c r="D27" i="14" l="1"/>
  <c r="E25" i="14"/>
  <c r="E34" i="4"/>
  <c r="E6" i="14" s="1"/>
  <c r="K94" i="10"/>
  <c r="K99" i="10"/>
  <c r="J30" i="12"/>
  <c r="K88" i="10"/>
  <c r="J20" i="12"/>
  <c r="K83" i="10"/>
  <c r="Q45" i="10"/>
  <c r="R45" i="10"/>
  <c r="P45" i="10"/>
  <c r="K45" i="10"/>
  <c r="O45" i="10" s="1"/>
  <c r="M45" i="10"/>
  <c r="L45" i="10"/>
  <c r="N45" i="10"/>
  <c r="R56" i="3"/>
  <c r="H27" i="12"/>
  <c r="B83" i="4"/>
  <c r="I83" i="4" s="1"/>
  <c r="H30" i="12"/>
  <c r="B86" i="4"/>
  <c r="I86" i="4" s="1"/>
  <c r="H25" i="12"/>
  <c r="B81" i="4"/>
  <c r="I81" i="4" s="1"/>
  <c r="H15" i="12"/>
  <c r="B71" i="4"/>
  <c r="I71" i="4" s="1"/>
  <c r="H10" i="12"/>
  <c r="H17" i="12"/>
  <c r="B73" i="4"/>
  <c r="I73" i="4" s="1"/>
  <c r="H20" i="12"/>
  <c r="B76" i="4"/>
  <c r="I76" i="4" s="1"/>
  <c r="F64" i="10"/>
  <c r="E49" i="4"/>
  <c r="G61" i="10"/>
  <c r="J5" i="12"/>
  <c r="J11" i="12" s="1"/>
  <c r="K61" i="10"/>
  <c r="J15" i="12"/>
  <c r="O61" i="10"/>
  <c r="J25" i="12"/>
  <c r="J46" i="4"/>
  <c r="J47" i="4" s="1"/>
  <c r="N46" i="4"/>
  <c r="D35" i="5"/>
  <c r="D36" i="5" s="1"/>
  <c r="C14" i="5"/>
  <c r="D16" i="5"/>
  <c r="E16" i="5"/>
  <c r="F16" i="5"/>
  <c r="C16" i="5"/>
  <c r="C17" i="5" s="1"/>
  <c r="C24" i="5"/>
  <c r="C6" i="5"/>
  <c r="E9" i="14" l="1"/>
  <c r="F2" i="14"/>
  <c r="E8" i="14"/>
  <c r="K63" i="10"/>
  <c r="K62" i="10"/>
  <c r="O63" i="10"/>
  <c r="O62" i="10"/>
  <c r="G63" i="10"/>
  <c r="G62" i="10"/>
  <c r="N48" i="4"/>
  <c r="N47" i="4"/>
  <c r="J48" i="4"/>
  <c r="F11" i="5"/>
  <c r="F35" i="5" s="1"/>
  <c r="E11" i="5"/>
  <c r="E35" i="5" s="1"/>
  <c r="C15" i="5"/>
  <c r="C37" i="5" s="1"/>
  <c r="F19" i="4"/>
  <c r="B61" i="4" s="1"/>
  <c r="I61" i="4" s="1"/>
  <c r="F4" i="4"/>
  <c r="E4" i="4"/>
  <c r="G39" i="3"/>
  <c r="L39" i="3"/>
  <c r="F39" i="3"/>
  <c r="F40" i="3" s="1"/>
  <c r="E16" i="14" s="1"/>
  <c r="L36" i="3"/>
  <c r="L16" i="3"/>
  <c r="L19" i="3" s="1"/>
  <c r="B81" i="3" s="1"/>
  <c r="F18" i="3"/>
  <c r="E13" i="14" s="1"/>
  <c r="G19" i="3"/>
  <c r="B71" i="3" s="1"/>
  <c r="L71" i="3" s="1"/>
  <c r="F6" i="3"/>
  <c r="L81" i="3" l="1"/>
  <c r="H5" i="12"/>
  <c r="F38" i="3"/>
  <c r="L54" i="3"/>
  <c r="I15" i="12"/>
  <c r="G54" i="3"/>
  <c r="I5" i="12"/>
  <c r="I11" i="12" s="1"/>
  <c r="F46" i="4"/>
  <c r="F48" i="4" s="1"/>
  <c r="E36" i="5"/>
  <c r="F36" i="5"/>
  <c r="L37" i="3"/>
  <c r="L84" i="3" s="1"/>
  <c r="F19" i="9"/>
  <c r="F14" i="9"/>
  <c r="F11" i="9"/>
  <c r="F7" i="9"/>
  <c r="F8" i="9" s="1"/>
  <c r="E19" i="9"/>
  <c r="E14" i="9"/>
  <c r="E11" i="9"/>
  <c r="E7" i="9"/>
  <c r="E8" i="9" s="1"/>
  <c r="E15" i="9" s="1"/>
  <c r="E20" i="9" s="1"/>
  <c r="E22" i="9" s="1"/>
  <c r="I19" i="9"/>
  <c r="H19" i="9"/>
  <c r="G19" i="9"/>
  <c r="D19" i="9"/>
  <c r="I14" i="9"/>
  <c r="H14" i="9"/>
  <c r="G14" i="9"/>
  <c r="D14" i="9"/>
  <c r="I11" i="9"/>
  <c r="H11" i="9"/>
  <c r="G11" i="9"/>
  <c r="D11" i="9"/>
  <c r="I7" i="9"/>
  <c r="I8" i="9" s="1"/>
  <c r="H7" i="9"/>
  <c r="H8" i="9" s="1"/>
  <c r="H15" i="9" s="1"/>
  <c r="H20" i="9" s="1"/>
  <c r="H22" i="9" s="1"/>
  <c r="G7" i="9"/>
  <c r="G8" i="9" s="1"/>
  <c r="G15" i="9" s="1"/>
  <c r="G20" i="9" s="1"/>
  <c r="G22" i="9" s="1"/>
  <c r="D7" i="9"/>
  <c r="D8" i="9" s="1"/>
  <c r="C11" i="9"/>
  <c r="B14" i="9"/>
  <c r="C14" i="9"/>
  <c r="C19" i="9"/>
  <c r="C7" i="9"/>
  <c r="C8" i="9" s="1"/>
  <c r="B11" i="9"/>
  <c r="B19" i="9"/>
  <c r="B7" i="9"/>
  <c r="B8" i="9" s="1"/>
  <c r="D16" i="2"/>
  <c r="E16" i="2"/>
  <c r="F16" i="2"/>
  <c r="G16" i="2"/>
  <c r="C16" i="2"/>
  <c r="I15" i="9" l="1"/>
  <c r="I20" i="9" s="1"/>
  <c r="I22" i="9" s="1"/>
  <c r="F15" i="9"/>
  <c r="F20" i="9" s="1"/>
  <c r="F22" i="9" s="1"/>
  <c r="D15" i="9"/>
  <c r="D20" i="9" s="1"/>
  <c r="D22" i="9" s="1"/>
  <c r="H11" i="12"/>
  <c r="E15" i="14"/>
  <c r="F10" i="14" s="1"/>
  <c r="F57" i="3"/>
  <c r="I25" i="12"/>
  <c r="F47" i="4"/>
  <c r="L56" i="3"/>
  <c r="L55" i="3"/>
  <c r="G56" i="3"/>
  <c r="G55" i="3"/>
  <c r="B15" i="9"/>
  <c r="B20" i="9" s="1"/>
  <c r="B22" i="9" s="1"/>
  <c r="C15" i="9"/>
  <c r="C20" i="9" s="1"/>
  <c r="C22" i="9" s="1"/>
  <c r="E18" i="14" l="1"/>
  <c r="E19" i="14"/>
</calcChain>
</file>

<file path=xl/sharedStrings.xml><?xml version="1.0" encoding="utf-8"?>
<sst xmlns="http://schemas.openxmlformats.org/spreadsheetml/2006/main" count="5932" uniqueCount="603">
  <si>
    <t>TGA4544-SM</t>
  </si>
  <si>
    <t>Psat</t>
  </si>
  <si>
    <t>[1]</t>
  </si>
  <si>
    <t>ref</t>
  </si>
  <si>
    <t>[2]</t>
  </si>
  <si>
    <t>[3]</t>
  </si>
  <si>
    <t>[4]</t>
  </si>
  <si>
    <t>[5]</t>
  </si>
  <si>
    <t>Array size</t>
  </si>
  <si>
    <t>Tranceiver size</t>
  </si>
  <si>
    <t>Tranceiver Size</t>
  </si>
  <si>
    <t>Carrier (GHz)</t>
  </si>
  <si>
    <t>note</t>
  </si>
  <si>
    <t>notes</t>
  </si>
  <si>
    <t>Prototype</t>
  </si>
  <si>
    <t>BW (MHz)</t>
  </si>
  <si>
    <t>Samsung</t>
  </si>
  <si>
    <t>BS/MS</t>
  </si>
  <si>
    <t>BS</t>
  </si>
  <si>
    <t>MS</t>
  </si>
  <si>
    <t>na</t>
  </si>
  <si>
    <t>Array Geo</t>
  </si>
  <si>
    <t>8 by 4</t>
  </si>
  <si>
    <t>4 by 1</t>
  </si>
  <si>
    <t>64 array in 2 channel; eac tranceiver uses subarray as well</t>
  </si>
  <si>
    <t>3 antenna in the vertical are sub-grouped</t>
  </si>
  <si>
    <t>8 by 6</t>
  </si>
  <si>
    <t>both</t>
  </si>
  <si>
    <t>4 by 4</t>
  </si>
  <si>
    <t>Nokia, DOCOMO</t>
  </si>
  <si>
    <t>16 by 4</t>
  </si>
  <si>
    <t>Lens antenna, indoor environment, tracking in low mobility (2km/h)</t>
  </si>
  <si>
    <t>P1dB (dBm)</t>
  </si>
  <si>
    <t>Freq (GHz)</t>
  </si>
  <si>
    <t>26-31</t>
  </si>
  <si>
    <t>year</t>
  </si>
  <si>
    <t>technique</t>
  </si>
  <si>
    <t>GaAs</t>
  </si>
  <si>
    <t>38-47</t>
  </si>
  <si>
    <t>0.6 by 0.5</t>
  </si>
  <si>
    <t>??</t>
  </si>
  <si>
    <t>37.1-40</t>
  </si>
  <si>
    <t>3.7 by 3.7</t>
  </si>
  <si>
    <t>AWMF-0108</t>
  </si>
  <si>
    <t>26.5-29.5</t>
  </si>
  <si>
    <t>Gain Bits</t>
  </si>
  <si>
    <t>Antenna Num.</t>
  </si>
  <si>
    <t>OP1dB (dBm)</t>
  </si>
  <si>
    <t>57-64</t>
  </si>
  <si>
    <t>CMOS-65nm</t>
  </si>
  <si>
    <t>PA is included in each array; size is for packges</t>
  </si>
  <si>
    <t>4.4-9.5</t>
  </si>
  <si>
    <t>Phase Bits</t>
  </si>
  <si>
    <t>0.5-1.1</t>
  </si>
  <si>
    <t>~0</t>
  </si>
  <si>
    <t>Gain &amp; IL (dB)</t>
  </si>
  <si>
    <t>Variation of components are not given; passive phase shifter; &lt;1nA leakage current</t>
  </si>
  <si>
    <t xml:space="preserve"> AWMF-0123/5</t>
  </si>
  <si>
    <t xml:space="preserve">Anokiwave </t>
  </si>
  <si>
    <t>Nangyang Univ.</t>
  </si>
  <si>
    <t>Chip</t>
  </si>
  <si>
    <t>Opsat (dBm)</t>
  </si>
  <si>
    <t>CMOS-28nm</t>
  </si>
  <si>
    <t>SiGe-120nm</t>
  </si>
  <si>
    <t>27-29</t>
  </si>
  <si>
    <t>18-18.9</t>
  </si>
  <si>
    <t>15.1-15.9</t>
  </si>
  <si>
    <t>efficiency 9.4% at 7dB backoff</t>
  </si>
  <si>
    <t>76-85</t>
  </si>
  <si>
    <t>Gain (dB)</t>
  </si>
  <si>
    <t>SiGe-IBM8HP</t>
  </si>
  <si>
    <t>UCSD</t>
  </si>
  <si>
    <t>Power (mW)</t>
  </si>
  <si>
    <t>600~800</t>
  </si>
  <si>
    <t>0.75 by 0.68</t>
  </si>
  <si>
    <t>`-7.7~-3.7</t>
  </si>
  <si>
    <t>68-78</t>
  </si>
  <si>
    <t>0.35 by 0.14</t>
  </si>
  <si>
    <t>~9</t>
  </si>
  <si>
    <t>[6]</t>
  </si>
  <si>
    <t>[7]</t>
  </si>
  <si>
    <t>PAE 1dB (%)</t>
  </si>
  <si>
    <t>PAE max (%)</t>
  </si>
  <si>
    <t>Total Power (mW)</t>
  </si>
  <si>
    <t>0.5 by 0.4</t>
  </si>
  <si>
    <t>Natiaonl Taiwan Univ.</t>
  </si>
  <si>
    <t>3 by 2.62</t>
  </si>
  <si>
    <t>4Tx, 4Rx</t>
  </si>
  <si>
    <t>0.4 by 0.25</t>
  </si>
  <si>
    <t>Phase shift type</t>
  </si>
  <si>
    <t>BB phase shift</t>
  </si>
  <si>
    <t>vector modulator</t>
  </si>
  <si>
    <t xml:space="preserve">CMOS-45nm </t>
  </si>
  <si>
    <t>SiGe</t>
  </si>
  <si>
    <t>546~670</t>
  </si>
  <si>
    <t>IMEC</t>
  </si>
  <si>
    <t>Details of phase shifter or PA is not provided; Area  includes LO and PA</t>
  </si>
  <si>
    <t>passive (RT &amp; ST)</t>
  </si>
  <si>
    <t>6 by 6 (packaged)</t>
  </si>
  <si>
    <t>Total Size (mm2)</t>
  </si>
  <si>
    <t>Per PS Size (mm2)</t>
  </si>
  <si>
    <t>Per PS Power (mW)</t>
  </si>
  <si>
    <t>0.3 by 0.2 (core)</t>
  </si>
  <si>
    <t>area estimated from photo</t>
  </si>
  <si>
    <t>0-3</t>
  </si>
  <si>
    <t>other notes</t>
  </si>
  <si>
    <t>Affiliation</t>
  </si>
  <si>
    <t>Typical</t>
  </si>
  <si>
    <t>RMS Phase Error (deg)</t>
  </si>
  <si>
    <t>RMS Gain Error (dB)</t>
  </si>
  <si>
    <t>5~10</t>
  </si>
  <si>
    <t>Kwangwoon Univ.</t>
  </si>
  <si>
    <t>4.1 by 1.2</t>
  </si>
  <si>
    <t>Gain Step (dB)</t>
  </si>
  <si>
    <t>Power and area includes LNA and PA</t>
  </si>
  <si>
    <t>passive (ST)</t>
  </si>
  <si>
    <t>CMOS-45nm</t>
  </si>
  <si>
    <t>25-33</t>
  </si>
  <si>
    <t>[8]</t>
  </si>
  <si>
    <t>OSU</t>
  </si>
  <si>
    <t>system (Rx)</t>
  </si>
  <si>
    <t>[9]</t>
  </si>
  <si>
    <t>27.5-28.35</t>
  </si>
  <si>
    <t>0.64 by 0.36</t>
  </si>
  <si>
    <t>3.5 (input)</t>
  </si>
  <si>
    <t>power consumption is not provided; Guess it's close to zero</t>
  </si>
  <si>
    <t>system (TRx)</t>
  </si>
  <si>
    <t>2.2 by 1.5</t>
  </si>
  <si>
    <t>GaAs front-end for LNA and PA; Size and power does not include amp</t>
  </si>
  <si>
    <t>~0 (DC power)</t>
  </si>
  <si>
    <t>PA is included; size is for packges; OP1dB for EIRP is 50dBm</t>
  </si>
  <si>
    <t>passive (RT)</t>
  </si>
  <si>
    <t>0.3 (max)</t>
  </si>
  <si>
    <t>`-7.45~-8.05</t>
  </si>
  <si>
    <t>0.5 by 0.3</t>
  </si>
  <si>
    <t>`-10 (?)</t>
  </si>
  <si>
    <t>0.05 (active) or 0.2 (passive)</t>
  </si>
  <si>
    <r>
      <t>U. Kodak and G. M. Rebeiz, "Bi-directional flip-chip 28 GHz phased-array core-chip in 45nm CMOS SOI for high-efficiency high-linearity 5G systems," </t>
    </r>
    <r>
      <rPr>
        <i/>
        <sz val="11"/>
        <color rgb="FF000000"/>
        <rFont val="Times New Roman"/>
        <family val="1"/>
      </rPr>
      <t>2017 IEEE Radio Frequency Integrated Circuits Symposium (RFIC)</t>
    </r>
    <r>
      <rPr>
        <sz val="11"/>
        <color rgb="FF000000"/>
        <rFont val="Times New Roman"/>
        <family val="1"/>
      </rPr>
      <t>, Honolulu, HI, 2017, pp. 61-64.</t>
    </r>
  </si>
  <si>
    <r>
      <t>J. Han, J. Kim, J. Park and J. Kim, "A Ka-band 4-ch bi-directional CMOS T/R chipset for 5G beamforming system," </t>
    </r>
    <r>
      <rPr>
        <i/>
        <sz val="11"/>
        <color rgb="FF000000"/>
        <rFont val="Times New Roman"/>
        <family val="1"/>
      </rPr>
      <t>2017 IEEE Radio Frequency Integrated Circuits Symposium (RFIC)</t>
    </r>
    <r>
      <rPr>
        <sz val="11"/>
        <color rgb="FF000000"/>
        <rFont val="Times New Roman"/>
        <family val="1"/>
      </rPr>
      <t>, Honolulu, HI, 2017, pp. 41-44.</t>
    </r>
  </si>
  <si>
    <r>
      <t>R. Garg; A. S. Natarajan, "A 28-GHz Low-Power Phased-Array Receiver Front-End With 360° RTPS Phase Shift Range," in </t>
    </r>
    <r>
      <rPr>
        <i/>
        <sz val="11"/>
        <color rgb="FF000000"/>
        <rFont val="Times New Roman"/>
        <family val="1"/>
      </rPr>
      <t>IEEE Transactions on Microwave Theory and Techniques</t>
    </r>
    <r>
      <rPr>
        <sz val="11"/>
        <color rgb="FF000000"/>
        <rFont val="Times New Roman"/>
        <family val="1"/>
      </rPr>
      <t> , vol.PP, no.99, pp.1-12</t>
    </r>
  </si>
  <si>
    <r>
      <t>G. S. Shin </t>
    </r>
    <r>
      <rPr>
        <i/>
        <sz val="11"/>
        <color rgb="FF000000"/>
        <rFont val="Times New Roman"/>
        <family val="1"/>
      </rPr>
      <t>et al</t>
    </r>
    <r>
      <rPr>
        <sz val="11"/>
        <color rgb="FF000000"/>
        <rFont val="Times New Roman"/>
        <family val="1"/>
      </rPr>
      <t>., "Low Insertion Loss, Compact 4-bit Phase Shifter in 65 nm CMOS for 5G Applications," in </t>
    </r>
    <r>
      <rPr>
        <i/>
        <sz val="11"/>
        <color rgb="FF000000"/>
        <rFont val="Times New Roman"/>
        <family val="1"/>
      </rPr>
      <t>IEEE Microwave and Wireless Components Letters</t>
    </r>
    <r>
      <rPr>
        <sz val="11"/>
        <color rgb="FF000000"/>
        <rFont val="Times New Roman"/>
        <family val="1"/>
      </rPr>
      <t>, vol. 26, no. 1, pp. 37-39, Jan. 2016.</t>
    </r>
  </si>
  <si>
    <r>
      <t>S. Zihir, O. D. Gurbuz, A. Karroy, S. Raman and G. M. Rebeiz, "A 60 GHz single-chip 256-element wafer-scale phased array with EIRP of 45 dBm using sub-reticle stitching," </t>
    </r>
    <r>
      <rPr>
        <i/>
        <sz val="11"/>
        <color rgb="FF000000"/>
        <rFont val="Times New Roman"/>
        <family val="1"/>
      </rPr>
      <t>2015 IEEE Radio Frequency Integrated Circuits Symposium (RFIC)</t>
    </r>
    <r>
      <rPr>
        <sz val="11"/>
        <color rgb="FF000000"/>
        <rFont val="Times New Roman"/>
        <family val="1"/>
      </rPr>
      <t>, Phoenix, AZ, 2015, pp. 23-26.</t>
    </r>
  </si>
  <si>
    <r>
      <t>P. J. Peng, P. N. Chen, C. Kao, Y. L. Chen and J. Lee, "A 94 GHz 3D Image Radar Engine With 4TX/4RX Beamforming Scan Technique in 65 nm CMOS Technology," in </t>
    </r>
    <r>
      <rPr>
        <i/>
        <sz val="11"/>
        <color rgb="FF000000"/>
        <rFont val="Times New Roman"/>
        <family val="1"/>
      </rPr>
      <t>IEEE Journal of Solid-State Circuits</t>
    </r>
    <r>
      <rPr>
        <sz val="11"/>
        <color rgb="FF000000"/>
        <rFont val="Times New Roman"/>
        <family val="1"/>
      </rPr>
      <t>, vol. 50, no. 3, pp. 656-668, March 2015.</t>
    </r>
  </si>
  <si>
    <r>
      <t>F. Meng, K. Ma, K. S. Yeo and S. Xu, "A 57-to-64-GHz 0.094-mm</t>
    </r>
    <r>
      <rPr>
        <vertAlign val="super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 5-bit Passive Phase Shifter in 65-nm CMOS," in </t>
    </r>
    <r>
      <rPr>
        <i/>
        <sz val="11"/>
        <color rgb="FF000000"/>
        <rFont val="Times New Roman"/>
        <family val="1"/>
      </rPr>
      <t>IEEE Transactions on Very Large Scale Integration (VLSI) Systems</t>
    </r>
    <r>
      <rPr>
        <sz val="11"/>
        <color rgb="FF000000"/>
        <rFont val="Times New Roman"/>
        <family val="1"/>
      </rPr>
      <t>, vol. 24, no. 5, pp. 1917-1925, May 2016.</t>
    </r>
  </si>
  <si>
    <r>
      <t>G. Mangraviti </t>
    </r>
    <r>
      <rPr>
        <i/>
        <sz val="11"/>
        <color rgb="FF000000"/>
        <rFont val="Times New Roman"/>
        <family val="1"/>
      </rPr>
      <t>et al</t>
    </r>
    <r>
      <rPr>
        <sz val="11"/>
        <color rgb="FF000000"/>
        <rFont val="Times New Roman"/>
        <family val="1"/>
      </rPr>
      <t>., "13.5 A 4-antenna-path beamforming transceiver for 60GHz multi-Gb/s communication in 28nm CMOS," </t>
    </r>
    <r>
      <rPr>
        <i/>
        <sz val="11"/>
        <color rgb="FF000000"/>
        <rFont val="Times New Roman"/>
        <family val="1"/>
      </rPr>
      <t>2016 IEEE International Solid-State Circuits Conference (ISSCC)</t>
    </r>
    <r>
      <rPr>
        <sz val="11"/>
        <color rgb="FF000000"/>
        <rFont val="Times New Roman"/>
        <family val="1"/>
      </rPr>
      <t>, San Francisco, CA, 2016, pp. 246-247.</t>
    </r>
  </si>
  <si>
    <r>
      <t>W. Shin and G. M. Rebeiz, "60 GHz active phase shifter using an optimized quadrature all-pass network in 45nm CMOS," </t>
    </r>
    <r>
      <rPr>
        <i/>
        <sz val="11"/>
        <color rgb="FF000000"/>
        <rFont val="Times New Roman"/>
        <family val="1"/>
      </rPr>
      <t>2012 IEEE/MTT-S International Microwave Symposium Digest</t>
    </r>
    <r>
      <rPr>
        <sz val="11"/>
        <color rgb="FF000000"/>
        <rFont val="Times New Roman"/>
        <family val="1"/>
      </rPr>
      <t>, Montreal, QC, Canada, 2012, pp. 1-3.</t>
    </r>
  </si>
  <si>
    <t>Qorvo</t>
  </si>
  <si>
    <t>8.9-9.4</t>
  </si>
  <si>
    <t>15.9-21.6</t>
  </si>
  <si>
    <t>25.1-32.7</t>
  </si>
  <si>
    <t>25-27</t>
  </si>
  <si>
    <t>12.5-20</t>
  </si>
  <si>
    <t>NCSU</t>
  </si>
  <si>
    <t>0.61 by 0.73</t>
  </si>
  <si>
    <t>61.2 (DC)</t>
  </si>
  <si>
    <t>STMicroelectronics</t>
  </si>
  <si>
    <t>System (TRx)</t>
  </si>
  <si>
    <t>Total Area (mm2)</t>
  </si>
  <si>
    <t>Per PA Area (mm2)</t>
  </si>
  <si>
    <t>0.4 by 0.3</t>
  </si>
  <si>
    <t>112mw per Tx channel including PS and PA</t>
  </si>
  <si>
    <t>Southern Methodist Univ., UTD, Samsung, TI</t>
  </si>
  <si>
    <t>34.5 (DC)</t>
  </si>
  <si>
    <t>Pohang Univ. of Sci. and Tech.</t>
  </si>
  <si>
    <t>2-stack level PA</t>
  </si>
  <si>
    <t>Univ. of Leuven</t>
  </si>
  <si>
    <t>CMOS-40nm</t>
  </si>
  <si>
    <t>[10]</t>
  </si>
  <si>
    <t>Texas A&amp;M, Qualcomm</t>
  </si>
  <si>
    <t>[11]</t>
  </si>
  <si>
    <r>
      <t>S. Shakib, M. Elkholy, J. Dunworth, V. Aparin and K. Entesari, "2.7 A wideband 28GHz power amplifier supporting 8×100MHz carrier aggregation for 5G in 40nm CMOS," </t>
    </r>
    <r>
      <rPr>
        <i/>
        <sz val="11"/>
        <color rgb="FF000000"/>
        <rFont val="Times New Roman"/>
        <family val="1"/>
      </rPr>
      <t>2017 IEEE International Solid-State Circuits Conference (ISSCC)</t>
    </r>
    <r>
      <rPr>
        <sz val="11"/>
        <color rgb="FF000000"/>
        <rFont val="Times New Roman"/>
        <family val="1"/>
      </rPr>
      <t>, San Francisco, CA, 2017, pp. 44-45.</t>
    </r>
  </si>
  <si>
    <t>26-33</t>
  </si>
  <si>
    <t>Stage Num.</t>
  </si>
  <si>
    <t>2-4 stack level; Different AM/AM with stacking</t>
  </si>
  <si>
    <t>external GaAs PAs with unknown specs</t>
  </si>
  <si>
    <r>
      <t>S. Shakib, H. C. Park, J. Dunworth, V. Aparin and K. Entesari, "20.6 A 28GHz efficient linear power amplifier for 5G phased arrays in 28nm bulk CMOS," </t>
    </r>
    <r>
      <rPr>
        <i/>
        <sz val="11"/>
        <color rgb="FF000000"/>
        <rFont val="Times New Roman"/>
        <family val="1"/>
      </rPr>
      <t>2016 IEEE International Solid-State Circuits Conference (ISSCC)</t>
    </r>
    <r>
      <rPr>
        <sz val="11"/>
        <color rgb="FF000000"/>
        <rFont val="Times New Roman"/>
        <family val="1"/>
      </rPr>
      <t>, San Francisco, CA, 2016, pp. 352-353.</t>
    </r>
  </si>
  <si>
    <r>
      <t>B. Moret, V. Knopik and E. Kerherve, "A 28GHz self-contained power amplifier for 5G applications in 28nm FD-SOI CMOS," </t>
    </r>
    <r>
      <rPr>
        <i/>
        <sz val="11"/>
        <color rgb="FF000000"/>
        <rFont val="Times New Roman"/>
        <family val="1"/>
      </rPr>
      <t>2017 IEEE 8th Latin American Symposium on Circuits &amp; Systems (LASCAS)</t>
    </r>
    <r>
      <rPr>
        <sz val="11"/>
        <color rgb="FF000000"/>
        <rFont val="Times New Roman"/>
        <family val="1"/>
      </rPr>
      <t>, Bariloche, 2017, pp. 1-4.</t>
    </r>
  </si>
  <si>
    <r>
      <t>B. Park, Daechul Jeong, J. Kim, Y. Cho, Kyunghoon Moon and B. Kim, "Highly linear CMOS power amplifier for mm-wave applications," </t>
    </r>
    <r>
      <rPr>
        <i/>
        <sz val="11"/>
        <color rgb="FF000000"/>
        <rFont val="Times New Roman"/>
        <family val="1"/>
      </rPr>
      <t>2016 IEEE MTT-S International Microwave Symposium (IMS)</t>
    </r>
    <r>
      <rPr>
        <sz val="11"/>
        <color rgb="FF000000"/>
        <rFont val="Times New Roman"/>
        <family val="1"/>
      </rPr>
      <t>, San Francisco, CA, 2016, pp. 1-3.</t>
    </r>
  </si>
  <si>
    <r>
      <t>A. Sarkar and B. Floyd, "A 28-GHz class-J Power Amplifier with 18-dBm output power and 35% peak PAE in 120-nm SiGe BiCMOS," </t>
    </r>
    <r>
      <rPr>
        <i/>
        <sz val="11"/>
        <color rgb="FF000000"/>
        <rFont val="Times New Roman"/>
        <family val="1"/>
      </rPr>
      <t>2014 IEEE 14th Topical Meeting on Silicon Monolithic Integrated Circuits in Rf Systems</t>
    </r>
    <r>
      <rPr>
        <sz val="11"/>
        <color rgb="FF000000"/>
        <rFont val="Times New Roman"/>
        <family val="1"/>
      </rPr>
      <t>, Newport Beach, CA, 2014, pp. 71-73.</t>
    </r>
  </si>
  <si>
    <r>
      <t>Tianzuo Xi </t>
    </r>
    <r>
      <rPr>
        <i/>
        <sz val="11"/>
        <color rgb="FF000000"/>
        <rFont val="Times New Roman"/>
        <family val="1"/>
      </rPr>
      <t>et al</t>
    </r>
    <r>
      <rPr>
        <sz val="11"/>
        <color rgb="FF000000"/>
        <rFont val="Times New Roman"/>
        <family val="1"/>
      </rPr>
      <t>., "A new compact high-efficiency mmWave power amplifier in 65 nm CMOS process," </t>
    </r>
    <r>
      <rPr>
        <i/>
        <sz val="11"/>
        <color rgb="FF000000"/>
        <rFont val="Times New Roman"/>
        <family val="1"/>
      </rPr>
      <t>2015 IEEE MTT-S International Microwave Symposium</t>
    </r>
    <r>
      <rPr>
        <sz val="11"/>
        <color rgb="FF000000"/>
        <rFont val="Times New Roman"/>
        <family val="1"/>
      </rPr>
      <t>, Phoenix, AZ, 2015, pp. 1-4.</t>
    </r>
  </si>
  <si>
    <r>
      <t>B. H. Ku, O. Inac, M. Chang, H. H. Yang and G. M. Rebeiz, "A High-Linearity 76–85-GHz 16-Element 8-Transmit/8-Receive Phased-Array Chip With High Isolation and Flip-Chip Packaging," in </t>
    </r>
    <r>
      <rPr>
        <i/>
        <sz val="11"/>
        <color rgb="FF000000"/>
        <rFont val="Times New Roman"/>
        <family val="1"/>
      </rPr>
      <t>IEEE Transactions on Microwave Theory and Techniques</t>
    </r>
    <r>
      <rPr>
        <sz val="11"/>
        <color rgb="FF000000"/>
        <rFont val="Times New Roman"/>
        <family val="1"/>
      </rPr>
      <t>, vol. 62, no. 10, pp. 2337-2356, Oct. 2014.</t>
    </r>
  </si>
  <si>
    <r>
      <t>D. Zhao and P. Reynaert, "A 60-GHz Dual-Mode Class AB Power Amplifier in 40-nm CMOS," in </t>
    </r>
    <r>
      <rPr>
        <i/>
        <sz val="11"/>
        <color rgb="FF000000"/>
        <rFont val="Times New Roman"/>
        <family val="1"/>
      </rPr>
      <t>IEEE Journal of Solid-State Circuits</t>
    </r>
    <r>
      <rPr>
        <sz val="11"/>
        <color rgb="FF000000"/>
        <rFont val="Times New Roman"/>
        <family val="1"/>
      </rPr>
      <t>, vol. 48, no. 10, pp. 2323-2337, Oct. 2013.</t>
    </r>
  </si>
  <si>
    <r>
      <t>H. T. Dabag, B. Hanafi, F. Golcuk, A. Agah, J. F. Buckwalter and P. M. Asbeck, "Analysis and Design of Stacked-FET Millimeter-Wave Power Amplifiers," in </t>
    </r>
    <r>
      <rPr>
        <i/>
        <sz val="11"/>
        <color rgb="FF000000"/>
        <rFont val="Times New Roman"/>
        <family val="1"/>
      </rPr>
      <t>IEEE Transactions on Microwave Theory and Techniques</t>
    </r>
    <r>
      <rPr>
        <sz val="11"/>
        <color rgb="FF000000"/>
        <rFont val="Times New Roman"/>
        <family val="1"/>
      </rPr>
      <t>, vol. 61, no. 4, pp. 1543-1556, April 2013.</t>
    </r>
  </si>
  <si>
    <t>Column1</t>
  </si>
  <si>
    <t>ENOB</t>
  </si>
  <si>
    <t>Panasonic</t>
  </si>
  <si>
    <t>system</t>
  </si>
  <si>
    <t>CMOS-90nm</t>
  </si>
  <si>
    <t>1 by 0.8</t>
  </si>
  <si>
    <t>Per DAC Power (mW)</t>
  </si>
  <si>
    <t>Per DAC Size (mm2)</t>
  </si>
  <si>
    <t>Application</t>
  </si>
  <si>
    <t>60GHz (802.11ad)</t>
  </si>
  <si>
    <t>Linkoping Univ.</t>
  </si>
  <si>
    <t>Sampling Rate (GS/s)</t>
  </si>
  <si>
    <t>Sig BW (GHz)</t>
  </si>
  <si>
    <t>Type</t>
  </si>
  <si>
    <t>Nyquist</t>
  </si>
  <si>
    <t>Delta-Sigma</t>
  </si>
  <si>
    <t>27 mW for DAC itself, the rest for delta-sigma logic</t>
  </si>
  <si>
    <t xml:space="preserve">[2] </t>
  </si>
  <si>
    <t>3.7 by 1.8</t>
  </si>
  <si>
    <t>contain mixer and LO</t>
  </si>
  <si>
    <t>Broadcom</t>
  </si>
  <si>
    <t>0.25 by 0.2</t>
  </si>
  <si>
    <t>up to 16</t>
  </si>
  <si>
    <t>CMOS-20nm</t>
  </si>
  <si>
    <t>FOM (PJ/conv.)</t>
  </si>
  <si>
    <t>wired link</t>
  </si>
  <si>
    <t>multi-standard wireless comm.</t>
  </si>
  <si>
    <r>
      <t>N. Saito </t>
    </r>
    <r>
      <rPr>
        <i/>
        <sz val="11"/>
        <color rgb="FF000000"/>
        <rFont val="Times New Roman"/>
        <family val="1"/>
      </rPr>
      <t>et al</t>
    </r>
    <r>
      <rPr>
        <sz val="11"/>
        <color rgb="FF000000"/>
        <rFont val="Times New Roman"/>
        <family val="1"/>
      </rPr>
      <t>., "A Fully Integrated 60-GHz CMOS Transceiver Chipset Based on WiGig/IEEE 802.11ad With Built-In Self Calibration for Mobile Usage," in </t>
    </r>
    <r>
      <rPr>
        <i/>
        <sz val="11"/>
        <color rgb="FF000000"/>
        <rFont val="Times New Roman"/>
        <family val="1"/>
      </rPr>
      <t>IEEE Journal of Solid-State Circuits</t>
    </r>
    <r>
      <rPr>
        <sz val="11"/>
        <color rgb="FF000000"/>
        <rFont val="Times New Roman"/>
        <family val="1"/>
      </rPr>
      <t>, vol. 48, no. 12, pp. 3146-3159, Dec. 2013.</t>
    </r>
  </si>
  <si>
    <r>
      <t>A. Bhide and A. Alvandpour, "An 11 GS/s 1.1 GHz Bandwidth Interleaved ΔΣ DAC for 60 GHz Radio in 65 nm CMOS," in </t>
    </r>
    <r>
      <rPr>
        <i/>
        <sz val="11"/>
        <color rgb="FF000000"/>
        <rFont val="Times New Roman"/>
        <family val="1"/>
      </rPr>
      <t>IEEE Journal of Solid-State Circuits</t>
    </r>
    <r>
      <rPr>
        <sz val="11"/>
        <color rgb="FF000000"/>
        <rFont val="Times New Roman"/>
        <family val="1"/>
      </rPr>
      <t>, vol. 50, no. 10, pp. 2306-2318, Oct. 2015.</t>
    </r>
  </si>
  <si>
    <r>
      <t>E. Bechthum, G. Radulov, J. Briaire, G. Geelen and A. van Roermund, "9.6 A 5.3GHz 16b 1.75GS/S wideband RF Mixing-DAC achieving IMD&lt;-82dBc up to 1.9GHz," </t>
    </r>
    <r>
      <rPr>
        <i/>
        <sz val="11"/>
        <color rgb="FF000000"/>
        <rFont val="Times New Roman"/>
        <family val="1"/>
      </rPr>
      <t>2015 IEEE International Solid-State Circuits Conference - (ISSCC) Digest of Technical Papers</t>
    </r>
    <r>
      <rPr>
        <sz val="11"/>
        <color rgb="FF000000"/>
        <rFont val="Times New Roman"/>
        <family val="1"/>
      </rPr>
      <t>, San Francisco, CA, 2015, pp. 1-3.</t>
    </r>
  </si>
  <si>
    <r>
      <t>J. Cao </t>
    </r>
    <r>
      <rPr>
        <i/>
        <sz val="11"/>
        <color rgb="FF000000"/>
        <rFont val="Times New Roman"/>
        <family val="1"/>
      </rPr>
      <t>et al</t>
    </r>
    <r>
      <rPr>
        <sz val="11"/>
        <color rgb="FF000000"/>
        <rFont val="Times New Roman"/>
        <family val="1"/>
      </rPr>
      <t>., "29.2 A transmitter and receiver for 100Gb/s coherent networks with integrated 4×64GS/s 8b ADCs and DACs in 20nm CMOS," </t>
    </r>
    <r>
      <rPr>
        <i/>
        <sz val="11"/>
        <color rgb="FF000000"/>
        <rFont val="Times New Roman"/>
        <family val="1"/>
      </rPr>
      <t>2017 IEEE International Solid-State Circuits Conference (ISSCC)</t>
    </r>
    <r>
      <rPr>
        <sz val="11"/>
        <color rgb="FF000000"/>
        <rFont val="Times New Roman"/>
        <family val="1"/>
      </rPr>
      <t>, San Francisco, CA, 2017, pp. 484-485.</t>
    </r>
  </si>
  <si>
    <r>
      <t>A. Nazemi </t>
    </r>
    <r>
      <rPr>
        <i/>
        <sz val="11"/>
        <color rgb="FF000000"/>
        <rFont val="Times New Roman"/>
        <family val="1"/>
      </rPr>
      <t>et al</t>
    </r>
    <r>
      <rPr>
        <sz val="11"/>
        <color rgb="FF000000"/>
        <rFont val="Times New Roman"/>
        <family val="1"/>
      </rPr>
      <t>., "3.4 A 36Gb/s PAM4 transmitter using an 8b 18GS/S DAC in 28nm CMOS," </t>
    </r>
    <r>
      <rPr>
        <i/>
        <sz val="11"/>
        <color rgb="FF000000"/>
        <rFont val="Times New Roman"/>
        <family val="1"/>
      </rPr>
      <t>2015 IEEE International Solid-State Circuits Conference - (ISSCC) Digest of Technical Papers</t>
    </r>
    <r>
      <rPr>
        <sz val="11"/>
        <color rgb="FF000000"/>
        <rFont val="Times New Roman"/>
        <family val="1"/>
      </rPr>
      <t>, San Francisco, CA, 2015, pp. 1-3.</t>
    </r>
  </si>
  <si>
    <t>Case Number</t>
  </si>
  <si>
    <t>Situation</t>
  </si>
  <si>
    <t>Model</t>
  </si>
  <si>
    <t>Freq. (GHz)</t>
  </si>
  <si>
    <t>Ref</t>
  </si>
  <si>
    <t>Tx Power (dBm)</t>
  </si>
  <si>
    <t>Distance (m)</t>
  </si>
  <si>
    <t>Tx Array Size</t>
  </si>
  <si>
    <t>Tx Array Gain (dB)</t>
  </si>
  <si>
    <t>Prop. Loss Exp. Coeff.</t>
  </si>
  <si>
    <t>Prop. Loss (dB)</t>
  </si>
  <si>
    <t>Sig. BW (MHz)</t>
  </si>
  <si>
    <t>AWGN PSD (dBm/Hz)</t>
  </si>
  <si>
    <t>Tx EIPR (dBm)</t>
  </si>
  <si>
    <t>Rx Array Size</t>
  </si>
  <si>
    <t>Rx Array Gain (dB)</t>
  </si>
  <si>
    <t>Other Loss (dB)</t>
  </si>
  <si>
    <t>AWGN Power (dBm)</t>
  </si>
  <si>
    <t>Noise Figure (dB)</t>
  </si>
  <si>
    <t>Rx Power (dBm)</t>
  </si>
  <si>
    <t>SNR (dB)</t>
  </si>
  <si>
    <t>Resolution</t>
  </si>
  <si>
    <t>Umi, LOS</t>
  </si>
  <si>
    <t>Implementation Loss (dB)</t>
  </si>
  <si>
    <t>Umi, NLOS</t>
  </si>
  <si>
    <t>mmMAGIC [2]</t>
  </si>
  <si>
    <t>mmMAGIC D2.2 Measurement Results and Final mmMAGIC Channel Models, May 2017</t>
  </si>
  <si>
    <t>3GPP TR 38.901 V14.0.0 Study on channel model for frequencies from 0.5 to 100 GHz (Release 14), Mar. 2017</t>
  </si>
  <si>
    <t>3GPP TR 38.901 [1]</t>
  </si>
  <si>
    <t xml:space="preserve">Assuming 3dBi Tx and Rx single antenna gain </t>
  </si>
  <si>
    <t xml:space="preserve">Note: </t>
  </si>
  <si>
    <t>1</t>
  </si>
  <si>
    <t>2</t>
  </si>
  <si>
    <t>3</t>
  </si>
  <si>
    <t>4</t>
  </si>
  <si>
    <t>5</t>
  </si>
  <si>
    <t>6</t>
  </si>
  <si>
    <t>NYUSIM, 2016 [Online Available]: http://wireless.engineering.nyu.edu/5gmillimeter-wave-channel-modeling-software</t>
  </si>
  <si>
    <t>NYU [3, 4]</t>
  </si>
  <si>
    <r>
      <t>S. Hur </t>
    </r>
    <r>
      <rPr>
        <i/>
        <sz val="11"/>
        <color rgb="FF000000"/>
        <rFont val="Times New Roman"/>
        <family val="1"/>
      </rPr>
      <t>et al</t>
    </r>
    <r>
      <rPr>
        <sz val="11"/>
        <color rgb="FF000000"/>
        <rFont val="Times New Roman"/>
        <family val="1"/>
      </rPr>
      <t>., "Proposal on Millimeter-Wave Channel Modeling for 5G Cellular System," in </t>
    </r>
    <r>
      <rPr>
        <i/>
        <sz val="11"/>
        <color rgb="FF000000"/>
        <rFont val="Times New Roman"/>
        <family val="1"/>
      </rPr>
      <t>IEEE Journal of Selected Topics in Signal Processing</t>
    </r>
    <r>
      <rPr>
        <sz val="11"/>
        <color rgb="FF000000"/>
        <rFont val="Times New Roman"/>
        <family val="1"/>
      </rPr>
      <t>, vol. 10, no. 3, pp. 454-469, April 2016.</t>
    </r>
  </si>
  <si>
    <t>two-sigma shadowing loss is assumed in other loss</t>
  </si>
  <si>
    <t>7</t>
  </si>
  <si>
    <t>8</t>
  </si>
  <si>
    <t>Spectral Efficiency (bps/hz)</t>
  </si>
  <si>
    <t>Case</t>
  </si>
  <si>
    <t>DAC freq. (GS/s)</t>
  </si>
  <si>
    <t>DAC Bits</t>
  </si>
  <si>
    <t>DAC Num.</t>
  </si>
  <si>
    <t>Array per Tranceiver</t>
  </si>
  <si>
    <t>Total DAC Power (mW)</t>
  </si>
  <si>
    <t>Per PAC Power (mW)</t>
  </si>
  <si>
    <t>Total PAC Power (mW)</t>
  </si>
  <si>
    <t>DAC FOM (PJ/conv.)</t>
  </si>
  <si>
    <t>Sig. BW (GHz)</t>
  </si>
  <si>
    <t>Note</t>
  </si>
  <si>
    <t>not sure about VGA power; I guess it is relevant to input power of PA</t>
  </si>
  <si>
    <t>PA power is not included</t>
  </si>
  <si>
    <t>Per DAC Area (mm2)</t>
  </si>
  <si>
    <t>Total DAC Area (mm2)</t>
  </si>
  <si>
    <t>Total PAC Area (mm2)</t>
  </si>
  <si>
    <t>Per PS Area (mm2)</t>
  </si>
  <si>
    <t>Per VGA Area (mm2)</t>
  </si>
  <si>
    <t>Per PAC Area (mm2)</t>
  </si>
  <si>
    <t>Per Divider Area (mm2)</t>
  </si>
  <si>
    <t>RF Divider Area (mm2)</t>
  </si>
  <si>
    <t>RF Divider Num.</t>
  </si>
  <si>
    <t>ENOB not sure</t>
  </si>
  <si>
    <t>228 (w/ amp)</t>
  </si>
  <si>
    <t>Device</t>
  </si>
  <si>
    <t>Devc. or Syst.</t>
  </si>
  <si>
    <t>2 differential stages?; Designed to be robust to load impedance variation</t>
  </si>
  <si>
    <t>0.88 by 0.6 (PAC)</t>
  </si>
  <si>
    <t>Eindhoven Univ. of Tech.</t>
  </si>
  <si>
    <t>Devc. or syst.</t>
  </si>
  <si>
    <t>Total Array Size</t>
  </si>
  <si>
    <t>Array Size per IC</t>
  </si>
  <si>
    <t xml:space="preserve">Affiliation </t>
  </si>
  <si>
    <t>Time</t>
  </si>
  <si>
    <t>Waveform</t>
  </si>
  <si>
    <t>OFDM</t>
  </si>
  <si>
    <t>NCP-SC</t>
  </si>
  <si>
    <t>FFT Size (OFDM)</t>
  </si>
  <si>
    <t>EIRP Tx Power (dBm)</t>
  </si>
  <si>
    <t>Tx power at OP1dB</t>
  </si>
  <si>
    <t>AWMF-0129</t>
  </si>
  <si>
    <t>27.5-30</t>
  </si>
  <si>
    <t>8 by 8</t>
  </si>
  <si>
    <t>DC Power (mW)</t>
  </si>
  <si>
    <t>2 by 2</t>
  </si>
  <si>
    <t>External GaAs PA; 5dBm PA OP1dB at measurement; near-zero DC power (w/o PA) due to passive RF devices</t>
  </si>
  <si>
    <r>
      <t>W. Roh </t>
    </r>
    <r>
      <rPr>
        <i/>
        <sz val="11"/>
        <color rgb="FF000000"/>
        <rFont val="Times New Roman"/>
        <family val="1"/>
      </rPr>
      <t>et al</t>
    </r>
    <r>
      <rPr>
        <sz val="11"/>
        <color rgb="FF000000"/>
        <rFont val="Times New Roman"/>
        <family val="1"/>
      </rPr>
      <t>., "Millimeter-wave beamforming as an enabling technology for 5G cellular communications: theoretical feasibility and prototype results," in </t>
    </r>
    <r>
      <rPr>
        <i/>
        <sz val="11"/>
        <color rgb="FF000000"/>
        <rFont val="Times New Roman"/>
        <family val="1"/>
      </rPr>
      <t>IEEE Communications Magazine</t>
    </r>
    <r>
      <rPr>
        <sz val="11"/>
        <color rgb="FF000000"/>
        <rFont val="Times New Roman"/>
        <family val="1"/>
      </rPr>
      <t>, vol. 52, no. 2, pp. 106-113, February 2014.</t>
    </r>
  </si>
  <si>
    <r>
      <t>Y. Kim </t>
    </r>
    <r>
      <rPr>
        <i/>
        <sz val="11"/>
        <color rgb="FF000000"/>
        <rFont val="Times New Roman"/>
        <family val="1"/>
      </rPr>
      <t>et al</t>
    </r>
    <r>
      <rPr>
        <sz val="11"/>
        <color rgb="FF000000"/>
        <rFont val="Times New Roman"/>
        <family val="1"/>
      </rPr>
      <t>., "Feasibility of Mobile Cellular Communications at Millimeter Wave Frequency," in </t>
    </r>
    <r>
      <rPr>
        <i/>
        <sz val="11"/>
        <color rgb="FF000000"/>
        <rFont val="Times New Roman"/>
        <family val="1"/>
      </rPr>
      <t>IEEE Journal of Selected Topics in Signal Processing</t>
    </r>
    <r>
      <rPr>
        <sz val="11"/>
        <color rgb="FF000000"/>
        <rFont val="Times New Roman"/>
        <family val="1"/>
      </rPr>
      <t>, vol. 10, no. 3, pp. 589-599, April 2016.</t>
    </r>
  </si>
  <si>
    <r>
      <t>W. Hong, K. H. Baek, Y. Lee, Y. Kim and S. T. Ko, "Study and prototyping of practically large-scale mmWave antenna systems for 5G cellular devices," in </t>
    </r>
    <r>
      <rPr>
        <i/>
        <sz val="11"/>
        <color rgb="FF000000"/>
        <rFont val="Times New Roman"/>
        <family val="1"/>
      </rPr>
      <t>IEEE Communications Magazine</t>
    </r>
    <r>
      <rPr>
        <sz val="11"/>
        <color rgb="FF000000"/>
        <rFont val="Times New Roman"/>
        <family val="1"/>
      </rPr>
      <t>, vol. 52, no. 9, pp. 63-69, September 2014.</t>
    </r>
  </si>
  <si>
    <r>
      <t>M. Cudak, T. Kovarik, T. A. Thomas, A. Ghosh, Y. Kishiyama and T. Nakamura, "Experimental mm wave 5G cellular system," </t>
    </r>
    <r>
      <rPr>
        <i/>
        <sz val="11"/>
        <color rgb="FF000000"/>
        <rFont val="Times New Roman"/>
        <family val="1"/>
      </rPr>
      <t>2014 IEEE Globecom Workshops (GC Wkshps)</t>
    </r>
    <r>
      <rPr>
        <sz val="11"/>
        <color rgb="FF000000"/>
        <rFont val="Times New Roman"/>
        <family val="1"/>
      </rPr>
      <t>, Austin, TX, 2014, pp. 377-381.</t>
    </r>
  </si>
  <si>
    <r>
      <t>Y. Inoue, Y. Kishiyama, Y. Okumura, J. Kepler and M. Cudak, "Experimental evaluation of downlink transmission and beam tracking performance for 5G mmW radio access in indoor shielded environment," </t>
    </r>
    <r>
      <rPr>
        <i/>
        <sz val="11"/>
        <color rgb="FF000000"/>
        <rFont val="Times New Roman"/>
        <family val="1"/>
      </rPr>
      <t>2015 IEEE 26th Annual International Symposium on Personal, Indoor, and Mobile Radio Communications (PIMRC)</t>
    </r>
    <r>
      <rPr>
        <sz val="11"/>
        <color rgb="FF000000"/>
        <rFont val="Times New Roman"/>
        <family val="1"/>
      </rPr>
      <t>, Hong Kong, 2015, pp. 862-866.</t>
    </r>
  </si>
  <si>
    <t>Lens antenna and horn antenna at Tx and Rx; Not phased array</t>
  </si>
  <si>
    <t>HW</t>
  </si>
  <si>
    <t>Per Mixer Power (mW)</t>
  </si>
  <si>
    <t>Per Mixer Area (mm2)</t>
  </si>
  <si>
    <t>Per VGA Power (mW)</t>
  </si>
  <si>
    <t>LO Splitter Level</t>
  </si>
  <si>
    <t>Total LO Splitter Area (mm2)</t>
  </si>
  <si>
    <t>LO synthesis Power (mW)</t>
  </si>
  <si>
    <t>LO synthesis Area (mm2)</t>
  </si>
  <si>
    <t>Per PA Emitted Power (mW)</t>
  </si>
  <si>
    <t>PA Efficiency</t>
  </si>
  <si>
    <t>Per PA Consumed Power (mW)</t>
  </si>
  <si>
    <t>Total PA Power (mW)</t>
  </si>
  <si>
    <t>Total Power w/ PA (mW)</t>
  </si>
  <si>
    <t>Total Power w/o PA (mW)</t>
  </si>
  <si>
    <t>Wilkinson Splitter area is estimated from Rebeiz's work in 73GHz and Niknejad's work at 60GHz after scaling by wavelength</t>
  </si>
  <si>
    <t>type</t>
  </si>
  <si>
    <t>power</t>
  </si>
  <si>
    <t>area</t>
  </si>
  <si>
    <t>Per Phase Shifter Power (mW)</t>
  </si>
  <si>
    <t>ct</t>
  </si>
  <si>
    <t>PAC Num.</t>
  </si>
  <si>
    <t>Per RF Combiner Area (mm2)</t>
  </si>
  <si>
    <t>RF Combiner Num.</t>
  </si>
  <si>
    <t>Total RF Combiner Area(mm2)</t>
  </si>
  <si>
    <t>HW Area</t>
  </si>
  <si>
    <t>Total Mixer Area (mm2)</t>
  </si>
  <si>
    <t>1ct power</t>
  </si>
  <si>
    <t>tot power</t>
  </si>
  <si>
    <t>1ct area</t>
  </si>
  <si>
    <t>tot area</t>
  </si>
  <si>
    <t>FOM</t>
  </si>
  <si>
    <t>param</t>
  </si>
  <si>
    <t>Items</t>
  </si>
  <si>
    <t>Total Processing Power (mW)</t>
  </si>
  <si>
    <t>Per Array Processing Power (mW)</t>
  </si>
  <si>
    <t>MxL</t>
  </si>
  <si>
    <t>Modj</t>
  </si>
  <si>
    <t>backhaul</t>
  </si>
  <si>
    <t>0.18mm2 for 7 ENOB IQDAC</t>
  </si>
  <si>
    <t>Per post-comb-amp Power (mW)</t>
  </si>
  <si>
    <t>Per  post-comb-amp Area (mm2)</t>
  </si>
  <si>
    <t>Total  post-comb-amp Area (mm2)</t>
  </si>
  <si>
    <t>Per post-split-amp Power (mW)</t>
  </si>
  <si>
    <t>Per post-split-amp Area (mm2)</t>
  </si>
  <si>
    <t>Tranceiver size (M)</t>
  </si>
  <si>
    <t>Array size (Nt)</t>
  </si>
  <si>
    <t>Array per Tranceiver (Ns)</t>
  </si>
  <si>
    <t>0 (passive) or ~25 (active)</t>
  </si>
  <si>
    <t>21.4 by 22</t>
  </si>
  <si>
    <t>op1db is for vector modulator (PS); VM size is estimated from figure</t>
  </si>
  <si>
    <t>area and power of active/passive PS is estimated from red specs from left</t>
  </si>
  <si>
    <t>CMU</t>
  </si>
  <si>
    <t>25-30</t>
  </si>
  <si>
    <t>A 25-30 GHz 8-antenna 2-stream hybrid beamforming receiver for MIMO communication</t>
  </si>
  <si>
    <t>Area (mm2)</t>
  </si>
  <si>
    <t>module pow</t>
  </si>
  <si>
    <t>Total PS Power (mW)</t>
  </si>
  <si>
    <t>BB Precoding power (mW)</t>
  </si>
  <si>
    <t>Per RF amp Power (mW)</t>
  </si>
  <si>
    <t>Per RF amp Area (mW)</t>
  </si>
  <si>
    <t>Total RF Amp Power (mW)</t>
  </si>
  <si>
    <t>Total Mixer Power  (mW)</t>
  </si>
  <si>
    <t>Total SERDES power (mW)</t>
  </si>
  <si>
    <t>Total SERDES area (mm2)</t>
  </si>
  <si>
    <t>CASE I</t>
  </si>
  <si>
    <t>CASE II</t>
  </si>
  <si>
    <t>CASE III</t>
  </si>
  <si>
    <t>27-32</t>
  </si>
  <si>
    <t>Analog Devices HMC1132</t>
  </si>
  <si>
    <t>?</t>
  </si>
  <si>
    <t>http://www.analog.com/media/en/technical-documentation/data-sheets/HMC1132.pdf</t>
  </si>
  <si>
    <t>[12]</t>
  </si>
  <si>
    <t>[13]</t>
  </si>
  <si>
    <t>[14]</t>
  </si>
  <si>
    <t>[15]</t>
  </si>
  <si>
    <t>[16]</t>
  </si>
  <si>
    <t>A. Sarkar and B. A. Floyd, "A 28-GHz Harmonic-Tuned Power Amplifier in 130-nm SiGe BiCMOS," in IEEE Transactions on Microwave Theory and Techniques, vol. 65, no. 2, pp. 522-535, Feb. 2017.</t>
  </si>
  <si>
    <t>SiGe-130nm</t>
  </si>
  <si>
    <t xml:space="preserve">seems extension of [5] </t>
  </si>
  <si>
    <t>BiCMOS-180nm</t>
  </si>
  <si>
    <r>
      <t>A. Sarkar, F. Aryanfar and B. A. Floyd, "A 28-GHz SiGe BiCMOS PA With 32% Efficiency and 23-dBm Output Power," in </t>
    </r>
    <r>
      <rPr>
        <i/>
        <sz val="11"/>
        <color rgb="FF000000"/>
        <rFont val="Times New Roman"/>
        <family val="1"/>
      </rPr>
      <t>IEEE Journal of Solid-State Circuits</t>
    </r>
    <r>
      <rPr>
        <sz val="11"/>
        <color rgb="FF000000"/>
        <rFont val="Times New Roman"/>
        <family val="1"/>
      </rPr>
      <t>, vol. 52, no. 6, pp. 1680-1686, June 2017.</t>
    </r>
  </si>
  <si>
    <t>S. Shakib, H. C. Park, J. Dunworth, V. Aparin and K. Entesari, "A Highly Efficient and Linear Power Amplifier for 28-GHz 5G Phased Array Radios in 28-nm CMOS," in IEEE Journal of Solid-State Circuits, vol. 51, no. 12, pp. 3020-3036, Dec. 2016.</t>
  </si>
  <si>
    <t>same author as [1] and [2], seems extension of [2]</t>
  </si>
  <si>
    <t>B. Park et al., "Highly Linear mm-Wave CMOS Power Amplifier," in IEEE Transactions on Microwave Theory and Techniques, vol. 64, no. 12, pp. 4535-4544, Dec. 2016.</t>
  </si>
  <si>
    <t>same authors as [4]. Seems a journal extension</t>
  </si>
  <si>
    <t>K. Fujii, "Low cost Ka-band 7W GaAs PHEMT based HPA with GaN PHEMT equivalent performance," 2015 IEEE Radio Frequency Integrated Circuits Symposium (RFIC), Phoenix, AZ, 2015, pp. 207-210.</t>
  </si>
  <si>
    <t>GaN</t>
  </si>
  <si>
    <t>M/A-COM Technology Solutions</t>
  </si>
  <si>
    <t>S. Din, M. Wojtowicz and M. Siddiqui, "High power and high efficiency Ka band power amplifier," 2015 IEEE MTT-S International Microwave Symposium, Phoenix, AZ, 2015, pp. 1-4.</t>
  </si>
  <si>
    <t>Northrop Grumman</t>
  </si>
  <si>
    <t>26-30</t>
  </si>
  <si>
    <t>19-22</t>
  </si>
  <si>
    <t>K. Kim and C. Nguyen, "A 16.5–28 GHz 0.18- $\mu$m BiCMOS Power Amplifier With Flat $19.4 \pm 1.2$ dBm Output Power," in IEEE Microwave and Wireless Components Letters, vol. 24, no. 2, pp. 108-110, Feb. 2014.</t>
  </si>
  <si>
    <t>Texas A&amp;M</t>
  </si>
  <si>
    <t>16.5-28</t>
  </si>
  <si>
    <t>BiCMOS-0.18um</t>
  </si>
  <si>
    <r>
      <rPr>
        <sz val="11"/>
        <color rgb="FFFF0000"/>
        <rFont val="Calibri"/>
        <family val="2"/>
        <scheme val="minor"/>
      </rPr>
      <t>useless</t>
    </r>
    <r>
      <rPr>
        <sz val="11"/>
        <color theme="1"/>
        <rFont val="Calibri"/>
        <family val="2"/>
        <scheme val="minor"/>
      </rPr>
      <t>; power for entire tranceiver chain</t>
    </r>
  </si>
  <si>
    <t>27-31</t>
  </si>
  <si>
    <t>BB Precoding</t>
  </si>
  <si>
    <t>SERDES</t>
  </si>
  <si>
    <t>DAC</t>
  </si>
  <si>
    <t>Mixer</t>
  </si>
  <si>
    <t>Phase Shifter</t>
  </si>
  <si>
    <t>RF Amp</t>
  </si>
  <si>
    <t>Power Amp</t>
  </si>
  <si>
    <t>Per VCO Power (mW)</t>
  </si>
  <si>
    <t>Per VCO Area (mm2)</t>
  </si>
  <si>
    <t>Total VCO Area (mm2)</t>
  </si>
  <si>
    <t>LO Splitter Area (mm2)</t>
  </si>
  <si>
    <t>VCO</t>
  </si>
  <si>
    <t>Area Per Element</t>
  </si>
  <si>
    <t>Reference</t>
  </si>
  <si>
    <t>Devc/Sys</t>
  </si>
  <si>
    <t>material</t>
  </si>
  <si>
    <t>1.CMOS</t>
  </si>
  <si>
    <t>2.BiCMOS</t>
  </si>
  <si>
    <t>3.GaAs</t>
  </si>
  <si>
    <t>4.GaN</t>
  </si>
  <si>
    <t>Qorvo TGA4544-SM</t>
  </si>
  <si>
    <t>N/A</t>
  </si>
  <si>
    <t>Select</t>
  </si>
  <si>
    <t>ISSCC and JSSC version is available; efficiency 9.4% at 7dB backoff</t>
  </si>
  <si>
    <t>ISSCC and JSSC version is available;</t>
  </si>
  <si>
    <t>it is a conference paper and journal version is available; 2-stack level PA</t>
  </si>
  <si>
    <t>http://www.qorvo.com/products/p/TGA4544-SM</t>
  </si>
  <si>
    <t>UCD</t>
  </si>
  <si>
    <t>D. P. Nguyen, B. L. Pham and A. V. Pham, "A compact 29% PAE at 6 dB power back-off E-mode GaAs pHEMT MMIC Doherty power amplifier at Ka-band," 2017 IEEE MTT-S International Microwave Symposium (IMS), Honololu, HI, 2017, pp. 1683-1686.</t>
  </si>
  <si>
    <t>[xx]</t>
  </si>
  <si>
    <t>Uma, LOS</t>
  </si>
  <si>
    <t>1. Other loss use 3-sigma shadow fading</t>
  </si>
  <si>
    <t>Target SNR (dB)</t>
  </si>
  <si>
    <t>Target Multiplex</t>
  </si>
  <si>
    <t>SE (bps/Hz)</t>
  </si>
  <si>
    <t>Throughput (Gbps)</t>
  </si>
  <si>
    <t>3GPP TR 38.900 [1]</t>
  </si>
  <si>
    <t>Total Pout (dBm)</t>
  </si>
  <si>
    <t>Per PA Emitted Power (dBm)</t>
  </si>
  <si>
    <t>Case 1b</t>
  </si>
  <si>
    <t>Case 1a</t>
  </si>
  <si>
    <t>Case 1c</t>
  </si>
  <si>
    <t>Case 1d</t>
  </si>
  <si>
    <t>Case 2a</t>
  </si>
  <si>
    <t>Case 2b</t>
  </si>
  <si>
    <t>Case 2c</t>
  </si>
  <si>
    <t>Case 2d</t>
  </si>
  <si>
    <t>Case 3b</t>
  </si>
  <si>
    <t>Case 3a</t>
  </si>
  <si>
    <t>Case 3c</t>
  </si>
  <si>
    <t>Case 3d</t>
  </si>
  <si>
    <t>Power Case I (mW)</t>
  </si>
  <si>
    <t>SA(N=1024)</t>
  </si>
  <si>
    <t>DA(N=128)</t>
  </si>
  <si>
    <t>Multiplexing Number (U)</t>
  </si>
  <si>
    <t>Multiplexing Level (U)</t>
  </si>
  <si>
    <t>Case 2e</t>
  </si>
  <si>
    <t>Case 1e</t>
  </si>
  <si>
    <t>Case 3e</t>
  </si>
  <si>
    <t xml:space="preserve"> VCO</t>
  </si>
  <si>
    <t>PS</t>
  </si>
  <si>
    <t>PA</t>
  </si>
  <si>
    <t>RF Amp Area (mm2)</t>
  </si>
  <si>
    <t xml:space="preserve">PA </t>
  </si>
  <si>
    <t>Noise Power (dB)</t>
  </si>
  <si>
    <t xml:space="preserve"> PA</t>
  </si>
  <si>
    <t>FH(N=128)</t>
  </si>
  <si>
    <t>SA(N=512)</t>
  </si>
  <si>
    <t>FH(N=512)</t>
  </si>
  <si>
    <t>DA(N=384)</t>
  </si>
  <si>
    <t>HW Area2</t>
  </si>
  <si>
    <t>HW Area3</t>
  </si>
  <si>
    <t>HW Area4</t>
  </si>
  <si>
    <t>RF Amp Num</t>
  </si>
  <si>
    <t>RF Amp Num.</t>
  </si>
  <si>
    <t>Total IL comp Amp Area (mm2)</t>
  </si>
  <si>
    <t>Wilk. Area (mm2)</t>
  </si>
  <si>
    <t>Wilk Area(mm2)</t>
  </si>
  <si>
    <t>SA(N=768)</t>
  </si>
  <si>
    <t>FH(N=768)</t>
  </si>
  <si>
    <t>Price ($)</t>
  </si>
  <si>
    <t>SERDES FOM (mW/Gbps)</t>
  </si>
  <si>
    <t>DAC freq. [GS/s]</t>
  </si>
  <si>
    <t>DAC ENOB [Bits]</t>
  </si>
  <si>
    <t>Sig. BW [GHz]</t>
  </si>
  <si>
    <t>Noise Power [dB]</t>
  </si>
  <si>
    <t>SERDES FOM [mW/Gbps]</t>
  </si>
  <si>
    <t>SERDES area [mm2]</t>
  </si>
  <si>
    <t>Per DAC Area [mm2]</t>
  </si>
  <si>
    <t>Per DAC Power [mW]</t>
  </si>
  <si>
    <t>DAC FOM [PJ/conv.]</t>
  </si>
  <si>
    <t>Total DAC Area [mm2]</t>
  </si>
  <si>
    <t>Per Mixer Power [mW]</t>
  </si>
  <si>
    <t>Per Mixer Area [mm2]</t>
  </si>
  <si>
    <t>Total Mixer Area [mm2]</t>
  </si>
  <si>
    <t>Per VCO Power [mW]</t>
  </si>
  <si>
    <t>Per VCO Area [mm2]</t>
  </si>
  <si>
    <t>Total VCO Area [mm2]</t>
  </si>
  <si>
    <t>Per LO Spltter Area [mm2]</t>
  </si>
  <si>
    <t>Total LO Splitter Area [mm2]</t>
  </si>
  <si>
    <t>Total PS Area [mm2]</t>
  </si>
  <si>
    <t>Wilk. Area [mm2]</t>
  </si>
  <si>
    <t>Per pre-amp Power [mW]</t>
  </si>
  <si>
    <t>Total Area [mm2]</t>
  </si>
  <si>
    <t>Total Power [mW]</t>
  </si>
  <si>
    <t>Total Processing Power [mW]</t>
  </si>
  <si>
    <t>Total Pout [dBm]</t>
  </si>
  <si>
    <t>Per PA Emitted Power [dBm]</t>
  </si>
  <si>
    <t>Per PA Emitted Power [mW]</t>
  </si>
  <si>
    <t>Per PA Consumed Power [mW]</t>
  </si>
  <si>
    <t>Total RF Amp Area [mm2]</t>
  </si>
  <si>
    <t>Per pre-amp Area [mm2]</t>
  </si>
  <si>
    <t>Power Saving over 46dBm (dB)</t>
  </si>
  <si>
    <t>Pout is based on simulation for required SINR performance</t>
  </si>
  <si>
    <t>Totl Pout is based on simulation for required SINR performance</t>
  </si>
  <si>
    <t>Per Mixer Area [mW]</t>
  </si>
  <si>
    <t>Case 4a</t>
  </si>
  <si>
    <t>Case 4b</t>
  </si>
  <si>
    <t>Case 4c</t>
  </si>
  <si>
    <t>Case 4d</t>
  </si>
  <si>
    <t>DAC ENOB (Bits)</t>
  </si>
  <si>
    <t>Noise Power</t>
  </si>
  <si>
    <t>DSP Efficiency (GFLOP/W)</t>
  </si>
  <si>
    <t>SERDES area (mm2)</t>
  </si>
  <si>
    <t>Per LO Spltter Area (mm2)</t>
  </si>
  <si>
    <t>Total PS Area (mm2)</t>
  </si>
  <si>
    <t>Per pre-amp Power (mW)</t>
  </si>
  <si>
    <t>Per pre-amp Area (mm2)</t>
  </si>
  <si>
    <t>Total RF Amp Area (mm2)</t>
  </si>
  <si>
    <t>LO buffer power is estimated from MxL Modj's project; but further investigation is required for scaling rule with DAC num.</t>
  </si>
  <si>
    <t>Mixer power from Modj's project is not available (to further investigate)</t>
  </si>
  <si>
    <t>In case 1-3, the device ct. refers to required active devices</t>
  </si>
  <si>
    <t>Amplifier area needs further investigation</t>
  </si>
  <si>
    <t>Power Multiplex by 1.5 (mW)</t>
  </si>
  <si>
    <t>Power Multiplex by 2 (mW)</t>
  </si>
  <si>
    <t>Power Multiplex by 3 (mW)</t>
  </si>
  <si>
    <t>Power Multiplex by 4 (mW)</t>
  </si>
  <si>
    <t>1X(N=128)</t>
  </si>
  <si>
    <t>2X(N=192)</t>
  </si>
  <si>
    <t>4X(N=256)</t>
  </si>
  <si>
    <t>Per Mixer Area (mW)</t>
  </si>
  <si>
    <t>1X(768)</t>
  </si>
  <si>
    <t>2X(2048)</t>
  </si>
  <si>
    <t>4X(4096)</t>
  </si>
  <si>
    <t>Power Case I (Watt)</t>
  </si>
  <si>
    <t>Power Case II (Watt)</t>
  </si>
  <si>
    <t>Power Case III (Watt)</t>
  </si>
  <si>
    <t>Power Case II (mW)</t>
  </si>
  <si>
    <t>Power Case III (mW)</t>
  </si>
  <si>
    <t>DSP Efficiency [GOP/mW]</t>
  </si>
  <si>
    <t>Total LO Power (mW)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</si>
  <si>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</si>
  <si>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</si>
  <si>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</si>
  <si>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</si>
  <si>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</si>
  <si>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</si>
  <si>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</si>
  <si>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</si>
  <si>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Column12</t>
  </si>
  <si>
    <t>Column13</t>
  </si>
  <si>
    <t>Column14</t>
  </si>
  <si>
    <t>Column15</t>
  </si>
  <si>
    <t>Column22</t>
  </si>
  <si>
    <t>Power Case I (mW), U = 8</t>
  </si>
  <si>
    <t>Power Case I (mW), U = 16</t>
  </si>
  <si>
    <t>Power Case I (mW), U = 32</t>
  </si>
  <si>
    <t>Power Case II (mW), U = 4</t>
  </si>
  <si>
    <t>Power Case II (mW), U = 2</t>
  </si>
  <si>
    <t>Power Case II (mW), U = 8</t>
  </si>
  <si>
    <t>Power Case III (mW), U = 1</t>
  </si>
  <si>
    <t>Antenna Size</t>
  </si>
  <si>
    <t>case 2e</t>
  </si>
  <si>
    <t>case 2f</t>
  </si>
  <si>
    <t>case 2g</t>
  </si>
  <si>
    <t>case 2h</t>
  </si>
  <si>
    <t xml:space="preserve">Power Case I (mW), U = 8    
</t>
  </si>
  <si>
    <t xml:space="preserve">Power Case I (mW), U = 16    
</t>
  </si>
  <si>
    <t xml:space="preserve">Power Case II (mW), U = 8
Power Case II (mW), U = 4   
</t>
  </si>
  <si>
    <t>Column52</t>
  </si>
  <si>
    <t>Column53</t>
  </si>
  <si>
    <t>Column54</t>
  </si>
  <si>
    <t>Column55</t>
  </si>
  <si>
    <t>case 1aa</t>
  </si>
  <si>
    <t>case 1ba</t>
  </si>
  <si>
    <t>case 1ca</t>
  </si>
  <si>
    <t>case 1da</t>
  </si>
  <si>
    <t>case 1ac</t>
  </si>
  <si>
    <t>case 1bc</t>
  </si>
  <si>
    <t>case 1cc</t>
  </si>
  <si>
    <t>case 1dc</t>
  </si>
  <si>
    <t>DSP Energy Efficiency [GOPS/mW]</t>
  </si>
  <si>
    <t>DSP Area Efficiency [GOPS/mm2]</t>
  </si>
  <si>
    <t>DSP area[mm2]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</si>
</sst>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shrinkToFi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 wrapText="1"/>
    </xf>
    <xf numFmtId="1" fontId="0" fillId="0" borderId="2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" fontId="0" fillId="0" borderId="2" xfId="0" applyNumberFormat="1" applyFont="1" applyBorder="1" applyAlignment="1">
      <alignment horizontal="center"/>
    </xf>
    <xf numFmtId="164" fontId="0" fillId="3" borderId="0" xfId="0" applyNumberFormat="1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1" fontId="0" fillId="0" borderId="0" xfId="0" applyNumberFormat="1"/>
    <xf numFmtId="0" fontId="2" fillId="0" borderId="0" xfId="0" applyFont="1" applyAlignment="1"/>
    <xf numFmtId="0" fontId="2" fillId="4" borderId="5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164" fontId="0" fillId="0" borderId="0" xfId="0" applyNumberFormat="1"/>
    <xf numFmtId="1" fontId="0" fillId="14" borderId="0" xfId="0" applyNumberFormat="1" applyFill="1"/>
    <xf numFmtId="0" fontId="2" fillId="13" borderId="3" xfId="0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" fontId="0" fillId="0" borderId="1" xfId="0" applyNumberFormat="1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2" xfId="0" applyNumberFormat="1" applyFont="1" applyBorder="1" applyAlignment="1">
      <alignment horizontal="center"/>
    </xf>
    <xf numFmtId="164" fontId="0" fillId="0" borderId="0" xfId="0" applyNumberFormat="1" applyAlignment="1">
      <alignment horizontal="center" wrapText="1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1" xfId="0" applyNumberFormat="1" applyFont="1" applyBorder="1" applyAlignment="1">
      <alignment horizontal="right"/>
    </xf>
    <xf numFmtId="0" fontId="2" fillId="15" borderId="4" xfId="0" applyFont="1" applyFill="1" applyBorder="1" applyAlignment="1">
      <alignment horizontal="center"/>
    </xf>
    <xf numFmtId="164" fontId="0" fillId="15" borderId="0" xfId="0" applyNumberFormat="1" applyFill="1"/>
    <xf numFmtId="164" fontId="0" fillId="15" borderId="0" xfId="0" applyNumberFormat="1" applyFill="1" applyAlignment="1">
      <alignment horizontal="right"/>
    </xf>
    <xf numFmtId="0" fontId="0" fillId="15" borderId="0" xfId="0" applyFill="1"/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Fill="1"/>
    <xf numFmtId="164" fontId="0" fillId="0" borderId="0" xfId="0" applyNumberFormat="1" applyFill="1"/>
    <xf numFmtId="1" fontId="0" fillId="0" borderId="1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1" fontId="0" fillId="0" borderId="7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16" borderId="0" xfId="0" applyFill="1"/>
    <xf numFmtId="1" fontId="0" fillId="16" borderId="0" xfId="0" applyNumberFormat="1" applyFill="1"/>
    <xf numFmtId="0" fontId="2" fillId="16" borderId="0" xfId="0" applyFont="1" applyFill="1"/>
    <xf numFmtId="164" fontId="0" fillId="16" borderId="0" xfId="0" applyNumberFormat="1" applyFill="1"/>
    <xf numFmtId="0" fontId="0" fillId="17" borderId="0" xfId="0" applyFill="1"/>
    <xf numFmtId="1" fontId="0" fillId="17" borderId="0" xfId="0" applyNumberFormat="1" applyFill="1"/>
    <xf numFmtId="0" fontId="2" fillId="17" borderId="0" xfId="0" applyFont="1" applyFill="1"/>
    <xf numFmtId="164" fontId="0" fillId="17" borderId="0" xfId="0" applyNumberFormat="1" applyFill="1"/>
    <xf numFmtId="165" fontId="0" fillId="14" borderId="0" xfId="0" applyNumberFormat="1" applyFill="1" applyAlignment="1">
      <alignment horizontal="center"/>
    </xf>
    <xf numFmtId="165" fontId="0" fillId="14" borderId="1" xfId="0" applyNumberFormat="1" applyFont="1" applyFill="1" applyBorder="1" applyAlignment="1">
      <alignment horizontal="center"/>
    </xf>
    <xf numFmtId="164" fontId="0" fillId="14" borderId="0" xfId="0" applyNumberFormat="1" applyFont="1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/>
    <xf numFmtId="164" fontId="0" fillId="14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17" borderId="0" xfId="0" applyFont="1" applyFill="1" applyAlignment="1"/>
    <xf numFmtId="1" fontId="2" fillId="17" borderId="0" xfId="0" applyNumberFormat="1" applyFont="1" applyFill="1"/>
    <xf numFmtId="164" fontId="0" fillId="17" borderId="0" xfId="0" applyNumberFormat="1" applyFont="1" applyFill="1"/>
    <xf numFmtId="1" fontId="2" fillId="16" borderId="0" xfId="0" applyNumberFormat="1" applyFont="1" applyFill="1"/>
    <xf numFmtId="1" fontId="0" fillId="18" borderId="0" xfId="0" applyNumberFormat="1" applyFill="1"/>
    <xf numFmtId="164" fontId="0" fillId="18" borderId="0" xfId="0" applyNumberFormat="1" applyFill="1"/>
    <xf numFmtId="1" fontId="2" fillId="18" borderId="0" xfId="0" applyNumberFormat="1" applyFont="1" applyFill="1"/>
    <xf numFmtId="0" fontId="2" fillId="18" borderId="0" xfId="0" applyFont="1" applyFill="1" applyAlignment="1"/>
    <xf numFmtId="0" fontId="0" fillId="0" borderId="0" xfId="0" applyAlignment="1">
      <alignment horizontal="center"/>
    </xf>
    <xf numFmtId="0" fontId="0" fillId="19" borderId="0" xfId="0" applyFill="1"/>
    <xf numFmtId="1" fontId="0" fillId="19" borderId="1" xfId="0" applyNumberFormat="1" applyFont="1" applyFill="1" applyBorder="1" applyAlignment="1">
      <alignment horizontal="center"/>
    </xf>
    <xf numFmtId="164" fontId="0" fillId="19" borderId="0" xfId="0" applyNumberFormat="1" applyFill="1"/>
    <xf numFmtId="1" fontId="2" fillId="0" borderId="0" xfId="0" applyNumberFormat="1" applyFont="1"/>
    <xf numFmtId="0" fontId="2" fillId="0" borderId="0" xfId="0" applyFont="1" applyAlignment="1">
      <alignment horizontal="center"/>
    </xf>
    <xf numFmtId="164" fontId="2" fillId="16" borderId="0" xfId="0" applyNumberFormat="1" applyFont="1" applyFill="1"/>
    <xf numFmtId="0" fontId="2" fillId="16" borderId="0" xfId="0" applyFont="1" applyFill="1" applyAlignment="1">
      <alignment horizontal="center"/>
    </xf>
    <xf numFmtId="0" fontId="2" fillId="1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18" borderId="0" xfId="0" applyFont="1" applyFill="1" applyAlignment="1">
      <alignment horizontal="center"/>
    </xf>
    <xf numFmtId="0" fontId="0" fillId="19" borderId="8" xfId="0" applyFill="1" applyBorder="1" applyAlignment="1">
      <alignment horizontal="center" wrapText="1"/>
    </xf>
    <xf numFmtId="0" fontId="0" fillId="19" borderId="8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331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family val="2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0.0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4" formatCode="0.0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0.0"/>
      <alignment horizontal="center" vertical="center" textRotation="0" wrapText="1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numFmt numFmtId="164" formatCode="0.0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0.0"/>
      <alignment horizontal="center" vertical="center" textRotation="0" wrapText="1" indent="0" justifyLastLine="0" shrinkToFit="0" readingOrder="0"/>
    </dxf>
    <dxf>
      <numFmt numFmtId="164" formatCode="0.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 in Use</a:t>
            </a:r>
            <a:r>
              <a:rPr lang="en-US" baseline="0"/>
              <a:t> Case 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58834192488523E-2"/>
          <c:y val="0.11816807535575127"/>
          <c:w val="0.88335939122717577"/>
          <c:h val="0.59120897738561307"/>
        </c:manualLayout>
      </c:layout>
      <c:areaChart>
        <c:grouping val="stacked"/>
        <c:varyColors val="0"/>
        <c:ser>
          <c:idx val="0"/>
          <c:order val="0"/>
          <c:tx>
            <c:strRef>
              <c:f>Digital!$H$59</c:f>
              <c:strCache>
                <c:ptCount val="1"/>
                <c:pt idx="0">
                  <c:v>BB Precoding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Digital!$I$58:$L$58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Digital!$I$59:$L$59</c:f>
              <c:numCache>
                <c:formatCode>0.0</c:formatCode>
                <c:ptCount val="4"/>
                <c:pt idx="0">
                  <c:v>0.50215384615384617</c:v>
                </c:pt>
                <c:pt idx="1">
                  <c:v>1.0043076923076923</c:v>
                </c:pt>
                <c:pt idx="2">
                  <c:v>1.5064615384615385</c:v>
                </c:pt>
                <c:pt idx="3">
                  <c:v>2.0086153846153847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8-4A83-A893-986B755C44FE}"/>
            </c:ext>
          </c:extLst>
        </c:ser>
        <c:ser>
          <c:idx val="1"/>
          <c:order val="1"/>
          <c:tx>
            <c:strRef>
              <c:f>Digital!$H$60</c:f>
              <c:strCache>
                <c:ptCount val="1"/>
                <c:pt idx="0">
                  <c:v>SERDES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Digital!$I$58:$L$58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Digital!$I$60:$L$60</c:f>
              <c:numCache>
                <c:formatCode>0.0</c:formatCode>
                <c:ptCount val="4"/>
                <c:pt idx="0">
                  <c:v>0.73584046634779432</c:v>
                </c:pt>
                <c:pt idx="1">
                  <c:v>0.65469379968112762</c:v>
                </c:pt>
                <c:pt idx="2">
                  <c:v>0.6100404663477943</c:v>
                </c:pt>
                <c:pt idx="3">
                  <c:v>0.57944046634779445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8-4A83-A893-986B755C44FE}"/>
            </c:ext>
          </c:extLst>
        </c:ser>
        <c:ser>
          <c:idx val="2"/>
          <c:order val="2"/>
          <c:tx>
            <c:strRef>
              <c:f>Digital!$H$61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Digital!$I$58:$L$58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Digital!$I$61:$L$61</c:f>
              <c:numCache>
                <c:formatCode>0.0</c:formatCode>
                <c:ptCount val="4"/>
                <c:pt idx="0">
                  <c:v>0.37022800567496605</c:v>
                </c:pt>
                <c:pt idx="1">
                  <c:v>0.48964880528413923</c:v>
                </c:pt>
                <c:pt idx="2">
                  <c:v>0.58497563339591274</c:v>
                </c:pt>
                <c:pt idx="3">
                  <c:v>0.66733632277209665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8-4A83-A893-986B755C44FE}"/>
            </c:ext>
          </c:extLst>
        </c:ser>
        <c:ser>
          <c:idx val="3"/>
          <c:order val="3"/>
          <c:tx>
            <c:strRef>
              <c:f>Digital!$H$62</c:f>
              <c:strCache>
                <c:ptCount val="1"/>
                <c:pt idx="0">
                  <c:v>Mixer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Digital!$I$58:$L$58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Digital!$I$62:$L$62</c:f>
              <c:numCache>
                <c:formatCode>0.0</c:formatCode>
                <c:ptCount val="4"/>
                <c:pt idx="0">
                  <c:v>0.64</c:v>
                </c:pt>
                <c:pt idx="1">
                  <c:v>1.28</c:v>
                </c:pt>
                <c:pt idx="2">
                  <c:v>1.92</c:v>
                </c:pt>
                <c:pt idx="3">
                  <c:v>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98-4A83-A893-986B755C44FE}"/>
            </c:ext>
          </c:extLst>
        </c:ser>
        <c:ser>
          <c:idx val="4"/>
          <c:order val="4"/>
          <c:tx>
            <c:strRef>
              <c:f>Digital!$H$63</c:f>
              <c:strCache>
                <c:ptCount val="1"/>
                <c:pt idx="0">
                  <c:v>VCO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Digital!$I$58:$L$58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Digital!$I$63:$L$63</c:f>
              <c:numCache>
                <c:formatCode>0.0</c:formatCode>
                <c:ptCount val="4"/>
                <c:pt idx="0">
                  <c:v>3.84</c:v>
                </c:pt>
                <c:pt idx="1">
                  <c:v>7.68</c:v>
                </c:pt>
                <c:pt idx="2">
                  <c:v>11.52</c:v>
                </c:pt>
                <c:pt idx="3">
                  <c:v>15.36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98-4A83-A893-986B755C44FE}"/>
            </c:ext>
          </c:extLst>
        </c:ser>
        <c:ser>
          <c:idx val="5"/>
          <c:order val="5"/>
          <c:tx>
            <c:strRef>
              <c:f>Digital!$H$64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Digital!$I$58:$L$58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Digital!$I$64:$L$64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98-4A83-A893-986B755C44FE}"/>
            </c:ext>
          </c:extLst>
        </c:ser>
        <c:ser>
          <c:idx val="6"/>
          <c:order val="6"/>
          <c:tx>
            <c:strRef>
              <c:f>Digital!$H$65</c:f>
              <c:strCache>
                <c:ptCount val="1"/>
                <c:pt idx="0">
                  <c:v>RF Amp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Digital!$I$58:$L$58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Digital!$I$65:$L$65</c:f>
              <c:numCache>
                <c:formatCode>0.0</c:formatCode>
                <c:ptCount val="4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98-4A83-A893-986B755C44FE}"/>
            </c:ext>
          </c:extLst>
        </c:ser>
        <c:ser>
          <c:idx val="7"/>
          <c:order val="7"/>
          <c:tx>
            <c:strRef>
              <c:f>Digital!$H$66</c:f>
              <c:strCache>
                <c:ptCount val="1"/>
                <c:pt idx="0">
                  <c:v>PA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Digital!$I$58:$L$58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Digital!$I$66:$L$66</c:f>
              <c:numCache>
                <c:formatCode>0.0</c:formatCode>
                <c:ptCount val="4"/>
                <c:pt idx="0">
                  <c:v>76.882637141774154</c:v>
                </c:pt>
                <c:pt idx="1">
                  <c:v>33.715396512563238</c:v>
                </c:pt>
                <c:pt idx="2">
                  <c:v>21.420434284077842</c:v>
                </c:pt>
                <c:pt idx="3">
                  <c:v>15.69741975386191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98-4A83-A893-986B755C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365280"/>
        <c:axId val="659377744"/>
      </c:areaChart>
      <c:catAx>
        <c:axId val="6593652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77744"/>
        <c:crosses val="autoZero"/>
        <c:auto val="1"/>
        <c:lblAlgn val="ctr"/>
        <c:lblOffset val="100"/>
        <c:noMultiLvlLbl val="0"/>
      </c:catAx>
      <c:valAx>
        <c:axId val="6593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6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81126510918380501"/>
          <c:w val="0.9"/>
          <c:h val="0.15435924840241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Breakdown for Dense</a:t>
            </a:r>
            <a:r>
              <a:rPr lang="en-US" baseline="0"/>
              <a:t> Urban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'Power Chart'!$G$3</c:f>
              <c:strCache>
                <c:ptCount val="1"/>
                <c:pt idx="0">
                  <c:v>BB Precoding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'Power Chart'!$H$2:$J$2</c:f>
              <c:strCache>
                <c:ptCount val="3"/>
                <c:pt idx="0">
                  <c:v>DA(N=128)</c:v>
                </c:pt>
                <c:pt idx="1">
                  <c:v>SA(N=768)</c:v>
                </c:pt>
                <c:pt idx="2">
                  <c:v>FH(N=128)</c:v>
                </c:pt>
              </c:strCache>
            </c:strRef>
          </c:cat>
          <c:val>
            <c:numRef>
              <c:f>'Power Chart'!$H$3:$J$3</c:f>
              <c:numCache>
                <c:formatCode>0.0</c:formatCode>
                <c:ptCount val="3"/>
                <c:pt idx="0">
                  <c:v>1.0043076923076923</c:v>
                </c:pt>
                <c:pt idx="1">
                  <c:v>0.25107692307692309</c:v>
                </c:pt>
                <c:pt idx="2">
                  <c:v>6.2769230769230772E-2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9-4A73-8246-12B5D89495C2}"/>
            </c:ext>
          </c:extLst>
        </c:ser>
        <c:ser>
          <c:idx val="1"/>
          <c:order val="1"/>
          <c:tx>
            <c:strRef>
              <c:f>'Power Chart'!$G$4</c:f>
              <c:strCache>
                <c:ptCount val="1"/>
                <c:pt idx="0">
                  <c:v>SERDES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'Power Chart'!$H$2:$J$2</c:f>
              <c:strCache>
                <c:ptCount val="3"/>
                <c:pt idx="0">
                  <c:v>DA(N=128)</c:v>
                </c:pt>
                <c:pt idx="1">
                  <c:v>SA(N=768)</c:v>
                </c:pt>
                <c:pt idx="2">
                  <c:v>FH(N=128)</c:v>
                </c:pt>
              </c:strCache>
            </c:strRef>
          </c:cat>
          <c:val>
            <c:numRef>
              <c:f>'Power Chart'!$H$4:$J$4</c:f>
              <c:numCache>
                <c:formatCode>0.0</c:formatCode>
                <c:ptCount val="3"/>
                <c:pt idx="0">
                  <c:v>0.65469379968112762</c:v>
                </c:pt>
                <c:pt idx="1">
                  <c:v>0.96821488211858941</c:v>
                </c:pt>
                <c:pt idx="2">
                  <c:v>0.96018719606867631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9-4A73-8246-12B5D89495C2}"/>
            </c:ext>
          </c:extLst>
        </c:ser>
        <c:ser>
          <c:idx val="2"/>
          <c:order val="2"/>
          <c:tx>
            <c:strRef>
              <c:f>'Power Chart'!$G$5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'Power Chart'!$H$2:$J$2</c:f>
              <c:strCache>
                <c:ptCount val="3"/>
                <c:pt idx="0">
                  <c:v>DA(N=128)</c:v>
                </c:pt>
                <c:pt idx="1">
                  <c:v>SA(N=768)</c:v>
                </c:pt>
                <c:pt idx="2">
                  <c:v>FH(N=128)</c:v>
                </c:pt>
              </c:strCache>
            </c:strRef>
          </c:cat>
          <c:val>
            <c:numRef>
              <c:f>'Power Chart'!$H$5:$J$5</c:f>
              <c:numCache>
                <c:formatCode>0.0</c:formatCode>
                <c:ptCount val="3"/>
                <c:pt idx="0">
                  <c:v>0.48964880528413923</c:v>
                </c:pt>
                <c:pt idx="1">
                  <c:v>0.9075719003616125</c:v>
                </c:pt>
                <c:pt idx="2">
                  <c:v>0.24580792219358114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19-4A73-8246-12B5D89495C2}"/>
            </c:ext>
          </c:extLst>
        </c:ser>
        <c:ser>
          <c:idx val="3"/>
          <c:order val="3"/>
          <c:tx>
            <c:strRef>
              <c:f>'Power Chart'!$G$6</c:f>
              <c:strCache>
                <c:ptCount val="1"/>
                <c:pt idx="0">
                  <c:v>Mixer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'Power Chart'!$H$2:$J$2</c:f>
              <c:strCache>
                <c:ptCount val="3"/>
                <c:pt idx="0">
                  <c:v>DA(N=128)</c:v>
                </c:pt>
                <c:pt idx="1">
                  <c:v>SA(N=768)</c:v>
                </c:pt>
                <c:pt idx="2">
                  <c:v>FH(N=128)</c:v>
                </c:pt>
              </c:strCache>
            </c:strRef>
          </c:cat>
          <c:val>
            <c:numRef>
              <c:f>'Power Chart'!$H$6:$J$6</c:f>
              <c:numCache>
                <c:formatCode>0.0</c:formatCode>
                <c:ptCount val="3"/>
                <c:pt idx="0">
                  <c:v>1.28</c:v>
                </c:pt>
                <c:pt idx="1">
                  <c:v>0.48</c:v>
                </c:pt>
                <c:pt idx="2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19-4A73-8246-12B5D89495C2}"/>
            </c:ext>
          </c:extLst>
        </c:ser>
        <c:ser>
          <c:idx val="4"/>
          <c:order val="4"/>
          <c:tx>
            <c:strRef>
              <c:f>'Power Chart'!$G$7</c:f>
              <c:strCache>
                <c:ptCount val="1"/>
                <c:pt idx="0">
                  <c:v>VCO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'Power Chart'!$H$2:$J$2</c:f>
              <c:strCache>
                <c:ptCount val="3"/>
                <c:pt idx="0">
                  <c:v>DA(N=128)</c:v>
                </c:pt>
                <c:pt idx="1">
                  <c:v>SA(N=768)</c:v>
                </c:pt>
                <c:pt idx="2">
                  <c:v>FH(N=128)</c:v>
                </c:pt>
              </c:strCache>
            </c:strRef>
          </c:cat>
          <c:val>
            <c:numRef>
              <c:f>'Power Chart'!$H$7:$J$7</c:f>
              <c:numCache>
                <c:formatCode>0.0</c:formatCode>
                <c:ptCount val="3"/>
                <c:pt idx="0">
                  <c:v>7.68</c:v>
                </c:pt>
                <c:pt idx="1">
                  <c:v>2.88</c:v>
                </c:pt>
                <c:pt idx="2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19-4A73-8246-12B5D89495C2}"/>
            </c:ext>
          </c:extLst>
        </c:ser>
        <c:ser>
          <c:idx val="5"/>
          <c:order val="5"/>
          <c:tx>
            <c:strRef>
              <c:f>'Power Chart'!$G$8</c:f>
              <c:strCache>
                <c:ptCount val="1"/>
                <c:pt idx="0">
                  <c:v>Phase Shifter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'Power Chart'!$H$2:$J$2</c:f>
              <c:strCache>
                <c:ptCount val="3"/>
                <c:pt idx="0">
                  <c:v>DA(N=128)</c:v>
                </c:pt>
                <c:pt idx="1">
                  <c:v>SA(N=768)</c:v>
                </c:pt>
                <c:pt idx="2">
                  <c:v>FH(N=128)</c:v>
                </c:pt>
              </c:strCache>
            </c:strRef>
          </c:cat>
          <c:val>
            <c:numRef>
              <c:f>'Power Chart'!$H$8:$J$8</c:f>
              <c:numCache>
                <c:formatCode>0.0</c:formatCode>
                <c:ptCount val="3"/>
                <c:pt idx="0">
                  <c:v>0</c:v>
                </c:pt>
                <c:pt idx="1">
                  <c:v>7.68</c:v>
                </c:pt>
                <c:pt idx="2">
                  <c:v>10.24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19-4A73-8246-12B5D89495C2}"/>
            </c:ext>
          </c:extLst>
        </c:ser>
        <c:ser>
          <c:idx val="6"/>
          <c:order val="6"/>
          <c:tx>
            <c:strRef>
              <c:f>'Power Chart'!$G$9</c:f>
              <c:strCache>
                <c:ptCount val="1"/>
                <c:pt idx="0">
                  <c:v>RF Amp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'Power Chart'!$H$2:$J$2</c:f>
              <c:strCache>
                <c:ptCount val="3"/>
                <c:pt idx="0">
                  <c:v>DA(N=128)</c:v>
                </c:pt>
                <c:pt idx="1">
                  <c:v>SA(N=768)</c:v>
                </c:pt>
                <c:pt idx="2">
                  <c:v>FH(N=128)</c:v>
                </c:pt>
              </c:strCache>
            </c:strRef>
          </c:cat>
          <c:val>
            <c:numRef>
              <c:f>'Power Chart'!$H$9:$J$9</c:f>
              <c:numCache>
                <c:formatCode>0.0</c:formatCode>
                <c:ptCount val="3"/>
                <c:pt idx="0">
                  <c:v>5.12</c:v>
                </c:pt>
                <c:pt idx="1">
                  <c:v>38.4</c:v>
                </c:pt>
                <c:pt idx="2">
                  <c:v>32.426666666666662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19-4A73-8246-12B5D89495C2}"/>
            </c:ext>
          </c:extLst>
        </c:ser>
        <c:ser>
          <c:idx val="7"/>
          <c:order val="7"/>
          <c:tx>
            <c:strRef>
              <c:f>'Power Chart'!$G$10</c:f>
              <c:strCache>
                <c:ptCount val="1"/>
                <c:pt idx="0">
                  <c:v>Power Amp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'Power Chart'!$H$2:$J$2</c:f>
              <c:strCache>
                <c:ptCount val="3"/>
                <c:pt idx="0">
                  <c:v>DA(N=128)</c:v>
                </c:pt>
                <c:pt idx="1">
                  <c:v>SA(N=768)</c:v>
                </c:pt>
                <c:pt idx="2">
                  <c:v>FH(N=128)</c:v>
                </c:pt>
              </c:strCache>
            </c:strRef>
          </c:cat>
          <c:val>
            <c:numRef>
              <c:f>'Power Chart'!$H$10:$J$10</c:f>
              <c:numCache>
                <c:formatCode>0.0</c:formatCode>
                <c:ptCount val="3"/>
                <c:pt idx="0">
                  <c:v>33.715396512563238</c:v>
                </c:pt>
                <c:pt idx="1">
                  <c:v>67.893511551074397</c:v>
                </c:pt>
                <c:pt idx="2">
                  <c:v>46.862804095038825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19-4A73-8246-12B5D8949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3512016"/>
        <c:axId val="553506768"/>
      </c:barChart>
      <c:catAx>
        <c:axId val="55351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06768"/>
        <c:crosses val="autoZero"/>
        <c:auto val="1"/>
        <c:lblAlgn val="ctr"/>
        <c:lblOffset val="100"/>
        <c:noMultiLvlLbl val="0"/>
      </c:catAx>
      <c:valAx>
        <c:axId val="55350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1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Breakdown for 50Mbps</a:t>
            </a:r>
            <a:r>
              <a:rPr lang="en-US" baseline="0"/>
              <a:t> Everywhere </a:t>
            </a:r>
            <a:endParaRPr lang="en-US"/>
          </a:p>
        </c:rich>
      </c:tx>
      <c:layout>
        <c:manualLayout>
          <c:xMode val="edge"/>
          <c:yMode val="edge"/>
          <c:x val="0.160854111986001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'Power Chart'!$G$13</c:f>
              <c:strCache>
                <c:ptCount val="1"/>
                <c:pt idx="0">
                  <c:v>BB Precoding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'Power Chart'!$H$12:$J$12</c:f>
              <c:strCache>
                <c:ptCount val="3"/>
                <c:pt idx="0">
                  <c:v>DA(N=384)</c:v>
                </c:pt>
                <c:pt idx="1">
                  <c:v>SA(N=1024)</c:v>
                </c:pt>
                <c:pt idx="2">
                  <c:v>FH(N=768)</c:v>
                </c:pt>
              </c:strCache>
            </c:strRef>
          </c:cat>
          <c:val>
            <c:numRef>
              <c:f>'Power Chart'!$H$13:$J$13</c:f>
              <c:numCache>
                <c:formatCode>0.0</c:formatCode>
                <c:ptCount val="3"/>
                <c:pt idx="0">
                  <c:v>2.1090461538461538</c:v>
                </c:pt>
                <c:pt idx="1">
                  <c:v>0.30286153846153846</c:v>
                </c:pt>
                <c:pt idx="2">
                  <c:v>1.0984615384615384E-2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F-41AC-ABA4-C61A2615C42C}"/>
            </c:ext>
          </c:extLst>
        </c:ser>
        <c:ser>
          <c:idx val="1"/>
          <c:order val="1"/>
          <c:tx>
            <c:strRef>
              <c:f>'Power Chart'!$G$14</c:f>
              <c:strCache>
                <c:ptCount val="1"/>
                <c:pt idx="0">
                  <c:v>SERDES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'Power Chart'!$H$12:$J$12</c:f>
              <c:strCache>
                <c:ptCount val="3"/>
                <c:pt idx="0">
                  <c:v>DA(N=384)</c:v>
                </c:pt>
                <c:pt idx="1">
                  <c:v>SA(N=1024)</c:v>
                </c:pt>
                <c:pt idx="2">
                  <c:v>FH(N=768)</c:v>
                </c:pt>
              </c:strCache>
            </c:strRef>
          </c:cat>
          <c:val>
            <c:numRef>
              <c:f>'Power Chart'!$H$14:$J$14</c:f>
              <c:numCache>
                <c:formatCode>0.0</c:formatCode>
                <c:ptCount val="3"/>
                <c:pt idx="0">
                  <c:v>0.13600000000000001</c:v>
                </c:pt>
                <c:pt idx="1">
                  <c:v>0.14485359803433817</c:v>
                </c:pt>
                <c:pt idx="2">
                  <c:v>0.14548210271416007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F-41AC-ABA4-C61A2615C42C}"/>
            </c:ext>
          </c:extLst>
        </c:ser>
        <c:ser>
          <c:idx val="2"/>
          <c:order val="2"/>
          <c:tx>
            <c:strRef>
              <c:f>'Power Chart'!$G$15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'Power Chart'!$H$12:$J$12</c:f>
              <c:strCache>
                <c:ptCount val="3"/>
                <c:pt idx="0">
                  <c:v>DA(N=384)</c:v>
                </c:pt>
                <c:pt idx="1">
                  <c:v>SA(N=1024)</c:v>
                </c:pt>
                <c:pt idx="2">
                  <c:v>FH(N=768)</c:v>
                </c:pt>
              </c:strCache>
            </c:strRef>
          </c:cat>
          <c:val>
            <c:numRef>
              <c:f>'Power Chart'!$H$15:$J$15</c:f>
              <c:numCache>
                <c:formatCode>0.0</c:formatCode>
                <c:ptCount val="3"/>
                <c:pt idx="0">
                  <c:v>0.8355840000000001</c:v>
                </c:pt>
                <c:pt idx="1">
                  <c:v>0.16681191130856859</c:v>
                </c:pt>
                <c:pt idx="2">
                  <c:v>1.8621709147412492E-2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F-41AC-ABA4-C61A2615C42C}"/>
            </c:ext>
          </c:extLst>
        </c:ser>
        <c:ser>
          <c:idx val="3"/>
          <c:order val="3"/>
          <c:tx>
            <c:strRef>
              <c:f>'Power Chart'!$G$16</c:f>
              <c:strCache>
                <c:ptCount val="1"/>
                <c:pt idx="0">
                  <c:v>Mixer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'Power Chart'!$H$12:$J$12</c:f>
              <c:strCache>
                <c:ptCount val="3"/>
                <c:pt idx="0">
                  <c:v>DA(N=384)</c:v>
                </c:pt>
                <c:pt idx="1">
                  <c:v>SA(N=1024)</c:v>
                </c:pt>
                <c:pt idx="2">
                  <c:v>FH(N=768)</c:v>
                </c:pt>
              </c:strCache>
            </c:strRef>
          </c:cat>
          <c:val>
            <c:numRef>
              <c:f>'Power Chart'!$H$16:$J$16</c:f>
              <c:numCache>
                <c:formatCode>0.0</c:formatCode>
                <c:ptCount val="3"/>
                <c:pt idx="0">
                  <c:v>3.84</c:v>
                </c:pt>
                <c:pt idx="1">
                  <c:v>0.64</c:v>
                </c:pt>
                <c:pt idx="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F-41AC-ABA4-C61A2615C42C}"/>
            </c:ext>
          </c:extLst>
        </c:ser>
        <c:ser>
          <c:idx val="4"/>
          <c:order val="4"/>
          <c:tx>
            <c:strRef>
              <c:f>'Power Chart'!$G$17</c:f>
              <c:strCache>
                <c:ptCount val="1"/>
                <c:pt idx="0">
                  <c:v>VCO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'Power Chart'!$H$12:$J$12</c:f>
              <c:strCache>
                <c:ptCount val="3"/>
                <c:pt idx="0">
                  <c:v>DA(N=384)</c:v>
                </c:pt>
                <c:pt idx="1">
                  <c:v>SA(N=1024)</c:v>
                </c:pt>
                <c:pt idx="2">
                  <c:v>FH(N=768)</c:v>
                </c:pt>
              </c:strCache>
            </c:strRef>
          </c:cat>
          <c:val>
            <c:numRef>
              <c:f>'Power Chart'!$H$17:$J$17</c:f>
              <c:numCache>
                <c:formatCode>0.0</c:formatCode>
                <c:ptCount val="3"/>
                <c:pt idx="0">
                  <c:v>23.04</c:v>
                </c:pt>
                <c:pt idx="1">
                  <c:v>3.84</c:v>
                </c:pt>
                <c:pt idx="2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2F-41AC-ABA4-C61A2615C42C}"/>
            </c:ext>
          </c:extLst>
        </c:ser>
        <c:ser>
          <c:idx val="5"/>
          <c:order val="5"/>
          <c:tx>
            <c:strRef>
              <c:f>'Power Chart'!$G$18</c:f>
              <c:strCache>
                <c:ptCount val="1"/>
                <c:pt idx="0">
                  <c:v>Phase Shifter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'Power Chart'!$H$12:$J$12</c:f>
              <c:strCache>
                <c:ptCount val="3"/>
                <c:pt idx="0">
                  <c:v>DA(N=384)</c:v>
                </c:pt>
                <c:pt idx="1">
                  <c:v>SA(N=1024)</c:v>
                </c:pt>
                <c:pt idx="2">
                  <c:v>FH(N=768)</c:v>
                </c:pt>
              </c:strCache>
            </c:strRef>
          </c:cat>
          <c:val>
            <c:numRef>
              <c:f>'Power Chart'!$H$18:$J$18</c:f>
              <c:numCache>
                <c:formatCode>0.0</c:formatCode>
                <c:ptCount val="3"/>
                <c:pt idx="0">
                  <c:v>0</c:v>
                </c:pt>
                <c:pt idx="1">
                  <c:v>10.24</c:v>
                </c:pt>
                <c:pt idx="2">
                  <c:v>15.36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2F-41AC-ABA4-C61A2615C42C}"/>
            </c:ext>
          </c:extLst>
        </c:ser>
        <c:ser>
          <c:idx val="6"/>
          <c:order val="6"/>
          <c:tx>
            <c:strRef>
              <c:f>'Power Chart'!$G$19</c:f>
              <c:strCache>
                <c:ptCount val="1"/>
                <c:pt idx="0">
                  <c:v>RF Amp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'Power Chart'!$H$12:$J$12</c:f>
              <c:strCache>
                <c:ptCount val="3"/>
                <c:pt idx="0">
                  <c:v>DA(N=384)</c:v>
                </c:pt>
                <c:pt idx="1">
                  <c:v>SA(N=1024)</c:v>
                </c:pt>
                <c:pt idx="2">
                  <c:v>FH(N=768)</c:v>
                </c:pt>
              </c:strCache>
            </c:strRef>
          </c:cat>
          <c:val>
            <c:numRef>
              <c:f>'Power Chart'!$H$19:$J$19</c:f>
              <c:numCache>
                <c:formatCode>0.0</c:formatCode>
                <c:ptCount val="3"/>
                <c:pt idx="0">
                  <c:v>15.36</c:v>
                </c:pt>
                <c:pt idx="1">
                  <c:v>51.2</c:v>
                </c:pt>
                <c:pt idx="2">
                  <c:v>71.680000000000007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2F-41AC-ABA4-C61A2615C42C}"/>
            </c:ext>
          </c:extLst>
        </c:ser>
        <c:ser>
          <c:idx val="7"/>
          <c:order val="7"/>
          <c:tx>
            <c:strRef>
              <c:f>'Power Chart'!$G$20</c:f>
              <c:strCache>
                <c:ptCount val="1"/>
                <c:pt idx="0">
                  <c:v>Power Amp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'Power Chart'!$H$12:$J$12</c:f>
              <c:strCache>
                <c:ptCount val="3"/>
                <c:pt idx="0">
                  <c:v>DA(N=384)</c:v>
                </c:pt>
                <c:pt idx="1">
                  <c:v>SA(N=1024)</c:v>
                </c:pt>
                <c:pt idx="2">
                  <c:v>FH(N=768)</c:v>
                </c:pt>
              </c:strCache>
            </c:strRef>
          </c:cat>
          <c:val>
            <c:numRef>
              <c:f>'Power Chart'!$H$20:$J$20</c:f>
              <c:numCache>
                <c:formatCode>0.0</c:formatCode>
                <c:ptCount val="3"/>
                <c:pt idx="0">
                  <c:v>138.3019398327375</c:v>
                </c:pt>
                <c:pt idx="1">
                  <c:v>133.91470581801565</c:v>
                </c:pt>
                <c:pt idx="2">
                  <c:v>91.58582705120709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2F-41AC-ABA4-C61A2615C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031632"/>
        <c:axId val="421035568"/>
      </c:barChart>
      <c:catAx>
        <c:axId val="421031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35568"/>
        <c:crosses val="autoZero"/>
        <c:auto val="1"/>
        <c:lblAlgn val="ctr"/>
        <c:lblOffset val="100"/>
        <c:noMultiLvlLbl val="0"/>
      </c:catAx>
      <c:valAx>
        <c:axId val="42103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3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Breakdown in Self-Backhauling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'Power Chart'!$G$23</c:f>
              <c:strCache>
                <c:ptCount val="1"/>
                <c:pt idx="0">
                  <c:v>BB Precoding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'Power Chart'!$H$22:$J$22</c:f>
              <c:strCache>
                <c:ptCount val="3"/>
                <c:pt idx="0">
                  <c:v>DA(N=384)</c:v>
                </c:pt>
                <c:pt idx="1">
                  <c:v>SA(N=512)</c:v>
                </c:pt>
                <c:pt idx="2">
                  <c:v>FH(N=512)</c:v>
                </c:pt>
              </c:strCache>
            </c:strRef>
          </c:cat>
          <c:val>
            <c:numRef>
              <c:f>'Power Chart'!$H$23:$J$23</c:f>
              <c:numCache>
                <c:formatCode>0.0</c:formatCode>
                <c:ptCount val="3"/>
                <c:pt idx="0">
                  <c:v>1.9584000000000001</c:v>
                </c:pt>
                <c:pt idx="1">
                  <c:v>0.15103846153846154</c:v>
                </c:pt>
                <c:pt idx="2">
                  <c:v>5.0999999999999995E-3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7-4F49-B0EC-278A82CD3DC7}"/>
            </c:ext>
          </c:extLst>
        </c:ser>
        <c:ser>
          <c:idx val="1"/>
          <c:order val="1"/>
          <c:tx>
            <c:strRef>
              <c:f>'Power Chart'!$G$24</c:f>
              <c:strCache>
                <c:ptCount val="1"/>
                <c:pt idx="0">
                  <c:v>SERDES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'Power Chart'!$H$22:$J$22</c:f>
              <c:strCache>
                <c:ptCount val="3"/>
                <c:pt idx="0">
                  <c:v>DA(N=384)</c:v>
                </c:pt>
                <c:pt idx="1">
                  <c:v>SA(N=512)</c:v>
                </c:pt>
                <c:pt idx="2">
                  <c:v>FH(N=512)</c:v>
                </c:pt>
              </c:strCache>
            </c:strRef>
          </c:cat>
          <c:val>
            <c:numRef>
              <c:f>'Power Chart'!$H$24:$J$24</c:f>
              <c:numCache>
                <c:formatCode>0.0</c:formatCode>
                <c:ptCount val="3"/>
                <c:pt idx="0">
                  <c:v>7.9049999999999995E-2</c:v>
                </c:pt>
                <c:pt idx="1">
                  <c:v>0.15552931556098185</c:v>
                </c:pt>
                <c:pt idx="2">
                  <c:v>0.15552931556098185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7-4F49-B0EC-278A82CD3DC7}"/>
            </c:ext>
          </c:extLst>
        </c:ser>
        <c:ser>
          <c:idx val="2"/>
          <c:order val="2"/>
          <c:tx>
            <c:strRef>
              <c:f>'Power Chart'!$G$25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'Power Chart'!$H$22:$J$22</c:f>
              <c:strCache>
                <c:ptCount val="3"/>
                <c:pt idx="0">
                  <c:v>DA(N=384)</c:v>
                </c:pt>
                <c:pt idx="1">
                  <c:v>SA(N=512)</c:v>
                </c:pt>
                <c:pt idx="2">
                  <c:v>FH(N=512)</c:v>
                </c:pt>
              </c:strCache>
            </c:strRef>
          </c:cat>
          <c:val>
            <c:numRef>
              <c:f>'Power Chart'!$H$25:$J$25</c:f>
              <c:numCache>
                <c:formatCode>0.0</c:formatCode>
                <c:ptCount val="3"/>
                <c:pt idx="0">
                  <c:v>1.3111718377139165</c:v>
                </c:pt>
                <c:pt idx="1">
                  <c:v>2.4702850739698587</c:v>
                </c:pt>
                <c:pt idx="2">
                  <c:v>1.2740961530755632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7-4F49-B0EC-278A82CD3DC7}"/>
            </c:ext>
          </c:extLst>
        </c:ser>
        <c:ser>
          <c:idx val="3"/>
          <c:order val="3"/>
          <c:tx>
            <c:strRef>
              <c:f>'Power Chart'!$G$26</c:f>
              <c:strCache>
                <c:ptCount val="1"/>
                <c:pt idx="0">
                  <c:v>Mixer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'Power Chart'!$H$22:$J$22</c:f>
              <c:strCache>
                <c:ptCount val="3"/>
                <c:pt idx="0">
                  <c:v>DA(N=384)</c:v>
                </c:pt>
                <c:pt idx="1">
                  <c:v>SA(N=512)</c:v>
                </c:pt>
                <c:pt idx="2">
                  <c:v>FH(N=512)</c:v>
                </c:pt>
              </c:strCache>
            </c:strRef>
          </c:cat>
          <c:val>
            <c:numRef>
              <c:f>'Power Chart'!$H$26:$J$26</c:f>
              <c:numCache>
                <c:formatCode>0.0</c:formatCode>
                <c:ptCount val="3"/>
                <c:pt idx="0">
                  <c:v>3.84</c:v>
                </c:pt>
                <c:pt idx="1">
                  <c:v>0.32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77-4F49-B0EC-278A82CD3DC7}"/>
            </c:ext>
          </c:extLst>
        </c:ser>
        <c:ser>
          <c:idx val="4"/>
          <c:order val="4"/>
          <c:tx>
            <c:strRef>
              <c:f>'Power Chart'!$G$27</c:f>
              <c:strCache>
                <c:ptCount val="1"/>
                <c:pt idx="0">
                  <c:v>VCO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'Power Chart'!$H$22:$J$22</c:f>
              <c:strCache>
                <c:ptCount val="3"/>
                <c:pt idx="0">
                  <c:v>DA(N=384)</c:v>
                </c:pt>
                <c:pt idx="1">
                  <c:v>SA(N=512)</c:v>
                </c:pt>
                <c:pt idx="2">
                  <c:v>FH(N=512)</c:v>
                </c:pt>
              </c:strCache>
            </c:strRef>
          </c:cat>
          <c:val>
            <c:numRef>
              <c:f>'Power Chart'!$H$27:$J$27</c:f>
              <c:numCache>
                <c:formatCode>0.0</c:formatCode>
                <c:ptCount val="3"/>
                <c:pt idx="0">
                  <c:v>23.04</c:v>
                </c:pt>
                <c:pt idx="1">
                  <c:v>1.92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77-4F49-B0EC-278A82CD3DC7}"/>
            </c:ext>
          </c:extLst>
        </c:ser>
        <c:ser>
          <c:idx val="5"/>
          <c:order val="5"/>
          <c:tx>
            <c:strRef>
              <c:f>'Power Chart'!$G$28</c:f>
              <c:strCache>
                <c:ptCount val="1"/>
                <c:pt idx="0">
                  <c:v>Phase Shifter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'Power Chart'!$H$22:$J$22</c:f>
              <c:strCache>
                <c:ptCount val="3"/>
                <c:pt idx="0">
                  <c:v>DA(N=384)</c:v>
                </c:pt>
                <c:pt idx="1">
                  <c:v>SA(N=512)</c:v>
                </c:pt>
                <c:pt idx="2">
                  <c:v>FH(N=512)</c:v>
                </c:pt>
              </c:strCache>
            </c:strRef>
          </c:cat>
          <c:val>
            <c:numRef>
              <c:f>'Power Chart'!$H$28:$J$28</c:f>
              <c:numCache>
                <c:formatCode>0.0</c:formatCode>
                <c:ptCount val="3"/>
                <c:pt idx="0">
                  <c:v>0</c:v>
                </c:pt>
                <c:pt idx="1">
                  <c:v>5.12</c:v>
                </c:pt>
                <c:pt idx="2">
                  <c:v>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77-4F49-B0EC-278A82CD3DC7}"/>
            </c:ext>
          </c:extLst>
        </c:ser>
        <c:ser>
          <c:idx val="6"/>
          <c:order val="6"/>
          <c:tx>
            <c:strRef>
              <c:f>'Power Chart'!$G$29</c:f>
              <c:strCache>
                <c:ptCount val="1"/>
                <c:pt idx="0">
                  <c:v>RF Amp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'Power Chart'!$H$22:$J$22</c:f>
              <c:strCache>
                <c:ptCount val="3"/>
                <c:pt idx="0">
                  <c:v>DA(N=384)</c:v>
                </c:pt>
                <c:pt idx="1">
                  <c:v>SA(N=512)</c:v>
                </c:pt>
                <c:pt idx="2">
                  <c:v>FH(N=512)</c:v>
                </c:pt>
              </c:strCache>
            </c:strRef>
          </c:cat>
          <c:val>
            <c:numRef>
              <c:f>'Power Chart'!$H$29:$J$29</c:f>
              <c:numCache>
                <c:formatCode>0.0</c:formatCode>
                <c:ptCount val="3"/>
                <c:pt idx="0">
                  <c:v>15.36</c:v>
                </c:pt>
                <c:pt idx="1">
                  <c:v>25.6</c:v>
                </c:pt>
                <c:pt idx="2">
                  <c:v>34.133333333333326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77-4F49-B0EC-278A82CD3DC7}"/>
            </c:ext>
          </c:extLst>
        </c:ser>
        <c:ser>
          <c:idx val="7"/>
          <c:order val="7"/>
          <c:tx>
            <c:strRef>
              <c:f>'Power Chart'!$G$30</c:f>
              <c:strCache>
                <c:ptCount val="1"/>
                <c:pt idx="0">
                  <c:v>Power Amp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'Power Chart'!$H$22:$J$22</c:f>
              <c:strCache>
                <c:ptCount val="3"/>
                <c:pt idx="0">
                  <c:v>DA(N=384)</c:v>
                </c:pt>
                <c:pt idx="1">
                  <c:v>SA(N=512)</c:v>
                </c:pt>
                <c:pt idx="2">
                  <c:v>FH(N=512)</c:v>
                </c:pt>
              </c:strCache>
            </c:strRef>
          </c:cat>
          <c:val>
            <c:numRef>
              <c:f>'Power Chart'!$H$30:$J$30</c:f>
              <c:numCache>
                <c:formatCode>0.0</c:formatCode>
                <c:ptCount val="3"/>
                <c:pt idx="0">
                  <c:v>56.082617071244002</c:v>
                </c:pt>
                <c:pt idx="1">
                  <c:v>54.806020850631405</c:v>
                </c:pt>
                <c:pt idx="2">
                  <c:v>54.806020850631405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77-4F49-B0EC-278A82CD3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6554776"/>
        <c:axId val="425927840"/>
      </c:barChart>
      <c:catAx>
        <c:axId val="426554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27840"/>
        <c:crosses val="autoZero"/>
        <c:auto val="1"/>
        <c:lblAlgn val="ctr"/>
        <c:lblOffset val="100"/>
        <c:noMultiLvlLbl val="0"/>
      </c:catAx>
      <c:valAx>
        <c:axId val="42592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5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 Area Breakdown for All Architectures (mm2)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46438614411839"/>
          <c:y val="9.7349149894122244E-2"/>
          <c:w val="0.86304262781930918"/>
          <c:h val="0.565110640543300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'Area Chart'!$A$2</c:f>
              <c:strCache>
                <c:ptCount val="1"/>
                <c:pt idx="0">
                  <c:v>SERDES area [mm2]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'Area Chart'!$B$1:$E$1</c:f>
              <c:numCache>
                <c:formatCode>General</c:formatCode>
                <c:ptCount val="4"/>
                <c:pt idx="0">
                  <c:v>128</c:v>
                </c:pt>
                <c:pt idx="2">
                  <c:v>256</c:v>
                </c:pt>
                <c:pt idx="3">
                  <c:v>384</c:v>
                </c:pt>
              </c:numCache>
            </c:numRef>
          </c:cat>
          <c:val>
            <c:numRef>
              <c:f>'Area Chart'!$B$2:$E$2</c:f>
              <c:numCache>
                <c:formatCode>0.0</c:formatCode>
                <c:ptCount val="4"/>
                <c:pt idx="0">
                  <c:v>19.68</c:v>
                </c:pt>
                <c:pt idx="2">
                  <c:v>39.36</c:v>
                </c:pt>
                <c:pt idx="3">
                  <c:v>59.04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479E-9F33-84B2291EE42F}"/>
            </c:ext>
          </c:extLst>
        </c:ser>
        <c:ser>
          <c:idx val="1"/>
          <c:order val="1"/>
          <c:tx>
            <c:strRef>
              <c:f>'Area Chart'!$A$3</c:f>
              <c:strCache>
                <c:ptCount val="1"/>
                <c:pt idx="0">
                  <c:v>Total DAC Area [mm2]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'Area Chart'!$B$1:$E$1</c:f>
              <c:numCache>
                <c:formatCode>General</c:formatCode>
                <c:ptCount val="4"/>
                <c:pt idx="0">
                  <c:v>128</c:v>
                </c:pt>
                <c:pt idx="2">
                  <c:v>256</c:v>
                </c:pt>
                <c:pt idx="3">
                  <c:v>384</c:v>
                </c:pt>
              </c:numCache>
            </c:numRef>
          </c:cat>
          <c:val>
            <c:numRef>
              <c:f>'Area Chart'!$B$3:$E$3</c:f>
              <c:numCache>
                <c:formatCode>0.0</c:formatCode>
                <c:ptCount val="4"/>
                <c:pt idx="0">
                  <c:v>6.4</c:v>
                </c:pt>
                <c:pt idx="2">
                  <c:v>12.8</c:v>
                </c:pt>
                <c:pt idx="3">
                  <c:v>19.200000000000003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B-479E-9F33-84B2291EE42F}"/>
            </c:ext>
          </c:extLst>
        </c:ser>
        <c:ser>
          <c:idx val="2"/>
          <c:order val="2"/>
          <c:tx>
            <c:strRef>
              <c:f>'Area Chart'!#REF!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'Area Chart'!$B$1:$E$1</c:f>
              <c:numCache>
                <c:formatCode>General</c:formatCode>
                <c:ptCount val="4"/>
                <c:pt idx="0">
                  <c:v>128</c:v>
                </c:pt>
                <c:pt idx="2">
                  <c:v>256</c:v>
                </c:pt>
                <c:pt idx="3">
                  <c:v>384</c:v>
                </c:pt>
              </c:numCache>
            </c:numRef>
          </c:cat>
          <c:val>
            <c:numRef>
              <c:f>'Area Chart'!#REF!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B-479E-9F33-84B2291EE42F}"/>
            </c:ext>
          </c:extLst>
        </c:ser>
        <c:ser>
          <c:idx val="3"/>
          <c:order val="3"/>
          <c:tx>
            <c:strRef>
              <c:f>'Area Chart'!$A$4</c:f>
              <c:strCache>
                <c:ptCount val="1"/>
                <c:pt idx="0">
                  <c:v>Total VCO Area [mm2]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'Area Chart'!$B$1:$E$1</c:f>
              <c:numCache>
                <c:formatCode>General</c:formatCode>
                <c:ptCount val="4"/>
                <c:pt idx="0">
                  <c:v>128</c:v>
                </c:pt>
                <c:pt idx="2">
                  <c:v>256</c:v>
                </c:pt>
                <c:pt idx="3">
                  <c:v>384</c:v>
                </c:pt>
              </c:numCache>
            </c:numRef>
          </c:cat>
          <c:val>
            <c:numRef>
              <c:f>'Area Chart'!$B$4:$E$4</c:f>
              <c:numCache>
                <c:formatCode>0.0</c:formatCode>
                <c:ptCount val="4"/>
                <c:pt idx="0">
                  <c:v>23.04</c:v>
                </c:pt>
                <c:pt idx="2">
                  <c:v>46.08</c:v>
                </c:pt>
                <c:pt idx="3">
                  <c:v>69.12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0B-479E-9F33-84B2291EE42F}"/>
            </c:ext>
          </c:extLst>
        </c:ser>
        <c:ser>
          <c:idx val="4"/>
          <c:order val="4"/>
          <c:tx>
            <c:strRef>
              <c:f>'Area Chart'!$A$5</c:f>
              <c:strCache>
                <c:ptCount val="1"/>
                <c:pt idx="0">
                  <c:v>Total PS Area [mm2]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'Area Chart'!$B$1:$E$1</c:f>
              <c:numCache>
                <c:formatCode>General</c:formatCode>
                <c:ptCount val="4"/>
                <c:pt idx="0">
                  <c:v>128</c:v>
                </c:pt>
                <c:pt idx="2">
                  <c:v>256</c:v>
                </c:pt>
                <c:pt idx="3">
                  <c:v>384</c:v>
                </c:pt>
              </c:numCache>
            </c:numRef>
          </c:cat>
          <c:val>
            <c:numRef>
              <c:f>'Area Chart'!$B$5:$E$5</c:f>
              <c:numCache>
                <c:formatCode>0.0</c:formatCode>
                <c:ptCount val="4"/>
                <c:pt idx="0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0B-479E-9F33-84B2291EE42F}"/>
            </c:ext>
          </c:extLst>
        </c:ser>
        <c:ser>
          <c:idx val="5"/>
          <c:order val="5"/>
          <c:tx>
            <c:strRef>
              <c:f>'Area Chart'!$A$6</c:f>
              <c:strCache>
                <c:ptCount val="1"/>
                <c:pt idx="0">
                  <c:v>Wilk. Area [mm2]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'Area Chart'!$B$1:$E$1</c:f>
              <c:numCache>
                <c:formatCode>General</c:formatCode>
                <c:ptCount val="4"/>
                <c:pt idx="0">
                  <c:v>128</c:v>
                </c:pt>
                <c:pt idx="2">
                  <c:v>256</c:v>
                </c:pt>
                <c:pt idx="3">
                  <c:v>384</c:v>
                </c:pt>
              </c:numCache>
            </c:numRef>
          </c:cat>
          <c:val>
            <c:numRef>
              <c:f>'Area Chart'!$B$6:$E$6</c:f>
              <c:numCache>
                <c:formatCode>0.0</c:formatCode>
                <c:ptCount val="4"/>
                <c:pt idx="0">
                  <c:v>4.8</c:v>
                </c:pt>
                <c:pt idx="2">
                  <c:v>9.92</c:v>
                </c:pt>
                <c:pt idx="3">
                  <c:v>15.040000000000001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0B-479E-9F33-84B2291EE42F}"/>
            </c:ext>
          </c:extLst>
        </c:ser>
        <c:ser>
          <c:idx val="6"/>
          <c:order val="6"/>
          <c:tx>
            <c:strRef>
              <c:f>'Area Chart'!$A$7</c:f>
              <c:strCache>
                <c:ptCount val="1"/>
                <c:pt idx="0">
                  <c:v>Total RF Amp Area [mm2]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'Area Chart'!$B$1:$E$1</c:f>
              <c:numCache>
                <c:formatCode>General</c:formatCode>
                <c:ptCount val="4"/>
                <c:pt idx="0">
                  <c:v>128</c:v>
                </c:pt>
                <c:pt idx="2">
                  <c:v>256</c:v>
                </c:pt>
                <c:pt idx="3">
                  <c:v>384</c:v>
                </c:pt>
              </c:numCache>
            </c:numRef>
          </c:cat>
          <c:val>
            <c:numRef>
              <c:f>'Area Chart'!$B$7:$E$7</c:f>
              <c:numCache>
                <c:formatCode>0.0</c:formatCode>
                <c:ptCount val="4"/>
                <c:pt idx="0">
                  <c:v>3.2</c:v>
                </c:pt>
                <c:pt idx="2">
                  <c:v>6.4</c:v>
                </c:pt>
                <c:pt idx="3">
                  <c:v>9.6000000000000014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0B-479E-9F33-84B2291EE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524872"/>
        <c:axId val="61152782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'Area Chart'!#REF!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'Area Chart'!$B$1:$E$1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128</c:v>
                      </c:pt>
                      <c:pt idx="2">
                        <c:v>256</c:v>
                      </c:pt>
                      <c:pt idx="3">
                        <c:v>384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'Area Chart'!#REF!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F0B-479E-9F33-84B2291EE42F}"/>
                  </c:ext>
                </c:extLst>
              </c15:ser>
            </c15:filteredBarSeries>
          </c:ext>
        </c:extLst>
      </c:barChart>
      <c:catAx>
        <c:axId val="61152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27824"/>
        <c:crosses val="autoZero"/>
        <c:auto val="1"/>
        <c:lblAlgn val="ctr"/>
        <c:lblOffset val="100"/>
        <c:noMultiLvlLbl val="0"/>
      </c:catAx>
      <c:valAx>
        <c:axId val="6115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2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952654174042183E-2"/>
          <c:y val="0.7964652869718718"/>
          <c:w val="0.78782195245835973"/>
          <c:h val="0.12260239353369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'Area Chart'!$A$12</c:f>
              <c:strCache>
                <c:ptCount val="1"/>
                <c:pt idx="0">
                  <c:v>SERDES area [mm2]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'Area Chart'!$B$11:$E$11</c:f>
              <c:numCache>
                <c:formatCode>0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'Area Chart'!$B$12:$E$12</c:f>
              <c:numCache>
                <c:formatCode>0.0</c:formatCode>
                <c:ptCount val="4"/>
                <c:pt idx="0">
                  <c:v>19.68</c:v>
                </c:pt>
                <c:pt idx="1">
                  <c:v>39.36</c:v>
                </c:pt>
                <c:pt idx="2">
                  <c:v>59.04</c:v>
                </c:pt>
                <c:pt idx="3">
                  <c:v>78.72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3-4BFD-A1B0-3642E6A33827}"/>
            </c:ext>
          </c:extLst>
        </c:ser>
        <c:ser>
          <c:idx val="1"/>
          <c:order val="1"/>
          <c:tx>
            <c:strRef>
              <c:f>'Area Chart'!$A$13</c:f>
              <c:strCache>
                <c:ptCount val="1"/>
                <c:pt idx="0">
                  <c:v>Total DAC Area [mm2]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'Area Chart'!$B$11:$E$11</c:f>
              <c:numCache>
                <c:formatCode>0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'Area Chart'!$B$13:$E$13</c:f>
              <c:numCache>
                <c:formatCode>0.0</c:formatCode>
                <c:ptCount val="4"/>
                <c:pt idx="0">
                  <c:v>0.8</c:v>
                </c:pt>
                <c:pt idx="1">
                  <c:v>1.6</c:v>
                </c:pt>
                <c:pt idx="2">
                  <c:v>2.4000000000000004</c:v>
                </c:pt>
                <c:pt idx="3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3-4BFD-A1B0-3642E6A33827}"/>
            </c:ext>
          </c:extLst>
        </c:ser>
        <c:ser>
          <c:idx val="2"/>
          <c:order val="2"/>
          <c:tx>
            <c:strRef>
              <c:f>'Area Chart'!#REF!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'Area Chart'!$B$11:$E$11</c:f>
              <c:numCache>
                <c:formatCode>0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'Area Chart'!#REF!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13-4BFD-A1B0-3642E6A33827}"/>
            </c:ext>
          </c:extLst>
        </c:ser>
        <c:ser>
          <c:idx val="3"/>
          <c:order val="3"/>
          <c:tx>
            <c:strRef>
              <c:f>'Area Chart'!$A$14</c:f>
              <c:strCache>
                <c:ptCount val="1"/>
                <c:pt idx="0">
                  <c:v>Total VCO Area [mm2]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'Area Chart'!$B$11:$E$11</c:f>
              <c:numCache>
                <c:formatCode>0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'Area Chart'!$B$14:$E$14</c:f>
              <c:numCache>
                <c:formatCode>0.0</c:formatCode>
                <c:ptCount val="4"/>
                <c:pt idx="0">
                  <c:v>2.88</c:v>
                </c:pt>
                <c:pt idx="1">
                  <c:v>5.76</c:v>
                </c:pt>
                <c:pt idx="2">
                  <c:v>8.64</c:v>
                </c:pt>
                <c:pt idx="3">
                  <c:v>11.52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13-4BFD-A1B0-3642E6A33827}"/>
            </c:ext>
          </c:extLst>
        </c:ser>
        <c:ser>
          <c:idx val="4"/>
          <c:order val="4"/>
          <c:tx>
            <c:strRef>
              <c:f>'Area Chart'!$A$15</c:f>
              <c:strCache>
                <c:ptCount val="1"/>
                <c:pt idx="0">
                  <c:v>Total PS Area [mm2]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'Area Chart'!$B$11:$E$11</c:f>
              <c:numCache>
                <c:formatCode>0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'Area Chart'!$B$15:$E$15</c:f>
              <c:numCache>
                <c:formatCode>0.0</c:formatCode>
                <c:ptCount val="4"/>
                <c:pt idx="0">
                  <c:v>20.48</c:v>
                </c:pt>
                <c:pt idx="1">
                  <c:v>40.96</c:v>
                </c:pt>
                <c:pt idx="2">
                  <c:v>61.44</c:v>
                </c:pt>
                <c:pt idx="3">
                  <c:v>81.92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13-4BFD-A1B0-3642E6A33827}"/>
            </c:ext>
          </c:extLst>
        </c:ser>
        <c:ser>
          <c:idx val="5"/>
          <c:order val="5"/>
          <c:tx>
            <c:strRef>
              <c:f>'Area Chart'!$A$16</c:f>
              <c:strCache>
                <c:ptCount val="1"/>
                <c:pt idx="0">
                  <c:v>Wilk. Area [mm2]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'Area Chart'!$B$11:$E$11</c:f>
              <c:numCache>
                <c:formatCode>0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'Area Chart'!$B$16:$E$16</c:f>
              <c:numCache>
                <c:formatCode>0.0</c:formatCode>
                <c:ptCount val="4"/>
                <c:pt idx="0">
                  <c:v>10.200000000000001</c:v>
                </c:pt>
                <c:pt idx="1">
                  <c:v>20.440000000000001</c:v>
                </c:pt>
                <c:pt idx="2">
                  <c:v>30.68</c:v>
                </c:pt>
                <c:pt idx="3">
                  <c:v>40.92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13-4BFD-A1B0-3642E6A33827}"/>
            </c:ext>
          </c:extLst>
        </c:ser>
        <c:ser>
          <c:idx val="6"/>
          <c:order val="6"/>
          <c:tx>
            <c:strRef>
              <c:f>'Area Chart'!$A$17</c:f>
              <c:strCache>
                <c:ptCount val="1"/>
                <c:pt idx="0">
                  <c:v>Total RF Amp Area [mm2]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'Area Chart'!$B$11:$E$11</c:f>
              <c:numCache>
                <c:formatCode>0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'Area Chart'!$B$17:$E$17</c:f>
              <c:numCache>
                <c:formatCode>0.0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13-4BFD-A1B0-3642E6A33827}"/>
            </c:ext>
          </c:extLst>
        </c:ser>
        <c:ser>
          <c:idx val="7"/>
          <c:order val="7"/>
          <c:tx>
            <c:strRef>
              <c:f>'Area Chart'!#REF!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'Area Chart'!$B$11:$E$11</c:f>
              <c:numCache>
                <c:formatCode>0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'Area Chart'!#REF!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13-4BFD-A1B0-3642E6A33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469248"/>
        <c:axId val="524469576"/>
      </c:barChart>
      <c:catAx>
        <c:axId val="5244692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69576"/>
        <c:crosses val="autoZero"/>
        <c:auto val="1"/>
        <c:lblAlgn val="ctr"/>
        <c:lblOffset val="100"/>
        <c:noMultiLvlLbl val="0"/>
      </c:catAx>
      <c:valAx>
        <c:axId val="52446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'Area Chart'!$A$21</c:f>
              <c:strCache>
                <c:ptCount val="1"/>
                <c:pt idx="0">
                  <c:v>SERDES area [mm2]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'Area Chart'!$B$20:$D$20</c:f>
              <c:numCache>
                <c:formatCode>0.0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</c:numCache>
            </c:numRef>
          </c:cat>
          <c:val>
            <c:numRef>
              <c:f>'Area Chart'!$B$21:$D$21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3-4DA2-A3A5-0B97BCFD8BA4}"/>
            </c:ext>
          </c:extLst>
        </c:ser>
        <c:ser>
          <c:idx val="1"/>
          <c:order val="1"/>
          <c:tx>
            <c:strRef>
              <c:f>'Area Chart'!$A$22</c:f>
              <c:strCache>
                <c:ptCount val="1"/>
                <c:pt idx="0">
                  <c:v>Total DAC Area [mm2]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'Area Chart'!$B$20:$D$20</c:f>
              <c:numCache>
                <c:formatCode>0.0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</c:numCache>
            </c:numRef>
          </c:cat>
          <c:val>
            <c:numRef>
              <c:f>'Area Chart'!$B$22:$D$22</c:f>
              <c:numCache>
                <c:formatCode>0.0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3-4DA2-A3A5-0B97BCFD8BA4}"/>
            </c:ext>
          </c:extLst>
        </c:ser>
        <c:ser>
          <c:idx val="2"/>
          <c:order val="2"/>
          <c:tx>
            <c:strRef>
              <c:f>'Area Chart'!#REF!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'Area Chart'!$B$20:$D$20</c:f>
              <c:numCache>
                <c:formatCode>0.0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</c:numCache>
            </c:numRef>
          </c:cat>
          <c:val>
            <c:numRef>
              <c:f>'Area Chart'!#REF!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3-4DA2-A3A5-0B97BCFD8BA4}"/>
            </c:ext>
          </c:extLst>
        </c:ser>
        <c:ser>
          <c:idx val="3"/>
          <c:order val="3"/>
          <c:tx>
            <c:strRef>
              <c:f>'Area Chart'!$A$23</c:f>
              <c:strCache>
                <c:ptCount val="1"/>
                <c:pt idx="0">
                  <c:v>Total VCO Area [mm2]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'Area Chart'!$B$20:$D$20</c:f>
              <c:numCache>
                <c:formatCode>0.0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</c:numCache>
            </c:numRef>
          </c:cat>
          <c:val>
            <c:numRef>
              <c:f>'Area Chart'!$B$23:$D$23</c:f>
              <c:numCache>
                <c:formatCode>0.0</c:formatCode>
                <c:ptCount val="3"/>
                <c:pt idx="0">
                  <c:v>1.44</c:v>
                </c:pt>
                <c:pt idx="1">
                  <c:v>1.44</c:v>
                </c:pt>
                <c:pt idx="2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C3-4DA2-A3A5-0B97BCFD8BA4}"/>
            </c:ext>
          </c:extLst>
        </c:ser>
        <c:ser>
          <c:idx val="4"/>
          <c:order val="4"/>
          <c:tx>
            <c:strRef>
              <c:f>'Area Chart'!$A$24</c:f>
              <c:strCache>
                <c:ptCount val="1"/>
                <c:pt idx="0">
                  <c:v>Total PS Area [mm2]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'Area Chart'!$B$20:$D$20</c:f>
              <c:numCache>
                <c:formatCode>0.0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</c:numCache>
            </c:numRef>
          </c:cat>
          <c:val>
            <c:numRef>
              <c:f>'Area Chart'!$B$24:$D$24</c:f>
              <c:numCache>
                <c:formatCode>0.0</c:formatCode>
                <c:ptCount val="3"/>
                <c:pt idx="0">
                  <c:v>81.92</c:v>
                </c:pt>
                <c:pt idx="1">
                  <c:v>163.84</c:v>
                </c:pt>
                <c:pt idx="2">
                  <c:v>245.76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C3-4DA2-A3A5-0B97BCFD8BA4}"/>
            </c:ext>
          </c:extLst>
        </c:ser>
        <c:ser>
          <c:idx val="5"/>
          <c:order val="5"/>
          <c:tx>
            <c:strRef>
              <c:f>'Area Chart'!$A$25</c:f>
              <c:strCache>
                <c:ptCount val="1"/>
                <c:pt idx="0">
                  <c:v>Wilk. Area [mm2]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'Area Chart'!$B$20:$D$20</c:f>
              <c:numCache>
                <c:formatCode>0.0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</c:numCache>
            </c:numRef>
          </c:cat>
          <c:val>
            <c:numRef>
              <c:f>'Area Chart'!$B$25:$D$25</c:f>
              <c:numCache>
                <c:formatCode>0.0</c:formatCode>
                <c:ptCount val="3"/>
                <c:pt idx="0">
                  <c:v>76.48</c:v>
                </c:pt>
                <c:pt idx="1">
                  <c:v>153.28</c:v>
                </c:pt>
                <c:pt idx="2">
                  <c:v>230.08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C3-4DA2-A3A5-0B97BCFD8BA4}"/>
            </c:ext>
          </c:extLst>
        </c:ser>
        <c:ser>
          <c:idx val="6"/>
          <c:order val="6"/>
          <c:tx>
            <c:strRef>
              <c:f>'Area Chart'!$A$26</c:f>
              <c:strCache>
                <c:ptCount val="1"/>
                <c:pt idx="0">
                  <c:v>Total RF Amp Area [mm2]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'Area Chart'!$B$20:$D$20</c:f>
              <c:numCache>
                <c:formatCode>0.0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</c:numCache>
            </c:numRef>
          </c:cat>
          <c:val>
            <c:numRef>
              <c:f>'Area Chart'!$B$26:$D$26</c:f>
              <c:numCache>
                <c:formatCode>0.0</c:formatCode>
                <c:ptCount val="3"/>
                <c:pt idx="0">
                  <c:v>20.266666666666666</c:v>
                </c:pt>
                <c:pt idx="1">
                  <c:v>40.533333333333331</c:v>
                </c:pt>
                <c:pt idx="2">
                  <c:v>60.800000000000004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C3-4DA2-A3A5-0B97BCFD8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481712"/>
        <c:axId val="524480728"/>
      </c:barChart>
      <c:catAx>
        <c:axId val="52448171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0728"/>
        <c:crosses val="autoZero"/>
        <c:auto val="1"/>
        <c:lblAlgn val="ctr"/>
        <c:lblOffset val="100"/>
        <c:noMultiLvlLbl val="0"/>
      </c:catAx>
      <c:valAx>
        <c:axId val="52448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 1.5X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58834192488523E-2"/>
          <c:y val="0.11816807535575127"/>
          <c:w val="0.88335939122717577"/>
          <c:h val="0.59120897738561307"/>
        </c:manualLayout>
      </c:layout>
      <c:areaChart>
        <c:grouping val="stacked"/>
        <c:varyColors val="0"/>
        <c:ser>
          <c:idx val="0"/>
          <c:order val="0"/>
          <c:tx>
            <c:v>BB Precoding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52.223999999999997</c:v>
              </c:pt>
              <c:pt idx="1">
                <c:v>78.335999999999999</c:v>
              </c:pt>
              <c:pt idx="2">
                <c:v>104.44799999999999</c:v>
              </c:pt>
              <c:pt idx="3">
                <c:v>156.672</c:v>
              </c:pt>
            </c:numLit>
          </c:val>
          <c:extLst>
            <c:ext xmlns:c16="http://schemas.microsoft.com/office/drawing/2014/chart" uri="{C3380CC4-5D6E-409C-BE32-E72D297353CC}">
              <c16:uniqueId val="{00000000-72C5-4706-B617-9D88D928C3EC}"/>
            </c:ext>
          </c:extLst>
        </c:ser>
        <c:ser>
          <c:idx val="1"/>
          <c:order val="1"/>
          <c:tx>
            <c:v>SERDES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0.5</c:v>
              </c:pt>
              <c:pt idx="1">
                <c:v>0.5</c:v>
              </c:pt>
              <c:pt idx="2">
                <c:v>0.5</c:v>
              </c:pt>
              <c:pt idx="3">
                <c:v>0.5</c:v>
              </c:pt>
            </c:numLit>
          </c:val>
          <c:extLst>
            <c:ext xmlns:c16="http://schemas.microsoft.com/office/drawing/2014/chart" uri="{C3380CC4-5D6E-409C-BE32-E72D297353CC}">
              <c16:uniqueId val="{00000001-72C5-4706-B617-9D88D928C3EC}"/>
            </c:ext>
          </c:extLst>
        </c:ser>
        <c:ser>
          <c:idx val="2"/>
          <c:order val="2"/>
          <c:tx>
            <c:v>DAC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1.6189749886632949</c:v>
              </c:pt>
              <c:pt idx="1">
                <c:v>1.892171949784049</c:v>
              </c:pt>
              <c:pt idx="2">
                <c:v>2.1313202162869085</c:v>
              </c:pt>
              <c:pt idx="3">
                <c:v>2.5491975839524912</c:v>
              </c:pt>
            </c:numLit>
          </c:val>
          <c:extLst>
            <c:ext xmlns:c16="http://schemas.microsoft.com/office/drawing/2014/chart" uri="{C3380CC4-5D6E-409C-BE32-E72D297353CC}">
              <c16:uniqueId val="{00000002-72C5-4706-B617-9D88D928C3EC}"/>
            </c:ext>
          </c:extLst>
        </c:ser>
        <c:ser>
          <c:idx val="3"/>
          <c:order val="3"/>
          <c:tx>
            <c:v>Mixer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1.28</c:v>
              </c:pt>
              <c:pt idx="1">
                <c:v>1.92</c:v>
              </c:pt>
              <c:pt idx="2">
                <c:v>2.56</c:v>
              </c:pt>
              <c:pt idx="3">
                <c:v>3.84</c:v>
              </c:pt>
            </c:numLit>
          </c:val>
          <c:extLst>
            <c:ext xmlns:c16="http://schemas.microsoft.com/office/drawing/2014/chart" uri="{C3380CC4-5D6E-409C-BE32-E72D297353CC}">
              <c16:uniqueId val="{00000003-72C5-4706-B617-9D88D928C3EC}"/>
            </c:ext>
          </c:extLst>
        </c:ser>
        <c:ser>
          <c:idx val="4"/>
          <c:order val="4"/>
          <c:tx>
            <c:v>VCO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7.68</c:v>
              </c:pt>
              <c:pt idx="1">
                <c:v>11.52</c:v>
              </c:pt>
              <c:pt idx="2">
                <c:v>15.36</c:v>
              </c:pt>
              <c:pt idx="3">
                <c:v>23.04</c:v>
              </c:pt>
            </c:numLit>
          </c:val>
          <c:extLst>
            <c:ext xmlns:c16="http://schemas.microsoft.com/office/drawing/2014/chart" uri="{C3380CC4-5D6E-409C-BE32-E72D297353CC}">
              <c16:uniqueId val="{00000004-72C5-4706-B617-9D88D928C3EC}"/>
            </c:ext>
          </c:extLst>
        </c:ser>
        <c:ser>
          <c:idx val="5"/>
          <c:order val="5"/>
          <c:tx>
            <c:v>PS</c:v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72C5-4706-B617-9D88D928C3EC}"/>
            </c:ext>
          </c:extLst>
        </c:ser>
        <c:ser>
          <c:idx val="6"/>
          <c:order val="6"/>
          <c:tx>
            <c:v>RF Amp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5.12</c:v>
              </c:pt>
              <c:pt idx="1">
                <c:v>7.68</c:v>
              </c:pt>
              <c:pt idx="2">
                <c:v>10.24</c:v>
              </c:pt>
              <c:pt idx="3">
                <c:v>15.36</c:v>
              </c:pt>
            </c:numLit>
          </c:val>
          <c:extLst>
            <c:ext xmlns:c16="http://schemas.microsoft.com/office/drawing/2014/chart" uri="{C3380CC4-5D6E-409C-BE32-E72D297353CC}">
              <c16:uniqueId val="{00000006-72C5-4706-B617-9D88D928C3EC}"/>
            </c:ext>
          </c:extLst>
        </c:ser>
        <c:ser>
          <c:idx val="7"/>
          <c:order val="7"/>
          <c:tx>
            <c:v>PA 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58.861086126131546</c:v>
              </c:pt>
              <c:pt idx="1">
                <c:v>35.795486686581782</c:v>
              </c:pt>
              <c:pt idx="2">
                <c:v>25.575743727647605</c:v>
              </c:pt>
              <c:pt idx="3">
                <c:v>16.286519049654736</c:v>
              </c:pt>
            </c:numLit>
          </c:val>
          <c:extLst>
            <c:ext xmlns:c16="http://schemas.microsoft.com/office/drawing/2014/chart" uri="{C3380CC4-5D6E-409C-BE32-E72D297353CC}">
              <c16:uniqueId val="{00000007-72C5-4706-B617-9D88D928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365280"/>
        <c:axId val="659377744"/>
      </c:areaChart>
      <c:catAx>
        <c:axId val="65936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77744"/>
        <c:crosses val="autoZero"/>
        <c:auto val="1"/>
        <c:lblAlgn val="ctr"/>
        <c:lblOffset val="100"/>
        <c:noMultiLvlLbl val="0"/>
      </c:catAx>
      <c:valAx>
        <c:axId val="6593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6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81126510918380501"/>
          <c:w val="0.9"/>
          <c:h val="0.15435924840241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 2X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BB Precoding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52.223999999999997</c:v>
              </c:pt>
              <c:pt idx="1">
                <c:v>78.335999999999999</c:v>
              </c:pt>
              <c:pt idx="2">
                <c:v>104.44799999999999</c:v>
              </c:pt>
              <c:pt idx="3">
                <c:v>156.672</c:v>
              </c:pt>
            </c:numLit>
          </c:val>
          <c:extLst>
            <c:ext xmlns:c16="http://schemas.microsoft.com/office/drawing/2014/chart" uri="{C3380CC4-5D6E-409C-BE32-E72D297353CC}">
              <c16:uniqueId val="{00000000-E8FD-4835-A096-2F518D58E0E4}"/>
            </c:ext>
          </c:extLst>
        </c:ser>
        <c:ser>
          <c:idx val="1"/>
          <c:order val="1"/>
          <c:tx>
            <c:v>SERDES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0.5</c:v>
              </c:pt>
              <c:pt idx="1">
                <c:v>0.5</c:v>
              </c:pt>
              <c:pt idx="2">
                <c:v>0.5</c:v>
              </c:pt>
              <c:pt idx="3">
                <c:v>0.5</c:v>
              </c:pt>
            </c:numLit>
          </c:val>
          <c:extLst>
            <c:ext xmlns:c16="http://schemas.microsoft.com/office/drawing/2014/chart" uri="{C3380CC4-5D6E-409C-BE32-E72D297353CC}">
              <c16:uniqueId val="{00000001-E8FD-4835-A096-2F518D58E0E4}"/>
            </c:ext>
          </c:extLst>
        </c:ser>
        <c:ser>
          <c:idx val="2"/>
          <c:order val="2"/>
          <c:tx>
            <c:v>DAC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1.9364497051300249</c:v>
              </c:pt>
              <c:pt idx="1">
                <c:v>2.2372242373293392</c:v>
              </c:pt>
              <c:pt idx="2">
                <c:v>2.496800753581232</c:v>
              </c:pt>
              <c:pt idx="3">
                <c:v>2.9622838027155791</c:v>
              </c:pt>
            </c:numLit>
          </c:val>
          <c:extLst>
            <c:ext xmlns:c16="http://schemas.microsoft.com/office/drawing/2014/chart" uri="{C3380CC4-5D6E-409C-BE32-E72D297353CC}">
              <c16:uniqueId val="{00000002-E8FD-4835-A096-2F518D58E0E4}"/>
            </c:ext>
          </c:extLst>
        </c:ser>
        <c:ser>
          <c:idx val="3"/>
          <c:order val="3"/>
          <c:tx>
            <c:v>Mixer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1.28</c:v>
              </c:pt>
              <c:pt idx="1">
                <c:v>1.92</c:v>
              </c:pt>
              <c:pt idx="2">
                <c:v>2.56</c:v>
              </c:pt>
              <c:pt idx="3">
                <c:v>3.84</c:v>
              </c:pt>
            </c:numLit>
          </c:val>
          <c:extLst>
            <c:ext xmlns:c16="http://schemas.microsoft.com/office/drawing/2014/chart" uri="{C3380CC4-5D6E-409C-BE32-E72D297353CC}">
              <c16:uniqueId val="{00000003-E8FD-4835-A096-2F518D58E0E4}"/>
            </c:ext>
          </c:extLst>
        </c:ser>
        <c:ser>
          <c:idx val="4"/>
          <c:order val="4"/>
          <c:tx>
            <c:v>VCO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7.68</c:v>
              </c:pt>
              <c:pt idx="1">
                <c:v>11.52</c:v>
              </c:pt>
              <c:pt idx="2">
                <c:v>15.36</c:v>
              </c:pt>
              <c:pt idx="3">
                <c:v>23.04</c:v>
              </c:pt>
            </c:numLit>
          </c:val>
          <c:extLst>
            <c:ext xmlns:c16="http://schemas.microsoft.com/office/drawing/2014/chart" uri="{C3380CC4-5D6E-409C-BE32-E72D297353CC}">
              <c16:uniqueId val="{00000004-E8FD-4835-A096-2F518D58E0E4}"/>
            </c:ext>
          </c:extLst>
        </c:ser>
        <c:ser>
          <c:idx val="5"/>
          <c:order val="5"/>
          <c:tx>
            <c:v>PS</c:v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E8FD-4835-A096-2F518D58E0E4}"/>
            </c:ext>
          </c:extLst>
        </c:ser>
        <c:ser>
          <c:idx val="6"/>
          <c:order val="6"/>
          <c:tx>
            <c:v>RF Amp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5.12</c:v>
              </c:pt>
              <c:pt idx="1">
                <c:v>7.68</c:v>
              </c:pt>
              <c:pt idx="2">
                <c:v>10.24</c:v>
              </c:pt>
              <c:pt idx="3">
                <c:v>15.36</c:v>
              </c:pt>
            </c:numLit>
          </c:val>
          <c:extLst>
            <c:ext xmlns:c16="http://schemas.microsoft.com/office/drawing/2014/chart" uri="{C3380CC4-5D6E-409C-BE32-E72D297353CC}">
              <c16:uniqueId val="{00000006-E8FD-4835-A096-2F518D58E0E4}"/>
            </c:ext>
          </c:extLst>
        </c:ser>
        <c:ser>
          <c:idx val="7"/>
          <c:order val="7"/>
          <c:tx>
            <c:v>PA 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84.106250357031087</c:v>
              </c:pt>
              <c:pt idx="1">
                <c:v>49.983685077741768</c:v>
              </c:pt>
              <c:pt idx="2">
                <c:v>35.061320732337236</c:v>
              </c:pt>
              <c:pt idx="3">
                <c:v>21.969909684606144</c:v>
              </c:pt>
            </c:numLit>
          </c:val>
          <c:extLst>
            <c:ext xmlns:c16="http://schemas.microsoft.com/office/drawing/2014/chart" uri="{C3380CC4-5D6E-409C-BE32-E72D297353CC}">
              <c16:uniqueId val="{00000007-E8FD-4835-A096-2F518D58E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22992"/>
        <c:axId val="555819056"/>
      </c:areaChart>
      <c:catAx>
        <c:axId val="5558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19056"/>
        <c:crosses val="autoZero"/>
        <c:auto val="1"/>
        <c:lblAlgn val="ctr"/>
        <c:lblOffset val="100"/>
        <c:noMultiLvlLbl val="0"/>
      </c:catAx>
      <c:valAx>
        <c:axId val="5558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2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 3X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BB Precoding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52.223999999999997</c:v>
              </c:pt>
              <c:pt idx="1">
                <c:v>78.335999999999999</c:v>
              </c:pt>
              <c:pt idx="2">
                <c:v>104.44799999999999</c:v>
              </c:pt>
              <c:pt idx="3">
                <c:v>156.672</c:v>
              </c:pt>
            </c:numLit>
          </c:val>
          <c:extLst>
            <c:ext xmlns:c16="http://schemas.microsoft.com/office/drawing/2014/chart" uri="{C3380CC4-5D6E-409C-BE32-E72D297353CC}">
              <c16:uniqueId val="{00000000-02AB-4928-9FAF-DC6842CF6EE5}"/>
            </c:ext>
          </c:extLst>
        </c:ser>
        <c:ser>
          <c:idx val="1"/>
          <c:order val="1"/>
          <c:tx>
            <c:v>SERDES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0.5</c:v>
              </c:pt>
              <c:pt idx="1">
                <c:v>0.5</c:v>
              </c:pt>
              <c:pt idx="2">
                <c:v>0.5</c:v>
              </c:pt>
              <c:pt idx="3">
                <c:v>0.5</c:v>
              </c:pt>
            </c:numLit>
          </c:val>
          <c:extLst>
            <c:ext xmlns:c16="http://schemas.microsoft.com/office/drawing/2014/chart" uri="{C3380CC4-5D6E-409C-BE32-E72D297353CC}">
              <c16:uniqueId val="{00000001-02AB-4928-9FAF-DC6842CF6EE5}"/>
            </c:ext>
          </c:extLst>
        </c:ser>
        <c:ser>
          <c:idx val="2"/>
          <c:order val="2"/>
          <c:tx>
            <c:v>DAC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2.7928679529323466</c:v>
              </c:pt>
              <c:pt idx="1">
                <c:v>3.0880794382252272</c:v>
              </c:pt>
              <c:pt idx="2">
                <c:v>3.3560108138117659</c:v>
              </c:pt>
              <c:pt idx="3">
                <c:v>3.8593998793764546</c:v>
              </c:pt>
            </c:numLit>
          </c:val>
          <c:extLst>
            <c:ext xmlns:c16="http://schemas.microsoft.com/office/drawing/2014/chart" uri="{C3380CC4-5D6E-409C-BE32-E72D297353CC}">
              <c16:uniqueId val="{00000002-02AB-4928-9FAF-DC6842CF6EE5}"/>
            </c:ext>
          </c:extLst>
        </c:ser>
        <c:ser>
          <c:idx val="3"/>
          <c:order val="3"/>
          <c:tx>
            <c:v>Mixer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1.28</c:v>
              </c:pt>
              <c:pt idx="1">
                <c:v>1.92</c:v>
              </c:pt>
              <c:pt idx="2">
                <c:v>2.56</c:v>
              </c:pt>
              <c:pt idx="3">
                <c:v>3.84</c:v>
              </c:pt>
            </c:numLit>
          </c:val>
          <c:extLst>
            <c:ext xmlns:c16="http://schemas.microsoft.com/office/drawing/2014/chart" uri="{C3380CC4-5D6E-409C-BE32-E72D297353CC}">
              <c16:uniqueId val="{00000003-02AB-4928-9FAF-DC6842CF6EE5}"/>
            </c:ext>
          </c:extLst>
        </c:ser>
        <c:ser>
          <c:idx val="4"/>
          <c:order val="4"/>
          <c:tx>
            <c:v>VCO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7.68</c:v>
              </c:pt>
              <c:pt idx="1">
                <c:v>11.52</c:v>
              </c:pt>
              <c:pt idx="2">
                <c:v>15.36</c:v>
              </c:pt>
              <c:pt idx="3">
                <c:v>23.04</c:v>
              </c:pt>
            </c:numLit>
          </c:val>
          <c:extLst>
            <c:ext xmlns:c16="http://schemas.microsoft.com/office/drawing/2014/chart" uri="{C3380CC4-5D6E-409C-BE32-E72D297353CC}">
              <c16:uniqueId val="{00000004-02AB-4928-9FAF-DC6842CF6EE5}"/>
            </c:ext>
          </c:extLst>
        </c:ser>
        <c:ser>
          <c:idx val="5"/>
          <c:order val="5"/>
          <c:tx>
            <c:v>PS</c:v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02AB-4928-9FAF-DC6842CF6EE5}"/>
            </c:ext>
          </c:extLst>
        </c:ser>
        <c:ser>
          <c:idx val="6"/>
          <c:order val="6"/>
          <c:tx>
            <c:v>RF Amp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5.12</c:v>
              </c:pt>
              <c:pt idx="1">
                <c:v>7.68</c:v>
              </c:pt>
              <c:pt idx="2">
                <c:v>10.24</c:v>
              </c:pt>
              <c:pt idx="3">
                <c:v>15.36</c:v>
              </c:pt>
            </c:numLit>
          </c:val>
          <c:extLst>
            <c:ext xmlns:c16="http://schemas.microsoft.com/office/drawing/2014/chart" uri="{C3380CC4-5D6E-409C-BE32-E72D297353CC}">
              <c16:uniqueId val="{00000006-02AB-4928-9FAF-DC6842CF6EE5}"/>
            </c:ext>
          </c:extLst>
        </c:ser>
        <c:ser>
          <c:idx val="7"/>
          <c:order val="7"/>
          <c:tx>
            <c:v>PA 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174.51319576825097</c:v>
              </c:pt>
              <c:pt idx="1">
                <c:v>95.022898051821244</c:v>
              </c:pt>
              <c:pt idx="2">
                <c:v>63.21618329837144</c:v>
              </c:pt>
              <c:pt idx="3">
                <c:v>37.224448451041987</c:v>
              </c:pt>
            </c:numLit>
          </c:val>
          <c:extLst>
            <c:ext xmlns:c16="http://schemas.microsoft.com/office/drawing/2014/chart" uri="{C3380CC4-5D6E-409C-BE32-E72D297353CC}">
              <c16:uniqueId val="{00000007-02AB-4928-9FAF-DC6842CF6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689328"/>
        <c:axId val="664687032"/>
      </c:areaChart>
      <c:catAx>
        <c:axId val="6646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87032"/>
        <c:crosses val="autoZero"/>
        <c:auto val="1"/>
        <c:lblAlgn val="ctr"/>
        <c:lblOffset val="100"/>
        <c:noMultiLvlLbl val="0"/>
      </c:catAx>
      <c:valAx>
        <c:axId val="66468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8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 4X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BB Precoding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52.223999999999997</c:v>
              </c:pt>
              <c:pt idx="1">
                <c:v>78.335999999999999</c:v>
              </c:pt>
              <c:pt idx="2">
                <c:v>104.44799999999999</c:v>
              </c:pt>
              <c:pt idx="3">
                <c:v>156.672</c:v>
              </c:pt>
            </c:numLit>
          </c:val>
          <c:extLst>
            <c:ext xmlns:c16="http://schemas.microsoft.com/office/drawing/2014/chart" uri="{C3380CC4-5D6E-409C-BE32-E72D297353CC}">
              <c16:uniqueId val="{00000000-FE33-4F88-BD22-20352364D826}"/>
            </c:ext>
          </c:extLst>
        </c:ser>
        <c:ser>
          <c:idx val="1"/>
          <c:order val="1"/>
          <c:tx>
            <c:v>SERDES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0.5</c:v>
              </c:pt>
              <c:pt idx="1">
                <c:v>0.5</c:v>
              </c:pt>
              <c:pt idx="2">
                <c:v>0.5</c:v>
              </c:pt>
              <c:pt idx="3">
                <c:v>0.5</c:v>
              </c:pt>
            </c:numLit>
          </c:val>
          <c:extLst>
            <c:ext xmlns:c16="http://schemas.microsoft.com/office/drawing/2014/chart" uri="{C3380CC4-5D6E-409C-BE32-E72D297353CC}">
              <c16:uniqueId val="{00000001-FE33-4F88-BD22-20352364D826}"/>
            </c:ext>
          </c:extLst>
        </c:ser>
        <c:ser>
          <c:idx val="2"/>
          <c:order val="2"/>
          <c:tx>
            <c:v>DAC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3.4503611200871553</c:v>
              </c:pt>
              <c:pt idx="1">
                <c:v>3.6723660396310485</c:v>
              </c:pt>
              <c:pt idx="2">
                <c:v>3.9360467724385604</c:v>
              </c:pt>
              <c:pt idx="3">
                <c:v>4.5003686909835254</c:v>
              </c:pt>
            </c:numLit>
          </c:val>
          <c:extLst>
            <c:ext xmlns:c16="http://schemas.microsoft.com/office/drawing/2014/chart" uri="{C3380CC4-5D6E-409C-BE32-E72D297353CC}">
              <c16:uniqueId val="{00000002-FE33-4F88-BD22-20352364D826}"/>
            </c:ext>
          </c:extLst>
        </c:ser>
        <c:ser>
          <c:idx val="3"/>
          <c:order val="3"/>
          <c:tx>
            <c:v>Mixer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1.28</c:v>
              </c:pt>
              <c:pt idx="1">
                <c:v>1.92</c:v>
              </c:pt>
              <c:pt idx="2">
                <c:v>2.56</c:v>
              </c:pt>
              <c:pt idx="3">
                <c:v>3.84</c:v>
              </c:pt>
            </c:numLit>
          </c:val>
          <c:extLst>
            <c:ext xmlns:c16="http://schemas.microsoft.com/office/drawing/2014/chart" uri="{C3380CC4-5D6E-409C-BE32-E72D297353CC}">
              <c16:uniqueId val="{00000003-FE33-4F88-BD22-20352364D826}"/>
            </c:ext>
          </c:extLst>
        </c:ser>
        <c:ser>
          <c:idx val="4"/>
          <c:order val="4"/>
          <c:tx>
            <c:v>VCO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7.68</c:v>
              </c:pt>
              <c:pt idx="1">
                <c:v>11.52</c:v>
              </c:pt>
              <c:pt idx="2">
                <c:v>15.36</c:v>
              </c:pt>
              <c:pt idx="3">
                <c:v>23.04</c:v>
              </c:pt>
            </c:numLit>
          </c:val>
          <c:extLst>
            <c:ext xmlns:c16="http://schemas.microsoft.com/office/drawing/2014/chart" uri="{C3380CC4-5D6E-409C-BE32-E72D297353CC}">
              <c16:uniqueId val="{00000004-FE33-4F88-BD22-20352364D826}"/>
            </c:ext>
          </c:extLst>
        </c:ser>
        <c:ser>
          <c:idx val="5"/>
          <c:order val="5"/>
          <c:tx>
            <c:v>PS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FE33-4F88-BD22-20352364D826}"/>
            </c:ext>
          </c:extLst>
        </c:ser>
        <c:ser>
          <c:idx val="6"/>
          <c:order val="6"/>
          <c:tx>
            <c:v>RF Amp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5.12</c:v>
              </c:pt>
              <c:pt idx="1">
                <c:v>7.68</c:v>
              </c:pt>
              <c:pt idx="2">
                <c:v>10.24</c:v>
              </c:pt>
              <c:pt idx="3">
                <c:v>15.36</c:v>
              </c:pt>
            </c:numLit>
          </c:val>
          <c:extLst>
            <c:ext xmlns:c16="http://schemas.microsoft.com/office/drawing/2014/chart" uri="{C3380CC4-5D6E-409C-BE32-E72D297353CC}">
              <c16:uniqueId val="{00000006-FE33-4F88-BD22-20352364D826}"/>
            </c:ext>
          </c:extLst>
        </c:ser>
        <c:ser>
          <c:idx val="7"/>
          <c:order val="7"/>
          <c:tx>
            <c:v>PA 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128</c:v>
              </c:pt>
              <c:pt idx="1">
                <c:v>192</c:v>
              </c:pt>
              <c:pt idx="2">
                <c:v>256</c:v>
              </c:pt>
              <c:pt idx="3">
                <c:v>384</c:v>
              </c:pt>
            </c:numLit>
          </c:cat>
          <c:val>
            <c:numLit>
              <c:formatCode>General</c:formatCode>
              <c:ptCount val="4"/>
              <c:pt idx="0">
                <c:v>265.96731658456838</c:v>
              </c:pt>
              <c:pt idx="1">
                <c:v>134.22341109705818</c:v>
              </c:pt>
              <c:pt idx="2">
                <c:v>86.861689352047549</c:v>
              </c:pt>
              <c:pt idx="3">
                <c:v>50.562468872840739</c:v>
              </c:pt>
            </c:numLit>
          </c:val>
          <c:extLst>
            <c:ext xmlns:c16="http://schemas.microsoft.com/office/drawing/2014/chart" uri="{C3380CC4-5D6E-409C-BE32-E72D297353CC}">
              <c16:uniqueId val="{00000007-FE33-4F88-BD22-20352364D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016960"/>
        <c:axId val="421022536"/>
      </c:barChart>
      <c:catAx>
        <c:axId val="4210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22536"/>
        <c:crosses val="autoZero"/>
        <c:auto val="1"/>
        <c:lblAlgn val="ctr"/>
        <c:lblOffset val="100"/>
        <c:noMultiLvlLbl val="0"/>
      </c:catAx>
      <c:valAx>
        <c:axId val="42102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 in Use Case II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Digital!$H$69</c:f>
              <c:strCache>
                <c:ptCount val="1"/>
                <c:pt idx="0">
                  <c:v>BB Precoding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Digital!$I$68:$L$68</c:f>
              <c:numCache>
                <c:formatCode>0</c:formatCode>
                <c:ptCount val="4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</c:numCache>
            </c:numRef>
          </c:cat>
          <c:val>
            <c:numRef>
              <c:f>Digital!$I$69:$L$69</c:f>
              <c:numCache>
                <c:formatCode>0.0</c:formatCode>
                <c:ptCount val="4"/>
                <c:pt idx="0">
                  <c:v>1.4060307692307692</c:v>
                </c:pt>
                <c:pt idx="1">
                  <c:v>2.1090461538461538</c:v>
                </c:pt>
                <c:pt idx="2">
                  <c:v>2.8120615384615384</c:v>
                </c:pt>
                <c:pt idx="3">
                  <c:v>4.2180923076923076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2-4A19-B39A-CCEEEFF2BE31}"/>
            </c:ext>
          </c:extLst>
        </c:ser>
        <c:ser>
          <c:idx val="1"/>
          <c:order val="1"/>
          <c:tx>
            <c:strRef>
              <c:f>Digital!$H$70</c:f>
              <c:strCache>
                <c:ptCount val="1"/>
                <c:pt idx="0">
                  <c:v>SERDES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Digital!$I$68:$L$68</c:f>
              <c:numCache>
                <c:formatCode>0</c:formatCode>
                <c:ptCount val="4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</c:numCache>
            </c:numRef>
          </c:cat>
          <c:val>
            <c:numRef>
              <c:f>Digital!$I$70:$L$70</c:f>
              <c:numCache>
                <c:formatCode>0.0</c:formatCode>
                <c:ptCount val="4"/>
                <c:pt idx="0">
                  <c:v>0.13600000000000001</c:v>
                </c:pt>
                <c:pt idx="1">
                  <c:v>0.13600000000000001</c:v>
                </c:pt>
                <c:pt idx="2">
                  <c:v>0.13600000000000001</c:v>
                </c:pt>
                <c:pt idx="3">
                  <c:v>0.13600000000000001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2-4A19-B39A-CCEEEFF2BE31}"/>
            </c:ext>
          </c:extLst>
        </c:ser>
        <c:ser>
          <c:idx val="2"/>
          <c:order val="2"/>
          <c:tx>
            <c:strRef>
              <c:f>Digital!$H$71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Digital!$I$68:$L$68</c:f>
              <c:numCache>
                <c:formatCode>0</c:formatCode>
                <c:ptCount val="4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</c:numCache>
            </c:numRef>
          </c:cat>
          <c:val>
            <c:numRef>
              <c:f>Digital!$I$71:$L$71</c:f>
              <c:numCache>
                <c:formatCode>0.0</c:formatCode>
                <c:ptCount val="4"/>
                <c:pt idx="0">
                  <c:v>0.557056</c:v>
                </c:pt>
                <c:pt idx="1">
                  <c:v>0.8355840000000001</c:v>
                </c:pt>
                <c:pt idx="2">
                  <c:v>1.114112</c:v>
                </c:pt>
                <c:pt idx="3">
                  <c:v>1.6711680000000002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2-4A19-B39A-CCEEEFF2BE31}"/>
            </c:ext>
          </c:extLst>
        </c:ser>
        <c:ser>
          <c:idx val="3"/>
          <c:order val="3"/>
          <c:tx>
            <c:strRef>
              <c:f>Digital!$H$72</c:f>
              <c:strCache>
                <c:ptCount val="1"/>
                <c:pt idx="0">
                  <c:v>Mixer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Digital!$I$68:$L$68</c:f>
              <c:numCache>
                <c:formatCode>0</c:formatCode>
                <c:ptCount val="4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</c:numCache>
            </c:numRef>
          </c:cat>
          <c:val>
            <c:numRef>
              <c:f>Digital!$I$72:$L$72</c:f>
              <c:numCache>
                <c:formatCode>0.0</c:formatCode>
                <c:ptCount val="4"/>
                <c:pt idx="0">
                  <c:v>2.56</c:v>
                </c:pt>
                <c:pt idx="1">
                  <c:v>3.84</c:v>
                </c:pt>
                <c:pt idx="2">
                  <c:v>5.12</c:v>
                </c:pt>
                <c:pt idx="3">
                  <c:v>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A2-4A19-B39A-CCEEEFF2BE31}"/>
            </c:ext>
          </c:extLst>
        </c:ser>
        <c:ser>
          <c:idx val="4"/>
          <c:order val="4"/>
          <c:tx>
            <c:strRef>
              <c:f>Digital!$H$73</c:f>
              <c:strCache>
                <c:ptCount val="1"/>
                <c:pt idx="0">
                  <c:v>VCO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Digital!$I$68:$L$68</c:f>
              <c:numCache>
                <c:formatCode>0</c:formatCode>
                <c:ptCount val="4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</c:numCache>
            </c:numRef>
          </c:cat>
          <c:val>
            <c:numRef>
              <c:f>Digital!$I$73:$L$73</c:f>
              <c:numCache>
                <c:formatCode>0.0</c:formatCode>
                <c:ptCount val="4"/>
                <c:pt idx="0">
                  <c:v>15.36</c:v>
                </c:pt>
                <c:pt idx="1">
                  <c:v>23.04</c:v>
                </c:pt>
                <c:pt idx="2">
                  <c:v>30.72</c:v>
                </c:pt>
                <c:pt idx="3">
                  <c:v>46.08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A2-4A19-B39A-CCEEEFF2BE31}"/>
            </c:ext>
          </c:extLst>
        </c:ser>
        <c:ser>
          <c:idx val="5"/>
          <c:order val="5"/>
          <c:tx>
            <c:strRef>
              <c:f>Digital!$H$74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Digital!$I$68:$L$68</c:f>
              <c:numCache>
                <c:formatCode>0</c:formatCode>
                <c:ptCount val="4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</c:numCache>
            </c:numRef>
          </c:cat>
          <c:val>
            <c:numRef>
              <c:f>Digital!$I$74:$L$74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A2-4A19-B39A-CCEEEFF2BE31}"/>
            </c:ext>
          </c:extLst>
        </c:ser>
        <c:ser>
          <c:idx val="6"/>
          <c:order val="6"/>
          <c:tx>
            <c:strRef>
              <c:f>Digital!$H$75</c:f>
              <c:strCache>
                <c:ptCount val="1"/>
                <c:pt idx="0">
                  <c:v>RF Amp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Digital!$I$68:$L$68</c:f>
              <c:numCache>
                <c:formatCode>0</c:formatCode>
                <c:ptCount val="4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</c:numCache>
            </c:numRef>
          </c:cat>
          <c:val>
            <c:numRef>
              <c:f>Digital!$I$75:$L$75</c:f>
              <c:numCache>
                <c:formatCode>0.0</c:formatCode>
                <c:ptCount val="4"/>
                <c:pt idx="0">
                  <c:v>10.24</c:v>
                </c:pt>
                <c:pt idx="1">
                  <c:v>15.36</c:v>
                </c:pt>
                <c:pt idx="2">
                  <c:v>20.48</c:v>
                </c:pt>
                <c:pt idx="3">
                  <c:v>30.72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A2-4A19-B39A-CCEEEFF2BE31}"/>
            </c:ext>
          </c:extLst>
        </c:ser>
        <c:ser>
          <c:idx val="7"/>
          <c:order val="7"/>
          <c:tx>
            <c:strRef>
              <c:f>Digital!$H$76</c:f>
              <c:strCache>
                <c:ptCount val="1"/>
                <c:pt idx="0">
                  <c:v>PA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Digital!$I$68:$L$68</c:f>
              <c:numCache>
                <c:formatCode>0</c:formatCode>
                <c:ptCount val="4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</c:numCache>
            </c:numRef>
          </c:cat>
          <c:val>
            <c:numRef>
              <c:f>Digital!$I$76:$L$76</c:f>
              <c:numCache>
                <c:formatCode>0.0</c:formatCode>
                <c:ptCount val="4"/>
                <c:pt idx="0">
                  <c:v>207.88744975424532</c:v>
                </c:pt>
                <c:pt idx="1">
                  <c:v>138.3019398327375</c:v>
                </c:pt>
                <c:pt idx="2">
                  <c:v>103.71182382001567</c:v>
                </c:pt>
                <c:pt idx="3">
                  <c:v>68.996692368180788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A2-4A19-B39A-CCEEEFF2B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22992"/>
        <c:axId val="555819056"/>
      </c:areaChart>
      <c:catAx>
        <c:axId val="5558229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19056"/>
        <c:crosses val="autoZero"/>
        <c:auto val="1"/>
        <c:lblAlgn val="ctr"/>
        <c:lblOffset val="100"/>
        <c:noMultiLvlLbl val="0"/>
      </c:catAx>
      <c:valAx>
        <c:axId val="5558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2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BB Precoding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1X(N=128)</c:v>
              </c:pt>
              <c:pt idx="1">
                <c:v>2X(N=192)</c:v>
              </c:pt>
              <c:pt idx="2">
                <c:v>4X(N=256)</c:v>
              </c:pt>
            </c:strLit>
          </c:cat>
          <c:val>
            <c:numLit>
              <c:formatCode>General</c:formatCode>
              <c:ptCount val="3"/>
              <c:pt idx="0">
                <c:v>52224</c:v>
              </c:pt>
              <c:pt idx="1">
                <c:v>78336</c:v>
              </c:pt>
              <c:pt idx="2">
                <c:v>104448</c:v>
              </c:pt>
            </c:numLit>
          </c:val>
          <c:extLst>
            <c:ext xmlns:c16="http://schemas.microsoft.com/office/drawing/2014/chart" uri="{C3380CC4-5D6E-409C-BE32-E72D297353CC}">
              <c16:uniqueId val="{00000000-AE21-40AA-BC1F-EA8AE5489550}"/>
            </c:ext>
          </c:extLst>
        </c:ser>
        <c:ser>
          <c:idx val="1"/>
          <c:order val="1"/>
          <c:tx>
            <c:v>SERDES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1X(N=128)</c:v>
              </c:pt>
              <c:pt idx="1">
                <c:v>2X(N=192)</c:v>
              </c:pt>
              <c:pt idx="2">
                <c:v>4X(N=256)</c:v>
              </c:pt>
            </c:strLit>
          </c:cat>
          <c:val>
            <c:numLit>
              <c:formatCode>General</c:formatCode>
              <c:ptCount val="3"/>
              <c:pt idx="0">
                <c:v>5237.5503974490211</c:v>
              </c:pt>
              <c:pt idx="1">
                <c:v>500</c:v>
              </c:pt>
              <c:pt idx="2">
                <c:v>500</c:v>
              </c:pt>
            </c:numLit>
          </c:val>
          <c:extLst>
            <c:ext xmlns:c16="http://schemas.microsoft.com/office/drawing/2014/chart" uri="{C3380CC4-5D6E-409C-BE32-E72D297353CC}">
              <c16:uniqueId val="{00000001-AE21-40AA-BC1F-EA8AE5489550}"/>
            </c:ext>
          </c:extLst>
        </c:ser>
        <c:ser>
          <c:idx val="2"/>
          <c:order val="2"/>
          <c:tx>
            <c:v>DAC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1X(N=128)</c:v>
              </c:pt>
              <c:pt idx="1">
                <c:v>2X(N=192)</c:v>
              </c:pt>
              <c:pt idx="2">
                <c:v>4X(N=256)</c:v>
              </c:pt>
            </c:strLit>
          </c:cat>
          <c:val>
            <c:numLit>
              <c:formatCode>General</c:formatCode>
              <c:ptCount val="3"/>
              <c:pt idx="0">
                <c:v>1224.1220132103481</c:v>
              </c:pt>
              <c:pt idx="1">
                <c:v>2237.2242373293393</c:v>
              </c:pt>
              <c:pt idx="2">
                <c:v>3936.0467724385603</c:v>
              </c:pt>
            </c:numLit>
          </c:val>
          <c:extLst>
            <c:ext xmlns:c16="http://schemas.microsoft.com/office/drawing/2014/chart" uri="{C3380CC4-5D6E-409C-BE32-E72D297353CC}">
              <c16:uniqueId val="{00000002-AE21-40AA-BC1F-EA8AE5489550}"/>
            </c:ext>
          </c:extLst>
        </c:ser>
        <c:ser>
          <c:idx val="3"/>
          <c:order val="3"/>
          <c:tx>
            <c:v>Mixer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1X(N=128)</c:v>
              </c:pt>
              <c:pt idx="1">
                <c:v>2X(N=192)</c:v>
              </c:pt>
              <c:pt idx="2">
                <c:v>4X(N=256)</c:v>
              </c:pt>
            </c:strLit>
          </c:cat>
          <c:val>
            <c:numLit>
              <c:formatCode>General</c:formatCode>
              <c:ptCount val="3"/>
              <c:pt idx="0">
                <c:v>1280</c:v>
              </c:pt>
              <c:pt idx="1">
                <c:v>1920</c:v>
              </c:pt>
              <c:pt idx="2">
                <c:v>2560</c:v>
              </c:pt>
            </c:numLit>
          </c:val>
          <c:extLst>
            <c:ext xmlns:c16="http://schemas.microsoft.com/office/drawing/2014/chart" uri="{C3380CC4-5D6E-409C-BE32-E72D297353CC}">
              <c16:uniqueId val="{00000003-AE21-40AA-BC1F-EA8AE5489550}"/>
            </c:ext>
          </c:extLst>
        </c:ser>
        <c:ser>
          <c:idx val="4"/>
          <c:order val="4"/>
          <c:tx>
            <c:v>VCO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1X(N=128)</c:v>
              </c:pt>
              <c:pt idx="1">
                <c:v>2X(N=192)</c:v>
              </c:pt>
              <c:pt idx="2">
                <c:v>4X(N=256)</c:v>
              </c:pt>
            </c:strLit>
          </c:cat>
          <c:val>
            <c:numLit>
              <c:formatCode>General</c:formatCode>
              <c:ptCount val="3"/>
              <c:pt idx="0">
                <c:v>7680</c:v>
              </c:pt>
              <c:pt idx="1">
                <c:v>11520</c:v>
              </c:pt>
              <c:pt idx="2">
                <c:v>15360</c:v>
              </c:pt>
            </c:numLit>
          </c:val>
          <c:extLst>
            <c:ext xmlns:c16="http://schemas.microsoft.com/office/drawing/2014/chart" uri="{C3380CC4-5D6E-409C-BE32-E72D297353CC}">
              <c16:uniqueId val="{00000004-AE21-40AA-BC1F-EA8AE5489550}"/>
            </c:ext>
          </c:extLst>
        </c:ser>
        <c:ser>
          <c:idx val="5"/>
          <c:order val="5"/>
          <c:tx>
            <c:v>PS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1X(N=128)</c:v>
              </c:pt>
              <c:pt idx="1">
                <c:v>2X(N=192)</c:v>
              </c:pt>
              <c:pt idx="2">
                <c:v>4X(N=256)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AE21-40AA-BC1F-EA8AE5489550}"/>
            </c:ext>
          </c:extLst>
        </c:ser>
        <c:ser>
          <c:idx val="6"/>
          <c:order val="6"/>
          <c:tx>
            <c:v>RF Amp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1X(N=128)</c:v>
              </c:pt>
              <c:pt idx="1">
                <c:v>2X(N=192)</c:v>
              </c:pt>
              <c:pt idx="2">
                <c:v>4X(N=256)</c:v>
              </c:pt>
            </c:strLit>
          </c:cat>
          <c:val>
            <c:numLit>
              <c:formatCode>General</c:formatCode>
              <c:ptCount val="3"/>
              <c:pt idx="0">
                <c:v>5120</c:v>
              </c:pt>
              <c:pt idx="1">
                <c:v>7680</c:v>
              </c:pt>
              <c:pt idx="2">
                <c:v>10240</c:v>
              </c:pt>
            </c:numLit>
          </c:val>
          <c:extLst>
            <c:ext xmlns:c16="http://schemas.microsoft.com/office/drawing/2014/chart" uri="{C3380CC4-5D6E-409C-BE32-E72D297353CC}">
              <c16:uniqueId val="{00000006-AE21-40AA-BC1F-EA8AE5489550}"/>
            </c:ext>
          </c:extLst>
        </c:ser>
        <c:ser>
          <c:idx val="7"/>
          <c:order val="7"/>
          <c:tx>
            <c:v>PA 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1X(N=128)</c:v>
              </c:pt>
              <c:pt idx="1">
                <c:v>2X(N=192)</c:v>
              </c:pt>
              <c:pt idx="2">
                <c:v>4X(N=256)</c:v>
              </c:pt>
            </c:strLit>
          </c:cat>
          <c:val>
            <c:numLit>
              <c:formatCode>General</c:formatCode>
              <c:ptCount val="3"/>
              <c:pt idx="0">
                <c:v>33715.396512563239</c:v>
              </c:pt>
              <c:pt idx="1">
                <c:v>49983.685077741771</c:v>
              </c:pt>
              <c:pt idx="2">
                <c:v>86861.689352047542</c:v>
              </c:pt>
            </c:numLit>
          </c:val>
          <c:extLst>
            <c:ext xmlns:c16="http://schemas.microsoft.com/office/drawing/2014/chart" uri="{C3380CC4-5D6E-409C-BE32-E72D297353CC}">
              <c16:uniqueId val="{00000007-AE21-40AA-BC1F-EA8AE5489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935720"/>
        <c:axId val="181929816"/>
      </c:barChart>
      <c:catAx>
        <c:axId val="18193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9816"/>
        <c:crosses val="autoZero"/>
        <c:auto val="1"/>
        <c:lblAlgn val="ctr"/>
        <c:lblOffset val="100"/>
        <c:noMultiLvlLbl val="0"/>
      </c:catAx>
      <c:valAx>
        <c:axId val="18192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2X multiplexing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30029041046676"/>
          <c:y val="0.1715994290219553"/>
          <c:w val="0.80584653154097186"/>
          <c:h val="0.45477403179800335"/>
        </c:manualLayout>
      </c:layout>
      <c:areaChart>
        <c:grouping val="stacked"/>
        <c:varyColors val="0"/>
        <c:ser>
          <c:idx val="0"/>
          <c:order val="0"/>
          <c:tx>
            <c:v>BB Precoding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1024</c:v>
              </c:pt>
              <c:pt idx="1">
                <c:v>1536</c:v>
              </c:pt>
              <c:pt idx="2">
                <c:v>2048</c:v>
              </c:pt>
              <c:pt idx="3">
                <c:v>2560</c:v>
              </c:pt>
            </c:numLit>
          </c:cat>
          <c:val>
            <c:numLit>
              <c:formatCode>General</c:formatCode>
              <c:ptCount val="4"/>
              <c:pt idx="0">
                <c:v>6.5279999999999996</c:v>
              </c:pt>
              <c:pt idx="1">
                <c:v>6.5279999999999996</c:v>
              </c:pt>
              <c:pt idx="2">
                <c:v>6.5279999999999996</c:v>
              </c:pt>
              <c:pt idx="3">
                <c:v>6.5279999999999996</c:v>
              </c:pt>
            </c:numLit>
          </c:val>
          <c:extLst>
            <c:ext xmlns:c16="http://schemas.microsoft.com/office/drawing/2014/chart" uri="{C3380CC4-5D6E-409C-BE32-E72D297353CC}">
              <c16:uniqueId val="{00000000-4C74-423B-B61C-BEF4B6CA4451}"/>
            </c:ext>
          </c:extLst>
        </c:ser>
        <c:ser>
          <c:idx val="1"/>
          <c:order val="1"/>
          <c:tx>
            <c:v>SERDES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1024</c:v>
              </c:pt>
              <c:pt idx="1">
                <c:v>1536</c:v>
              </c:pt>
              <c:pt idx="2">
                <c:v>2048</c:v>
              </c:pt>
              <c:pt idx="3">
                <c:v>2560</c:v>
              </c:pt>
            </c:numLit>
          </c:cat>
          <c:val>
            <c:numLit>
              <c:formatCode>General</c:formatCode>
              <c:ptCount val="4"/>
              <c:pt idx="0">
                <c:v>0.5</c:v>
              </c:pt>
              <c:pt idx="1">
                <c:v>0.5</c:v>
              </c:pt>
              <c:pt idx="2">
                <c:v>0.5</c:v>
              </c:pt>
              <c:pt idx="3">
                <c:v>0.5</c:v>
              </c:pt>
            </c:numLit>
          </c:val>
          <c:extLst>
            <c:ext xmlns:c16="http://schemas.microsoft.com/office/drawing/2014/chart" uri="{C3380CC4-5D6E-409C-BE32-E72D297353CC}">
              <c16:uniqueId val="{00000001-4C74-423B-B61C-BEF4B6CA4451}"/>
            </c:ext>
          </c:extLst>
        </c:ser>
        <c:ser>
          <c:idx val="2"/>
          <c:order val="2"/>
          <c:tx>
            <c:v>DAC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1024</c:v>
              </c:pt>
              <c:pt idx="1">
                <c:v>1536</c:v>
              </c:pt>
              <c:pt idx="2">
                <c:v>2048</c:v>
              </c:pt>
              <c:pt idx="3">
                <c:v>2560</c:v>
              </c:pt>
            </c:numLit>
          </c:cat>
          <c:val>
            <c:numLit>
              <c:formatCode>General</c:formatCode>
              <c:ptCount val="4"/>
              <c:pt idx="0">
                <c:v>3.7282898300619909</c:v>
              </c:pt>
              <c:pt idx="1">
                <c:v>5.4212615653142615</c:v>
              </c:pt>
              <c:pt idx="2">
                <c:v>6.9094171189964753</c:v>
              </c:pt>
              <c:pt idx="3">
                <c:v>7.6317229167508085</c:v>
              </c:pt>
            </c:numLit>
          </c:val>
          <c:extLst>
            <c:ext xmlns:c16="http://schemas.microsoft.com/office/drawing/2014/chart" uri="{C3380CC4-5D6E-409C-BE32-E72D297353CC}">
              <c16:uniqueId val="{00000002-4C74-423B-B61C-BEF4B6CA4451}"/>
            </c:ext>
          </c:extLst>
        </c:ser>
        <c:ser>
          <c:idx val="3"/>
          <c:order val="3"/>
          <c:tx>
            <c:v>Mixer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1024</c:v>
              </c:pt>
              <c:pt idx="1">
                <c:v>1536</c:v>
              </c:pt>
              <c:pt idx="2">
                <c:v>2048</c:v>
              </c:pt>
              <c:pt idx="3">
                <c:v>2560</c:v>
              </c:pt>
            </c:numLit>
          </c:cat>
          <c:val>
            <c:numLit>
              <c:formatCode>General</c:formatCode>
              <c:ptCount val="4"/>
              <c:pt idx="0">
                <c:v>0.64</c:v>
              </c:pt>
              <c:pt idx="1">
                <c:v>0.96</c:v>
              </c:pt>
              <c:pt idx="2">
                <c:v>1.28</c:v>
              </c:pt>
              <c:pt idx="3">
                <c:v>1.6</c:v>
              </c:pt>
            </c:numLit>
          </c:val>
          <c:extLst>
            <c:ext xmlns:c16="http://schemas.microsoft.com/office/drawing/2014/chart" uri="{C3380CC4-5D6E-409C-BE32-E72D297353CC}">
              <c16:uniqueId val="{00000003-4C74-423B-B61C-BEF4B6CA4451}"/>
            </c:ext>
          </c:extLst>
        </c:ser>
        <c:ser>
          <c:idx val="4"/>
          <c:order val="4"/>
          <c:tx>
            <c:v> VCO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1024</c:v>
              </c:pt>
              <c:pt idx="1">
                <c:v>1536</c:v>
              </c:pt>
              <c:pt idx="2">
                <c:v>2048</c:v>
              </c:pt>
              <c:pt idx="3">
                <c:v>2560</c:v>
              </c:pt>
            </c:numLit>
          </c:cat>
          <c:val>
            <c:numLit>
              <c:formatCode>General</c:formatCode>
              <c:ptCount val="4"/>
              <c:pt idx="0">
                <c:v>3.84</c:v>
              </c:pt>
              <c:pt idx="1">
                <c:v>5.76</c:v>
              </c:pt>
              <c:pt idx="2">
                <c:v>7.68</c:v>
              </c:pt>
              <c:pt idx="3">
                <c:v>9.6</c:v>
              </c:pt>
            </c:numLit>
          </c:val>
          <c:extLst>
            <c:ext xmlns:c16="http://schemas.microsoft.com/office/drawing/2014/chart" uri="{C3380CC4-5D6E-409C-BE32-E72D297353CC}">
              <c16:uniqueId val="{00000004-4C74-423B-B61C-BEF4B6CA4451}"/>
            </c:ext>
          </c:extLst>
        </c:ser>
        <c:ser>
          <c:idx val="5"/>
          <c:order val="5"/>
          <c:tx>
            <c:v>PS</c:v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1024</c:v>
              </c:pt>
              <c:pt idx="1">
                <c:v>1536</c:v>
              </c:pt>
              <c:pt idx="2">
                <c:v>2048</c:v>
              </c:pt>
              <c:pt idx="3">
                <c:v>2560</c:v>
              </c:pt>
            </c:numLit>
          </c:cat>
          <c:val>
            <c:numLit>
              <c:formatCode>General</c:formatCode>
              <c:ptCount val="4"/>
              <c:pt idx="0">
                <c:v>10.24</c:v>
              </c:pt>
              <c:pt idx="1">
                <c:v>15.36</c:v>
              </c:pt>
              <c:pt idx="2">
                <c:v>20.48</c:v>
              </c:pt>
              <c:pt idx="3">
                <c:v>25.6</c:v>
              </c:pt>
            </c:numLit>
          </c:val>
          <c:extLst>
            <c:ext xmlns:c16="http://schemas.microsoft.com/office/drawing/2014/chart" uri="{C3380CC4-5D6E-409C-BE32-E72D297353CC}">
              <c16:uniqueId val="{00000005-4C74-423B-B61C-BEF4B6CA4451}"/>
            </c:ext>
          </c:extLst>
        </c:ser>
        <c:ser>
          <c:idx val="6"/>
          <c:order val="6"/>
          <c:tx>
            <c:v>RF Amp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1024</c:v>
              </c:pt>
              <c:pt idx="1">
                <c:v>1536</c:v>
              </c:pt>
              <c:pt idx="2">
                <c:v>2048</c:v>
              </c:pt>
              <c:pt idx="3">
                <c:v>2560</c:v>
              </c:pt>
            </c:numLit>
          </c:cat>
          <c:val>
            <c:numLit>
              <c:formatCode>General</c:formatCode>
              <c:ptCount val="4"/>
              <c:pt idx="0">
                <c:v>51.2</c:v>
              </c:pt>
              <c:pt idx="1">
                <c:v>76.8</c:v>
              </c:pt>
              <c:pt idx="2">
                <c:v>102.4</c:v>
              </c:pt>
              <c:pt idx="3">
                <c:v>128</c:v>
              </c:pt>
            </c:numLit>
          </c:val>
          <c:extLst>
            <c:ext xmlns:c16="http://schemas.microsoft.com/office/drawing/2014/chart" uri="{C3380CC4-5D6E-409C-BE32-E72D297353CC}">
              <c16:uniqueId val="{00000006-4C74-423B-B61C-BEF4B6CA4451}"/>
            </c:ext>
          </c:extLst>
        </c:ser>
        <c:ser>
          <c:idx val="7"/>
          <c:order val="7"/>
          <c:tx>
            <c:v>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1024</c:v>
              </c:pt>
              <c:pt idx="1">
                <c:v>1536</c:v>
              </c:pt>
              <c:pt idx="2">
                <c:v>2048</c:v>
              </c:pt>
              <c:pt idx="3">
                <c:v>2560</c:v>
              </c:pt>
            </c:numLit>
          </c:cat>
          <c:val>
            <c:numLit>
              <c:formatCode>General</c:formatCode>
              <c:ptCount val="4"/>
              <c:pt idx="0">
                <c:v>308.90737117398231</c:v>
              </c:pt>
              <c:pt idx="1">
                <c:v>193.5656416771009</c:v>
              </c:pt>
              <c:pt idx="2">
                <c:v>132.68696841540714</c:v>
              </c:pt>
              <c:pt idx="3">
                <c:v>82.952269340502525</c:v>
              </c:pt>
            </c:numLit>
          </c:val>
          <c:extLst>
            <c:ext xmlns:c16="http://schemas.microsoft.com/office/drawing/2014/chart" uri="{C3380CC4-5D6E-409C-BE32-E72D297353CC}">
              <c16:uniqueId val="{00000007-4C74-423B-B61C-BEF4B6CA4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42208"/>
        <c:axId val="516343848"/>
        <c:extLst>
          <c:ext xmlns:c15="http://schemas.microsoft.com/office/drawing/2012/chart" uri="{02D57815-91ED-43cb-92C2-25804820EDAC}">
            <c15:filteredArea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'Sub Array'!#REF!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 w="25400">
                    <a:noFill/>
                  </a:ln>
                  <a:effectLst/>
                </c:spPr>
                <c:cat>
                  <c:numLit>
                    <c:formatCode>General</c:formatCode>
                    <c:ptCount val="4"/>
                    <c:pt idx="0">
                      <c:v>1024</c:v>
                    </c:pt>
                    <c:pt idx="1">
                      <c:v>1536</c:v>
                    </c:pt>
                    <c:pt idx="2">
                      <c:v>2048</c:v>
                    </c:pt>
                    <c:pt idx="3">
                      <c:v>2560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'Sub Array'!#REF!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4C74-423B-B61C-BEF4B6CA4451}"/>
                  </c:ext>
                </c:extLst>
              </c15:ser>
            </c15:filteredAreaSeries>
          </c:ext>
        </c:extLst>
      </c:areaChart>
      <c:catAx>
        <c:axId val="5163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43848"/>
        <c:crosses val="autoZero"/>
        <c:auto val="1"/>
        <c:lblAlgn val="ctr"/>
        <c:lblOffset val="100"/>
        <c:noMultiLvlLbl val="0"/>
      </c:catAx>
      <c:valAx>
        <c:axId val="51634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4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209215292955307E-2"/>
          <c:y val="0.81579272793925639"/>
          <c:w val="0.97304651557338617"/>
          <c:h val="0.157406582066167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</a:t>
            </a:r>
            <a:r>
              <a:rPr lang="en-US" baseline="0"/>
              <a:t> multiplexing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1689199227456"/>
          <c:y val="0.1424317617866005"/>
          <c:w val="0.807311840736889"/>
          <c:h val="0.57722566316927515"/>
        </c:manualLayout>
      </c:layout>
      <c:areaChart>
        <c:grouping val="stacked"/>
        <c:varyColors val="0"/>
        <c:ser>
          <c:idx val="0"/>
          <c:order val="0"/>
          <c:tx>
            <c:v>BB Precoding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1024</c:v>
              </c:pt>
              <c:pt idx="1">
                <c:v>2048</c:v>
              </c:pt>
              <c:pt idx="2">
                <c:v>3072</c:v>
              </c:pt>
              <c:pt idx="3">
                <c:v>4096</c:v>
              </c:pt>
            </c:numLit>
          </c:cat>
          <c:val>
            <c:numLit>
              <c:formatCode>General</c:formatCode>
              <c:ptCount val="4"/>
              <c:pt idx="0">
                <c:v>13.055999999999999</c:v>
              </c:pt>
              <c:pt idx="1">
                <c:v>13.055999999999999</c:v>
              </c:pt>
              <c:pt idx="2">
                <c:v>13.055999999999999</c:v>
              </c:pt>
              <c:pt idx="3">
                <c:v>13.055999999999999</c:v>
              </c:pt>
            </c:numLit>
          </c:val>
          <c:extLst>
            <c:ext xmlns:c16="http://schemas.microsoft.com/office/drawing/2014/chart" uri="{C3380CC4-5D6E-409C-BE32-E72D297353CC}">
              <c16:uniqueId val="{00000000-F158-4171-8EBF-35315BA37DC9}"/>
            </c:ext>
          </c:extLst>
        </c:ser>
        <c:ser>
          <c:idx val="1"/>
          <c:order val="1"/>
          <c:tx>
            <c:v>SERDES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1024</c:v>
              </c:pt>
              <c:pt idx="1">
                <c:v>2048</c:v>
              </c:pt>
              <c:pt idx="2">
                <c:v>3072</c:v>
              </c:pt>
              <c:pt idx="3">
                <c:v>4096</c:v>
              </c:pt>
            </c:numLit>
          </c:cat>
          <c:val>
            <c:numLit>
              <c:formatCode>General</c:formatCode>
              <c:ptCount val="4"/>
              <c:pt idx="0">
                <c:v>0.5</c:v>
              </c:pt>
              <c:pt idx="1">
                <c:v>0.5</c:v>
              </c:pt>
              <c:pt idx="2">
                <c:v>0.5</c:v>
              </c:pt>
              <c:pt idx="3">
                <c:v>0.5</c:v>
              </c:pt>
            </c:numLit>
          </c:val>
          <c:extLst>
            <c:ext xmlns:c16="http://schemas.microsoft.com/office/drawing/2014/chart" uri="{C3380CC4-5D6E-409C-BE32-E72D297353CC}">
              <c16:uniqueId val="{00000001-F158-4171-8EBF-35315BA37DC9}"/>
            </c:ext>
          </c:extLst>
        </c:ser>
        <c:ser>
          <c:idx val="2"/>
          <c:order val="2"/>
          <c:tx>
            <c:v>DAC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1024</c:v>
              </c:pt>
              <c:pt idx="1">
                <c:v>2048</c:v>
              </c:pt>
              <c:pt idx="2">
                <c:v>3072</c:v>
              </c:pt>
              <c:pt idx="3">
                <c:v>4096</c:v>
              </c:pt>
            </c:numLit>
          </c:cat>
          <c:val>
            <c:numLit>
              <c:formatCode>General</c:formatCode>
              <c:ptCount val="4"/>
              <c:pt idx="0">
                <c:v>5.3089039170005101</c:v>
              </c:pt>
              <c:pt idx="1">
                <c:v>10.753969331089705</c:v>
              </c:pt>
              <c:pt idx="2">
                <c:v>13.164479931075846</c:v>
              </c:pt>
              <c:pt idx="3">
                <c:v>15.051625039977477</c:v>
              </c:pt>
            </c:numLit>
          </c:val>
          <c:extLst>
            <c:ext xmlns:c16="http://schemas.microsoft.com/office/drawing/2014/chart" uri="{C3380CC4-5D6E-409C-BE32-E72D297353CC}">
              <c16:uniqueId val="{00000002-F158-4171-8EBF-35315BA37DC9}"/>
            </c:ext>
          </c:extLst>
        </c:ser>
        <c:ser>
          <c:idx val="3"/>
          <c:order val="3"/>
          <c:tx>
            <c:v>Mixer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1024</c:v>
              </c:pt>
              <c:pt idx="1">
                <c:v>2048</c:v>
              </c:pt>
              <c:pt idx="2">
                <c:v>3072</c:v>
              </c:pt>
              <c:pt idx="3">
                <c:v>4096</c:v>
              </c:pt>
            </c:numLit>
          </c:cat>
          <c:val>
            <c:numLit>
              <c:formatCode>General</c:formatCode>
              <c:ptCount val="4"/>
              <c:pt idx="0">
                <c:v>0.64</c:v>
              </c:pt>
              <c:pt idx="1">
                <c:v>1.28</c:v>
              </c:pt>
              <c:pt idx="2">
                <c:v>1.92</c:v>
              </c:pt>
              <c:pt idx="3">
                <c:v>2.56</c:v>
              </c:pt>
            </c:numLit>
          </c:val>
          <c:extLst>
            <c:ext xmlns:c16="http://schemas.microsoft.com/office/drawing/2014/chart" uri="{C3380CC4-5D6E-409C-BE32-E72D297353CC}">
              <c16:uniqueId val="{00000003-F158-4171-8EBF-35315BA37DC9}"/>
            </c:ext>
          </c:extLst>
        </c:ser>
        <c:ser>
          <c:idx val="4"/>
          <c:order val="4"/>
          <c:tx>
            <c:v> VCO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1024</c:v>
              </c:pt>
              <c:pt idx="1">
                <c:v>2048</c:v>
              </c:pt>
              <c:pt idx="2">
                <c:v>3072</c:v>
              </c:pt>
              <c:pt idx="3">
                <c:v>4096</c:v>
              </c:pt>
            </c:numLit>
          </c:cat>
          <c:val>
            <c:numLit>
              <c:formatCode>General</c:formatCode>
              <c:ptCount val="4"/>
              <c:pt idx="0">
                <c:v>3.84</c:v>
              </c:pt>
              <c:pt idx="1">
                <c:v>7.68</c:v>
              </c:pt>
              <c:pt idx="2">
                <c:v>11.52</c:v>
              </c:pt>
              <c:pt idx="3">
                <c:v>15.36</c:v>
              </c:pt>
            </c:numLit>
          </c:val>
          <c:extLst>
            <c:ext xmlns:c16="http://schemas.microsoft.com/office/drawing/2014/chart" uri="{C3380CC4-5D6E-409C-BE32-E72D297353CC}">
              <c16:uniqueId val="{00000004-F158-4171-8EBF-35315BA37DC9}"/>
            </c:ext>
          </c:extLst>
        </c:ser>
        <c:ser>
          <c:idx val="5"/>
          <c:order val="5"/>
          <c:tx>
            <c:v>PS</c:v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1024</c:v>
              </c:pt>
              <c:pt idx="1">
                <c:v>2048</c:v>
              </c:pt>
              <c:pt idx="2">
                <c:v>3072</c:v>
              </c:pt>
              <c:pt idx="3">
                <c:v>4096</c:v>
              </c:pt>
            </c:numLit>
          </c:cat>
          <c:val>
            <c:numLit>
              <c:formatCode>General</c:formatCode>
              <c:ptCount val="4"/>
              <c:pt idx="0">
                <c:v>10.24</c:v>
              </c:pt>
              <c:pt idx="1">
                <c:v>20.48</c:v>
              </c:pt>
              <c:pt idx="2">
                <c:v>30.72</c:v>
              </c:pt>
              <c:pt idx="3">
                <c:v>40.96</c:v>
              </c:pt>
            </c:numLit>
          </c:val>
          <c:extLst>
            <c:ext xmlns:c16="http://schemas.microsoft.com/office/drawing/2014/chart" uri="{C3380CC4-5D6E-409C-BE32-E72D297353CC}">
              <c16:uniqueId val="{00000005-F158-4171-8EBF-35315BA37DC9}"/>
            </c:ext>
          </c:extLst>
        </c:ser>
        <c:ser>
          <c:idx val="6"/>
          <c:order val="6"/>
          <c:tx>
            <c:v>RF Amp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1024</c:v>
              </c:pt>
              <c:pt idx="1">
                <c:v>2048</c:v>
              </c:pt>
              <c:pt idx="2">
                <c:v>3072</c:v>
              </c:pt>
              <c:pt idx="3">
                <c:v>4096</c:v>
              </c:pt>
            </c:numLit>
          </c:cat>
          <c:val>
            <c:numLit>
              <c:formatCode>General</c:formatCode>
              <c:ptCount val="4"/>
              <c:pt idx="0">
                <c:v>51.2</c:v>
              </c:pt>
              <c:pt idx="1">
                <c:v>102.4</c:v>
              </c:pt>
              <c:pt idx="2">
                <c:v>153.6</c:v>
              </c:pt>
              <c:pt idx="3">
                <c:v>204.8</c:v>
              </c:pt>
            </c:numLit>
          </c:val>
          <c:extLst>
            <c:ext xmlns:c16="http://schemas.microsoft.com/office/drawing/2014/chart" uri="{C3380CC4-5D6E-409C-BE32-E72D297353CC}">
              <c16:uniqueId val="{00000006-F158-4171-8EBF-35315BA37DC9}"/>
            </c:ext>
          </c:extLst>
        </c:ser>
        <c:ser>
          <c:idx val="7"/>
          <c:order val="7"/>
          <c:tx>
            <c:v>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4"/>
              <c:pt idx="0">
                <c:v>1024</c:v>
              </c:pt>
              <c:pt idx="1">
                <c:v>2048</c:v>
              </c:pt>
              <c:pt idx="2">
                <c:v>3072</c:v>
              </c:pt>
              <c:pt idx="3">
                <c:v>4096</c:v>
              </c:pt>
            </c:numLit>
          </c:cat>
          <c:val>
            <c:numLit>
              <c:formatCode>General</c:formatCode>
              <c:ptCount val="4"/>
              <c:pt idx="0">
                <c:v>2499.3568724284364</c:v>
              </c:pt>
              <c:pt idx="1">
                <c:v>1281.8236246819783</c:v>
              </c:pt>
              <c:pt idx="2">
                <c:v>569.93886291419517</c:v>
              </c:pt>
              <c:pt idx="3">
                <c:v>314.65038798425502</c:v>
              </c:pt>
            </c:numLit>
          </c:val>
          <c:extLst>
            <c:ext xmlns:c16="http://schemas.microsoft.com/office/drawing/2014/chart" uri="{C3380CC4-5D6E-409C-BE32-E72D297353CC}">
              <c16:uniqueId val="{00000007-F158-4171-8EBF-35315BA37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36304"/>
        <c:axId val="516336960"/>
        <c:extLst>
          <c:ext xmlns:c15="http://schemas.microsoft.com/office/drawing/2012/chart" uri="{02D57815-91ED-43cb-92C2-25804820EDAC}">
            <c15:filteredArea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'Sub Array'!#REF!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 w="25400">
                    <a:noFill/>
                  </a:ln>
                  <a:effectLst/>
                </c:spPr>
                <c:cat>
                  <c:numLit>
                    <c:formatCode>General</c:formatCode>
                    <c:ptCount val="4"/>
                    <c:pt idx="0">
                      <c:v>1024</c:v>
                    </c:pt>
                    <c:pt idx="1">
                      <c:v>2048</c:v>
                    </c:pt>
                    <c:pt idx="2">
                      <c:v>3072</c:v>
                    </c:pt>
                    <c:pt idx="3">
                      <c:v>4096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'Sub Array'!#REF!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158-4171-8EBF-35315BA37DC9}"/>
                  </c:ext>
                </c:extLst>
              </c15:ser>
            </c15:filteredAreaSeries>
          </c:ext>
        </c:extLst>
      </c:areaChart>
      <c:catAx>
        <c:axId val="51633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36960"/>
        <c:crosses val="autoZero"/>
        <c:auto val="1"/>
        <c:lblAlgn val="ctr"/>
        <c:lblOffset val="100"/>
        <c:noMultiLvlLbl val="0"/>
      </c:catAx>
      <c:valAx>
        <c:axId val="5163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3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89486455702481E-2"/>
          <c:y val="0.83041545365142011"/>
          <c:w val="0.93336799881146937"/>
          <c:h val="0.1497334297232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BB Precoding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256</c:v>
              </c:pt>
              <c:pt idx="1">
                <c:v>384</c:v>
              </c:pt>
              <c:pt idx="2">
                <c:v>512</c:v>
              </c:pt>
              <c:pt idx="3">
                <c:v>768</c:v>
              </c:pt>
              <c:pt idx="4">
                <c:v>1024</c:v>
              </c:pt>
            </c:numLit>
          </c:cat>
          <c:val>
            <c:numLit>
              <c:formatCode>General</c:formatCode>
              <c:ptCount val="5"/>
              <c:pt idx="0">
                <c:v>3.2639999999999998</c:v>
              </c:pt>
              <c:pt idx="1">
                <c:v>3.2639999999999998</c:v>
              </c:pt>
              <c:pt idx="2">
                <c:v>3.2639999999999998</c:v>
              </c:pt>
              <c:pt idx="3">
                <c:v>3.2639999999999998</c:v>
              </c:pt>
              <c:pt idx="4">
                <c:v>3.2639999999999998</c:v>
              </c:pt>
            </c:numLit>
          </c:val>
          <c:extLst>
            <c:ext xmlns:c16="http://schemas.microsoft.com/office/drawing/2014/chart" uri="{C3380CC4-5D6E-409C-BE32-E72D297353CC}">
              <c16:uniqueId val="{00000000-8698-4555-857B-8EE62D36868A}"/>
            </c:ext>
          </c:extLst>
        </c:ser>
        <c:ser>
          <c:idx val="1"/>
          <c:order val="1"/>
          <c:tx>
            <c:v>SERDES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256</c:v>
              </c:pt>
              <c:pt idx="1">
                <c:v>384</c:v>
              </c:pt>
              <c:pt idx="2">
                <c:v>512</c:v>
              </c:pt>
              <c:pt idx="3">
                <c:v>768</c:v>
              </c:pt>
              <c:pt idx="4">
                <c:v>1024</c:v>
              </c:pt>
            </c:numLit>
          </c:cat>
          <c:val>
            <c:numLit>
              <c:formatCode>General</c:formatCode>
              <c:ptCount val="5"/>
              <c:pt idx="0">
                <c:v>0.5</c:v>
              </c:pt>
              <c:pt idx="1">
                <c:v>0.5</c:v>
              </c:pt>
              <c:pt idx="2">
                <c:v>0.5</c:v>
              </c:pt>
              <c:pt idx="3">
                <c:v>0.5</c:v>
              </c:pt>
              <c:pt idx="4">
                <c:v>0.5</c:v>
              </c:pt>
            </c:numLit>
          </c:val>
          <c:extLst>
            <c:ext xmlns:c16="http://schemas.microsoft.com/office/drawing/2014/chart" uri="{C3380CC4-5D6E-409C-BE32-E72D297353CC}">
              <c16:uniqueId val="{00000001-8698-4555-857B-8EE62D36868A}"/>
            </c:ext>
          </c:extLst>
        </c:ser>
        <c:ser>
          <c:idx val="2"/>
          <c:order val="2"/>
          <c:tx>
            <c:v>DAC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256</c:v>
              </c:pt>
              <c:pt idx="1">
                <c:v>384</c:v>
              </c:pt>
              <c:pt idx="2">
                <c:v>512</c:v>
              </c:pt>
              <c:pt idx="3">
                <c:v>768</c:v>
              </c:pt>
              <c:pt idx="4">
                <c:v>1024</c:v>
              </c:pt>
            </c:numLit>
          </c:cat>
          <c:val>
            <c:numLit>
              <c:formatCode>General</c:formatCode>
              <c:ptCount val="5"/>
              <c:pt idx="0">
                <c:v>0.78377638828150265</c:v>
              </c:pt>
              <c:pt idx="1">
                <c:v>1.2733496425130784</c:v>
              </c:pt>
              <c:pt idx="2">
                <c:v>1.6474454276513772</c:v>
              </c:pt>
              <c:pt idx="3">
                <c:v>2.2689297509040314</c:v>
              </c:pt>
              <c:pt idx="4">
                <c:v>3.0743484030610633</c:v>
              </c:pt>
            </c:numLit>
          </c:val>
          <c:extLst>
            <c:ext xmlns:c16="http://schemas.microsoft.com/office/drawing/2014/chart" uri="{C3380CC4-5D6E-409C-BE32-E72D297353CC}">
              <c16:uniqueId val="{00000002-8698-4555-857B-8EE62D36868A}"/>
            </c:ext>
          </c:extLst>
        </c:ser>
        <c:ser>
          <c:idx val="3"/>
          <c:order val="3"/>
          <c:tx>
            <c:v>Mixer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256</c:v>
              </c:pt>
              <c:pt idx="1">
                <c:v>384</c:v>
              </c:pt>
              <c:pt idx="2">
                <c:v>512</c:v>
              </c:pt>
              <c:pt idx="3">
                <c:v>768</c:v>
              </c:pt>
              <c:pt idx="4">
                <c:v>1024</c:v>
              </c:pt>
            </c:numLit>
          </c:cat>
          <c:val>
            <c:numLit>
              <c:formatCode>General</c:formatCode>
              <c:ptCount val="5"/>
              <c:pt idx="0">
                <c:v>0.16</c:v>
              </c:pt>
              <c:pt idx="1">
                <c:v>0.24</c:v>
              </c:pt>
              <c:pt idx="2">
                <c:v>0.32</c:v>
              </c:pt>
              <c:pt idx="3">
                <c:v>0.48</c:v>
              </c:pt>
              <c:pt idx="4">
                <c:v>0.64</c:v>
              </c:pt>
            </c:numLit>
          </c:val>
          <c:extLst>
            <c:ext xmlns:c16="http://schemas.microsoft.com/office/drawing/2014/chart" uri="{C3380CC4-5D6E-409C-BE32-E72D297353CC}">
              <c16:uniqueId val="{00000003-8698-4555-857B-8EE62D36868A}"/>
            </c:ext>
          </c:extLst>
        </c:ser>
        <c:ser>
          <c:idx val="4"/>
          <c:order val="4"/>
          <c:tx>
            <c:v> VCO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256</c:v>
              </c:pt>
              <c:pt idx="1">
                <c:v>384</c:v>
              </c:pt>
              <c:pt idx="2">
                <c:v>512</c:v>
              </c:pt>
              <c:pt idx="3">
                <c:v>768</c:v>
              </c:pt>
              <c:pt idx="4">
                <c:v>1024</c:v>
              </c:pt>
            </c:numLit>
          </c:cat>
          <c:val>
            <c:numLit>
              <c:formatCode>General</c:formatCode>
              <c:ptCount val="5"/>
              <c:pt idx="0">
                <c:v>0.96</c:v>
              </c:pt>
              <c:pt idx="1">
                <c:v>1.44</c:v>
              </c:pt>
              <c:pt idx="2">
                <c:v>1.92</c:v>
              </c:pt>
              <c:pt idx="3">
                <c:v>2.88</c:v>
              </c:pt>
              <c:pt idx="4">
                <c:v>3.84</c:v>
              </c:pt>
            </c:numLit>
          </c:val>
          <c:extLst>
            <c:ext xmlns:c16="http://schemas.microsoft.com/office/drawing/2014/chart" uri="{C3380CC4-5D6E-409C-BE32-E72D297353CC}">
              <c16:uniqueId val="{00000004-8698-4555-857B-8EE62D36868A}"/>
            </c:ext>
          </c:extLst>
        </c:ser>
        <c:ser>
          <c:idx val="5"/>
          <c:order val="5"/>
          <c:tx>
            <c:v>PS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256</c:v>
              </c:pt>
              <c:pt idx="1">
                <c:v>384</c:v>
              </c:pt>
              <c:pt idx="2">
                <c:v>512</c:v>
              </c:pt>
              <c:pt idx="3">
                <c:v>768</c:v>
              </c:pt>
              <c:pt idx="4">
                <c:v>1024</c:v>
              </c:pt>
            </c:numLit>
          </c:cat>
          <c:val>
            <c:numLit>
              <c:formatCode>General</c:formatCode>
              <c:ptCount val="5"/>
              <c:pt idx="0">
                <c:v>2.56</c:v>
              </c:pt>
              <c:pt idx="1">
                <c:v>3.84</c:v>
              </c:pt>
              <c:pt idx="2">
                <c:v>5.12</c:v>
              </c:pt>
              <c:pt idx="3">
                <c:v>7.68</c:v>
              </c:pt>
              <c:pt idx="4">
                <c:v>10.24</c:v>
              </c:pt>
            </c:numLit>
          </c:val>
          <c:extLst>
            <c:ext xmlns:c16="http://schemas.microsoft.com/office/drawing/2014/chart" uri="{C3380CC4-5D6E-409C-BE32-E72D297353CC}">
              <c16:uniqueId val="{00000005-8698-4555-857B-8EE62D36868A}"/>
            </c:ext>
          </c:extLst>
        </c:ser>
        <c:ser>
          <c:idx val="6"/>
          <c:order val="6"/>
          <c:tx>
            <c:v>RF Amp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256</c:v>
              </c:pt>
              <c:pt idx="1">
                <c:v>384</c:v>
              </c:pt>
              <c:pt idx="2">
                <c:v>512</c:v>
              </c:pt>
              <c:pt idx="3">
                <c:v>768</c:v>
              </c:pt>
              <c:pt idx="4">
                <c:v>1024</c:v>
              </c:pt>
            </c:numLit>
          </c:cat>
          <c:val>
            <c:numLit>
              <c:formatCode>General</c:formatCode>
              <c:ptCount val="5"/>
              <c:pt idx="0">
                <c:v>12.8</c:v>
              </c:pt>
              <c:pt idx="1">
                <c:v>19.2</c:v>
              </c:pt>
              <c:pt idx="2">
                <c:v>25.6</c:v>
              </c:pt>
              <c:pt idx="3">
                <c:v>38.4</c:v>
              </c:pt>
              <c:pt idx="4">
                <c:v>51.2</c:v>
              </c:pt>
            </c:numLit>
          </c:val>
          <c:extLst>
            <c:ext xmlns:c16="http://schemas.microsoft.com/office/drawing/2014/chart" uri="{C3380CC4-5D6E-409C-BE32-E72D297353CC}">
              <c16:uniqueId val="{00000006-8698-4555-857B-8EE62D36868A}"/>
            </c:ext>
          </c:extLst>
        </c:ser>
        <c:ser>
          <c:idx val="7"/>
          <c:order val="7"/>
          <c:tx>
            <c:v>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256</c:v>
              </c:pt>
              <c:pt idx="1">
                <c:v>384</c:v>
              </c:pt>
              <c:pt idx="2">
                <c:v>512</c:v>
              </c:pt>
              <c:pt idx="3">
                <c:v>768</c:v>
              </c:pt>
              <c:pt idx="4">
                <c:v>1024</c:v>
              </c:pt>
            </c:numLit>
          </c:cat>
          <c:val>
            <c:numLit>
              <c:formatCode>General</c:formatCode>
              <c:ptCount val="5"/>
              <c:pt idx="0">
                <c:v>218.68967118780725</c:v>
              </c:pt>
              <c:pt idx="1">
                <c:v>170.93392757666942</c:v>
              </c:pt>
              <c:pt idx="2">
                <c:v>120.73363366651549</c:v>
              </c:pt>
              <c:pt idx="3">
                <c:v>67.893511551074397</c:v>
              </c:pt>
              <c:pt idx="4">
                <c:v>52.580931014971149</c:v>
              </c:pt>
            </c:numLit>
          </c:val>
          <c:extLst>
            <c:ext xmlns:c16="http://schemas.microsoft.com/office/drawing/2014/chart" uri="{C3380CC4-5D6E-409C-BE32-E72D297353CC}">
              <c16:uniqueId val="{00000007-8698-4555-857B-8EE62D368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2769520"/>
        <c:axId val="772769848"/>
      </c:barChart>
      <c:catAx>
        <c:axId val="77276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69848"/>
        <c:crosses val="autoZero"/>
        <c:auto val="1"/>
        <c:lblAlgn val="ctr"/>
        <c:lblOffset val="100"/>
        <c:noMultiLvlLbl val="0"/>
      </c:catAx>
      <c:valAx>
        <c:axId val="77276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6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BB Precoding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1X(768)</c:v>
              </c:pt>
              <c:pt idx="1">
                <c:v>2X(2048)</c:v>
              </c:pt>
              <c:pt idx="2">
                <c:v>4X(4096)</c:v>
              </c:pt>
            </c:strLit>
          </c:cat>
          <c:val>
            <c:numLit>
              <c:formatCode>General</c:formatCode>
              <c:ptCount val="3"/>
              <c:pt idx="0">
                <c:v>3264</c:v>
              </c:pt>
              <c:pt idx="1">
                <c:v>6528</c:v>
              </c:pt>
              <c:pt idx="2">
                <c:v>13056</c:v>
              </c:pt>
            </c:numLit>
          </c:val>
          <c:extLst>
            <c:ext xmlns:c16="http://schemas.microsoft.com/office/drawing/2014/chart" uri="{C3380CC4-5D6E-409C-BE32-E72D297353CC}">
              <c16:uniqueId val="{00000000-14BC-41F2-92C7-BBF648A1DC78}"/>
            </c:ext>
          </c:extLst>
        </c:ser>
        <c:ser>
          <c:idx val="1"/>
          <c:order val="1"/>
          <c:tx>
            <c:v>SERDES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1X(768)</c:v>
              </c:pt>
              <c:pt idx="1">
                <c:v>2X(2048)</c:v>
              </c:pt>
              <c:pt idx="2">
                <c:v>4X(4096)</c:v>
              </c:pt>
            </c:strLit>
          </c:cat>
          <c:val>
            <c:numLit>
              <c:formatCode>General</c:formatCode>
              <c:ptCount val="3"/>
              <c:pt idx="0">
                <c:v>2904.6446463557681</c:v>
              </c:pt>
              <c:pt idx="1">
                <c:v>500</c:v>
              </c:pt>
              <c:pt idx="2">
                <c:v>500</c:v>
              </c:pt>
            </c:numLit>
          </c:val>
          <c:extLst>
            <c:ext xmlns:c16="http://schemas.microsoft.com/office/drawing/2014/chart" uri="{C3380CC4-5D6E-409C-BE32-E72D297353CC}">
              <c16:uniqueId val="{00000001-14BC-41F2-92C7-BBF648A1DC78}"/>
            </c:ext>
          </c:extLst>
        </c:ser>
        <c:ser>
          <c:idx val="2"/>
          <c:order val="2"/>
          <c:tx>
            <c:v>DAC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1X(768)</c:v>
              </c:pt>
              <c:pt idx="1">
                <c:v>2X(2048)</c:v>
              </c:pt>
              <c:pt idx="2">
                <c:v>4X(4096)</c:v>
              </c:pt>
            </c:strLit>
          </c:cat>
          <c:val>
            <c:numLit>
              <c:formatCode>General</c:formatCode>
              <c:ptCount val="3"/>
              <c:pt idx="0">
                <c:v>2268.9297509040312</c:v>
              </c:pt>
              <c:pt idx="1">
                <c:v>6909.4171189964754</c:v>
              </c:pt>
              <c:pt idx="2">
                <c:v>15051.625039977476</c:v>
              </c:pt>
            </c:numLit>
          </c:val>
          <c:extLst>
            <c:ext xmlns:c16="http://schemas.microsoft.com/office/drawing/2014/chart" uri="{C3380CC4-5D6E-409C-BE32-E72D297353CC}">
              <c16:uniqueId val="{00000002-14BC-41F2-92C7-BBF648A1DC78}"/>
            </c:ext>
          </c:extLst>
        </c:ser>
        <c:ser>
          <c:idx val="3"/>
          <c:order val="3"/>
          <c:tx>
            <c:v>Mixer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1X(768)</c:v>
              </c:pt>
              <c:pt idx="1">
                <c:v>2X(2048)</c:v>
              </c:pt>
              <c:pt idx="2">
                <c:v>4X(4096)</c:v>
              </c:pt>
            </c:strLit>
          </c:cat>
          <c:val>
            <c:numLit>
              <c:formatCode>General</c:formatCode>
              <c:ptCount val="3"/>
              <c:pt idx="0">
                <c:v>480</c:v>
              </c:pt>
              <c:pt idx="1">
                <c:v>1280</c:v>
              </c:pt>
              <c:pt idx="2">
                <c:v>2560</c:v>
              </c:pt>
            </c:numLit>
          </c:val>
          <c:extLst>
            <c:ext xmlns:c16="http://schemas.microsoft.com/office/drawing/2014/chart" uri="{C3380CC4-5D6E-409C-BE32-E72D297353CC}">
              <c16:uniqueId val="{00000003-14BC-41F2-92C7-BBF648A1DC78}"/>
            </c:ext>
          </c:extLst>
        </c:ser>
        <c:ser>
          <c:idx val="4"/>
          <c:order val="4"/>
          <c:tx>
            <c:v> VCO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1X(768)</c:v>
              </c:pt>
              <c:pt idx="1">
                <c:v>2X(2048)</c:v>
              </c:pt>
              <c:pt idx="2">
                <c:v>4X(4096)</c:v>
              </c:pt>
            </c:strLit>
          </c:cat>
          <c:val>
            <c:numLit>
              <c:formatCode>General</c:formatCode>
              <c:ptCount val="3"/>
              <c:pt idx="0">
                <c:v>2880</c:v>
              </c:pt>
              <c:pt idx="1">
                <c:v>7680</c:v>
              </c:pt>
              <c:pt idx="2">
                <c:v>15360</c:v>
              </c:pt>
            </c:numLit>
          </c:val>
          <c:extLst>
            <c:ext xmlns:c16="http://schemas.microsoft.com/office/drawing/2014/chart" uri="{C3380CC4-5D6E-409C-BE32-E72D297353CC}">
              <c16:uniqueId val="{00000004-14BC-41F2-92C7-BBF648A1DC78}"/>
            </c:ext>
          </c:extLst>
        </c:ser>
        <c:ser>
          <c:idx val="5"/>
          <c:order val="5"/>
          <c:tx>
            <c:v>PS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1X(768)</c:v>
              </c:pt>
              <c:pt idx="1">
                <c:v>2X(2048)</c:v>
              </c:pt>
              <c:pt idx="2">
                <c:v>4X(4096)</c:v>
              </c:pt>
            </c:strLit>
          </c:cat>
          <c:val>
            <c:numLit>
              <c:formatCode>General</c:formatCode>
              <c:ptCount val="3"/>
              <c:pt idx="0">
                <c:v>7680</c:v>
              </c:pt>
              <c:pt idx="1">
                <c:v>20480</c:v>
              </c:pt>
              <c:pt idx="2">
                <c:v>40960</c:v>
              </c:pt>
            </c:numLit>
          </c:val>
          <c:extLst>
            <c:ext xmlns:c16="http://schemas.microsoft.com/office/drawing/2014/chart" uri="{C3380CC4-5D6E-409C-BE32-E72D297353CC}">
              <c16:uniqueId val="{00000005-14BC-41F2-92C7-BBF648A1DC78}"/>
            </c:ext>
          </c:extLst>
        </c:ser>
        <c:ser>
          <c:idx val="6"/>
          <c:order val="6"/>
          <c:tx>
            <c:v>RF Amp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1X(768)</c:v>
              </c:pt>
              <c:pt idx="1">
                <c:v>2X(2048)</c:v>
              </c:pt>
              <c:pt idx="2">
                <c:v>4X(4096)</c:v>
              </c:pt>
            </c:strLit>
          </c:cat>
          <c:val>
            <c:numLit>
              <c:formatCode>General</c:formatCode>
              <c:ptCount val="3"/>
              <c:pt idx="0">
                <c:v>38400</c:v>
              </c:pt>
              <c:pt idx="1">
                <c:v>102400</c:v>
              </c:pt>
              <c:pt idx="2">
                <c:v>204800</c:v>
              </c:pt>
            </c:numLit>
          </c:val>
          <c:extLst>
            <c:ext xmlns:c16="http://schemas.microsoft.com/office/drawing/2014/chart" uri="{C3380CC4-5D6E-409C-BE32-E72D297353CC}">
              <c16:uniqueId val="{00000006-14BC-41F2-92C7-BBF648A1DC78}"/>
            </c:ext>
          </c:extLst>
        </c:ser>
        <c:ser>
          <c:idx val="7"/>
          <c:order val="7"/>
          <c:tx>
            <c:v>PA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1X(768)</c:v>
              </c:pt>
              <c:pt idx="1">
                <c:v>2X(2048)</c:v>
              </c:pt>
              <c:pt idx="2">
                <c:v>4X(4096)</c:v>
              </c:pt>
            </c:strLit>
          </c:cat>
          <c:val>
            <c:numLit>
              <c:formatCode>General</c:formatCode>
              <c:ptCount val="3"/>
              <c:pt idx="0">
                <c:v>67893.511551074393</c:v>
              </c:pt>
              <c:pt idx="1">
                <c:v>132686.96841540714</c:v>
              </c:pt>
              <c:pt idx="2">
                <c:v>314650.38798425504</c:v>
              </c:pt>
            </c:numLit>
          </c:val>
          <c:extLst>
            <c:ext xmlns:c16="http://schemas.microsoft.com/office/drawing/2014/chart" uri="{C3380CC4-5D6E-409C-BE32-E72D297353CC}">
              <c16:uniqueId val="{00000007-14BC-41F2-92C7-BBF648A1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3229216"/>
        <c:axId val="773224952"/>
      </c:barChart>
      <c:catAx>
        <c:axId val="77322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24952"/>
        <c:crosses val="autoZero"/>
        <c:auto val="1"/>
        <c:lblAlgn val="ctr"/>
        <c:lblOffset val="100"/>
        <c:noMultiLvlLbl val="0"/>
      </c:catAx>
      <c:valAx>
        <c:axId val="77322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2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 in Use</a:t>
            </a:r>
            <a:r>
              <a:rPr lang="en-US" baseline="0"/>
              <a:t> Case I (U = 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58834192488523E-2"/>
          <c:y val="0.11816807535575127"/>
          <c:w val="0.88335939122717577"/>
          <c:h val="0.59120897738561307"/>
        </c:manualLayout>
      </c:layout>
      <c:areaChart>
        <c:grouping val="stacked"/>
        <c:varyColors val="0"/>
        <c:ser>
          <c:idx val="0"/>
          <c:order val="0"/>
          <c:tx>
            <c:strRef>
              <c:f>Digital!$H$59</c:f>
              <c:strCache>
                <c:ptCount val="1"/>
                <c:pt idx="0">
                  <c:v>BB Precoding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Digital!$I$58:$L$58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Digital!$I$59:$L$59</c:f>
              <c:numCache>
                <c:formatCode>0.0</c:formatCode>
                <c:ptCount val="4"/>
                <c:pt idx="0">
                  <c:v>0.50215384615384617</c:v>
                </c:pt>
                <c:pt idx="1">
                  <c:v>1.0043076923076923</c:v>
                </c:pt>
                <c:pt idx="2">
                  <c:v>1.5064615384615385</c:v>
                </c:pt>
                <c:pt idx="3">
                  <c:v>2.0086153846153847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A-44C3-B89D-8A9C43230342}"/>
            </c:ext>
          </c:extLst>
        </c:ser>
        <c:ser>
          <c:idx val="1"/>
          <c:order val="1"/>
          <c:tx>
            <c:strRef>
              <c:f>Digital!$H$60</c:f>
              <c:strCache>
                <c:ptCount val="1"/>
                <c:pt idx="0">
                  <c:v>SERDES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Digital!$I$58:$L$58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Digital!$I$60:$L$60</c:f>
              <c:numCache>
                <c:formatCode>0.0</c:formatCode>
                <c:ptCount val="4"/>
                <c:pt idx="0">
                  <c:v>0.73584046634779432</c:v>
                </c:pt>
                <c:pt idx="1">
                  <c:v>0.65469379968112762</c:v>
                </c:pt>
                <c:pt idx="2">
                  <c:v>0.6100404663477943</c:v>
                </c:pt>
                <c:pt idx="3">
                  <c:v>0.57944046634779445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A-44C3-B89D-8A9C43230342}"/>
            </c:ext>
          </c:extLst>
        </c:ser>
        <c:ser>
          <c:idx val="2"/>
          <c:order val="2"/>
          <c:tx>
            <c:strRef>
              <c:f>Digital!$H$61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Digital!$I$58:$L$58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Digital!$I$61:$L$61</c:f>
              <c:numCache>
                <c:formatCode>0.0</c:formatCode>
                <c:ptCount val="4"/>
                <c:pt idx="0">
                  <c:v>0.37022800567496605</c:v>
                </c:pt>
                <c:pt idx="1">
                  <c:v>0.48964880528413923</c:v>
                </c:pt>
                <c:pt idx="2">
                  <c:v>0.58497563339591274</c:v>
                </c:pt>
                <c:pt idx="3">
                  <c:v>0.66733632277209665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A-44C3-B89D-8A9C43230342}"/>
            </c:ext>
          </c:extLst>
        </c:ser>
        <c:ser>
          <c:idx val="3"/>
          <c:order val="3"/>
          <c:tx>
            <c:strRef>
              <c:f>Digital!$H$62</c:f>
              <c:strCache>
                <c:ptCount val="1"/>
                <c:pt idx="0">
                  <c:v>Mixer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Digital!$I$58:$L$58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Digital!$I$62:$L$62</c:f>
              <c:numCache>
                <c:formatCode>0.0</c:formatCode>
                <c:ptCount val="4"/>
                <c:pt idx="0">
                  <c:v>0.64</c:v>
                </c:pt>
                <c:pt idx="1">
                  <c:v>1.28</c:v>
                </c:pt>
                <c:pt idx="2">
                  <c:v>1.92</c:v>
                </c:pt>
                <c:pt idx="3">
                  <c:v>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5A-44C3-B89D-8A9C43230342}"/>
            </c:ext>
          </c:extLst>
        </c:ser>
        <c:ser>
          <c:idx val="4"/>
          <c:order val="4"/>
          <c:tx>
            <c:strRef>
              <c:f>Digital!$H$63</c:f>
              <c:strCache>
                <c:ptCount val="1"/>
                <c:pt idx="0">
                  <c:v>VCO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Digital!$I$58:$L$58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Digital!$I$63:$L$63</c:f>
              <c:numCache>
                <c:formatCode>0.0</c:formatCode>
                <c:ptCount val="4"/>
                <c:pt idx="0">
                  <c:v>3.84</c:v>
                </c:pt>
                <c:pt idx="1">
                  <c:v>7.68</c:v>
                </c:pt>
                <c:pt idx="2">
                  <c:v>11.52</c:v>
                </c:pt>
                <c:pt idx="3">
                  <c:v>15.36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5A-44C3-B89D-8A9C43230342}"/>
            </c:ext>
          </c:extLst>
        </c:ser>
        <c:ser>
          <c:idx val="5"/>
          <c:order val="5"/>
          <c:tx>
            <c:strRef>
              <c:f>Digital!$H$64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Digital!$I$58:$L$58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Digital!$I$64:$L$64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5A-44C3-B89D-8A9C43230342}"/>
            </c:ext>
          </c:extLst>
        </c:ser>
        <c:ser>
          <c:idx val="6"/>
          <c:order val="6"/>
          <c:tx>
            <c:strRef>
              <c:f>Digital!$H$65</c:f>
              <c:strCache>
                <c:ptCount val="1"/>
                <c:pt idx="0">
                  <c:v>RF Amp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Digital!$I$58:$L$58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Digital!$I$65:$L$65</c:f>
              <c:numCache>
                <c:formatCode>0.0</c:formatCode>
                <c:ptCount val="4"/>
                <c:pt idx="0">
                  <c:v>2.56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5A-44C3-B89D-8A9C43230342}"/>
            </c:ext>
          </c:extLst>
        </c:ser>
        <c:ser>
          <c:idx val="7"/>
          <c:order val="7"/>
          <c:tx>
            <c:strRef>
              <c:f>Digital!$H$66</c:f>
              <c:strCache>
                <c:ptCount val="1"/>
                <c:pt idx="0">
                  <c:v>PA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Digital!$I$58:$L$58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Digital!$I$66:$L$66</c:f>
              <c:numCache>
                <c:formatCode>0.0</c:formatCode>
                <c:ptCount val="4"/>
                <c:pt idx="0">
                  <c:v>76.882637141774154</c:v>
                </c:pt>
                <c:pt idx="1">
                  <c:v>33.715396512563238</c:v>
                </c:pt>
                <c:pt idx="2">
                  <c:v>21.420434284077842</c:v>
                </c:pt>
                <c:pt idx="3">
                  <c:v>15.69741975386191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5A-44C3-B89D-8A9C43230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365280"/>
        <c:axId val="659377744"/>
      </c:areaChart>
      <c:catAx>
        <c:axId val="6593652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77744"/>
        <c:crosses val="autoZero"/>
        <c:auto val="1"/>
        <c:lblAlgn val="ctr"/>
        <c:lblOffset val="100"/>
        <c:noMultiLvlLbl val="0"/>
      </c:catAx>
      <c:valAx>
        <c:axId val="6593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6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079774119141177E-5"/>
          <c:y val="0.84252729659128611"/>
          <c:w val="0.9"/>
          <c:h val="0.15435924840241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 in Use Case II (U=2)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Digital!$H$69</c:f>
              <c:strCache>
                <c:ptCount val="1"/>
                <c:pt idx="0">
                  <c:v>BB Precoding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Digital!$I$68:$L$68</c:f>
              <c:numCache>
                <c:formatCode>0</c:formatCode>
                <c:ptCount val="4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</c:numCache>
            </c:numRef>
          </c:cat>
          <c:val>
            <c:numRef>
              <c:f>Digital!$I$69:$L$69</c:f>
              <c:numCache>
                <c:formatCode>0.0</c:formatCode>
                <c:ptCount val="4"/>
                <c:pt idx="0">
                  <c:v>1.4060307692307692</c:v>
                </c:pt>
                <c:pt idx="1">
                  <c:v>2.1090461538461538</c:v>
                </c:pt>
                <c:pt idx="2">
                  <c:v>2.8120615384615384</c:v>
                </c:pt>
                <c:pt idx="3">
                  <c:v>4.2180923076923076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D-45E7-921D-5AA7579F3854}"/>
            </c:ext>
          </c:extLst>
        </c:ser>
        <c:ser>
          <c:idx val="1"/>
          <c:order val="1"/>
          <c:tx>
            <c:strRef>
              <c:f>Digital!$H$70</c:f>
              <c:strCache>
                <c:ptCount val="1"/>
                <c:pt idx="0">
                  <c:v>SERDES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Digital!$I$68:$L$68</c:f>
              <c:numCache>
                <c:formatCode>0</c:formatCode>
                <c:ptCount val="4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</c:numCache>
            </c:numRef>
          </c:cat>
          <c:val>
            <c:numRef>
              <c:f>Digital!$I$70:$L$70</c:f>
              <c:numCache>
                <c:formatCode>0.0</c:formatCode>
                <c:ptCount val="4"/>
                <c:pt idx="0">
                  <c:v>0.13600000000000001</c:v>
                </c:pt>
                <c:pt idx="1">
                  <c:v>0.13600000000000001</c:v>
                </c:pt>
                <c:pt idx="2">
                  <c:v>0.13600000000000001</c:v>
                </c:pt>
                <c:pt idx="3">
                  <c:v>0.13600000000000001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D-45E7-921D-5AA7579F3854}"/>
            </c:ext>
          </c:extLst>
        </c:ser>
        <c:ser>
          <c:idx val="2"/>
          <c:order val="2"/>
          <c:tx>
            <c:strRef>
              <c:f>Digital!$H$71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Digital!$I$68:$L$68</c:f>
              <c:numCache>
                <c:formatCode>0</c:formatCode>
                <c:ptCount val="4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</c:numCache>
            </c:numRef>
          </c:cat>
          <c:val>
            <c:numRef>
              <c:f>Digital!$I$71:$L$71</c:f>
              <c:numCache>
                <c:formatCode>0.0</c:formatCode>
                <c:ptCount val="4"/>
                <c:pt idx="0">
                  <c:v>0.557056</c:v>
                </c:pt>
                <c:pt idx="1">
                  <c:v>0.8355840000000001</c:v>
                </c:pt>
                <c:pt idx="2">
                  <c:v>1.114112</c:v>
                </c:pt>
                <c:pt idx="3">
                  <c:v>1.6711680000000002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7D-45E7-921D-5AA7579F3854}"/>
            </c:ext>
          </c:extLst>
        </c:ser>
        <c:ser>
          <c:idx val="3"/>
          <c:order val="3"/>
          <c:tx>
            <c:strRef>
              <c:f>Digital!$H$72</c:f>
              <c:strCache>
                <c:ptCount val="1"/>
                <c:pt idx="0">
                  <c:v>Mixer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Digital!$I$68:$L$68</c:f>
              <c:numCache>
                <c:formatCode>0</c:formatCode>
                <c:ptCount val="4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</c:numCache>
            </c:numRef>
          </c:cat>
          <c:val>
            <c:numRef>
              <c:f>Digital!$I$72:$L$72</c:f>
              <c:numCache>
                <c:formatCode>0.0</c:formatCode>
                <c:ptCount val="4"/>
                <c:pt idx="0">
                  <c:v>2.56</c:v>
                </c:pt>
                <c:pt idx="1">
                  <c:v>3.84</c:v>
                </c:pt>
                <c:pt idx="2">
                  <c:v>5.12</c:v>
                </c:pt>
                <c:pt idx="3">
                  <c:v>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7D-45E7-921D-5AA7579F3854}"/>
            </c:ext>
          </c:extLst>
        </c:ser>
        <c:ser>
          <c:idx val="4"/>
          <c:order val="4"/>
          <c:tx>
            <c:strRef>
              <c:f>Digital!$H$73</c:f>
              <c:strCache>
                <c:ptCount val="1"/>
                <c:pt idx="0">
                  <c:v>VCO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Digital!$I$68:$L$68</c:f>
              <c:numCache>
                <c:formatCode>0</c:formatCode>
                <c:ptCount val="4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</c:numCache>
            </c:numRef>
          </c:cat>
          <c:val>
            <c:numRef>
              <c:f>Digital!$I$73:$L$73</c:f>
              <c:numCache>
                <c:formatCode>0.0</c:formatCode>
                <c:ptCount val="4"/>
                <c:pt idx="0">
                  <c:v>15.36</c:v>
                </c:pt>
                <c:pt idx="1">
                  <c:v>23.04</c:v>
                </c:pt>
                <c:pt idx="2">
                  <c:v>30.72</c:v>
                </c:pt>
                <c:pt idx="3">
                  <c:v>46.08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7D-45E7-921D-5AA7579F3854}"/>
            </c:ext>
          </c:extLst>
        </c:ser>
        <c:ser>
          <c:idx val="5"/>
          <c:order val="5"/>
          <c:tx>
            <c:strRef>
              <c:f>Digital!$H$74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Digital!$I$68:$L$68</c:f>
              <c:numCache>
                <c:formatCode>0</c:formatCode>
                <c:ptCount val="4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</c:numCache>
            </c:numRef>
          </c:cat>
          <c:val>
            <c:numRef>
              <c:f>Digital!$I$74:$L$74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7D-45E7-921D-5AA7579F3854}"/>
            </c:ext>
          </c:extLst>
        </c:ser>
        <c:ser>
          <c:idx val="6"/>
          <c:order val="6"/>
          <c:tx>
            <c:strRef>
              <c:f>Digital!$H$75</c:f>
              <c:strCache>
                <c:ptCount val="1"/>
                <c:pt idx="0">
                  <c:v>RF Amp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Digital!$I$68:$L$68</c:f>
              <c:numCache>
                <c:formatCode>0</c:formatCode>
                <c:ptCount val="4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</c:numCache>
            </c:numRef>
          </c:cat>
          <c:val>
            <c:numRef>
              <c:f>Digital!$I$75:$L$75</c:f>
              <c:numCache>
                <c:formatCode>0.0</c:formatCode>
                <c:ptCount val="4"/>
                <c:pt idx="0">
                  <c:v>10.24</c:v>
                </c:pt>
                <c:pt idx="1">
                  <c:v>15.36</c:v>
                </c:pt>
                <c:pt idx="2">
                  <c:v>20.48</c:v>
                </c:pt>
                <c:pt idx="3">
                  <c:v>30.72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7D-45E7-921D-5AA7579F3854}"/>
            </c:ext>
          </c:extLst>
        </c:ser>
        <c:ser>
          <c:idx val="7"/>
          <c:order val="7"/>
          <c:tx>
            <c:strRef>
              <c:f>Digital!$H$76</c:f>
              <c:strCache>
                <c:ptCount val="1"/>
                <c:pt idx="0">
                  <c:v>PA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Digital!$I$68:$L$68</c:f>
              <c:numCache>
                <c:formatCode>0</c:formatCode>
                <c:ptCount val="4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</c:numCache>
            </c:numRef>
          </c:cat>
          <c:val>
            <c:numRef>
              <c:f>Digital!$I$76:$L$76</c:f>
              <c:numCache>
                <c:formatCode>0.0</c:formatCode>
                <c:ptCount val="4"/>
                <c:pt idx="0">
                  <c:v>207.88744975424532</c:v>
                </c:pt>
                <c:pt idx="1">
                  <c:v>138.3019398327375</c:v>
                </c:pt>
                <c:pt idx="2">
                  <c:v>103.71182382001567</c:v>
                </c:pt>
                <c:pt idx="3">
                  <c:v>68.996692368180788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7D-45E7-921D-5AA7579F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822992"/>
        <c:axId val="555819056"/>
      </c:areaChart>
      <c:catAx>
        <c:axId val="5558229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19056"/>
        <c:crosses val="autoZero"/>
        <c:auto val="1"/>
        <c:lblAlgn val="ctr"/>
        <c:lblOffset val="100"/>
        <c:noMultiLvlLbl val="0"/>
      </c:catAx>
      <c:valAx>
        <c:axId val="5558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2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 in Use Case III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Digital!$H$79</c:f>
              <c:strCache>
                <c:ptCount val="1"/>
                <c:pt idx="0">
                  <c:v>BB Precoding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Digital!$I$78:$L$78</c:f>
              <c:numCache>
                <c:formatCode>0.0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</c:numCache>
            </c:numRef>
          </c:cat>
          <c:val>
            <c:numRef>
              <c:f>Digital!$I$79:$L$79</c:f>
              <c:numCache>
                <c:formatCode>0.0</c:formatCode>
                <c:ptCount val="4"/>
                <c:pt idx="0">
                  <c:v>0.65279999999999994</c:v>
                </c:pt>
                <c:pt idx="1">
                  <c:v>1.3055999999999999</c:v>
                </c:pt>
                <c:pt idx="2">
                  <c:v>1.9584000000000001</c:v>
                </c:pt>
                <c:pt idx="3">
                  <c:v>2.6111999999999997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6-46B4-A1D6-45F8A87FF77A}"/>
            </c:ext>
          </c:extLst>
        </c:ser>
        <c:ser>
          <c:idx val="1"/>
          <c:order val="1"/>
          <c:tx>
            <c:strRef>
              <c:f>Digital!$H$80</c:f>
              <c:strCache>
                <c:ptCount val="1"/>
                <c:pt idx="0">
                  <c:v>SERDES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Digital!$I$78:$L$78</c:f>
              <c:numCache>
                <c:formatCode>0.0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</c:numCache>
            </c:numRef>
          </c:cat>
          <c:val>
            <c:numRef>
              <c:f>Digital!$I$80:$L$80</c:f>
              <c:numCache>
                <c:formatCode>0.0</c:formatCode>
                <c:ptCount val="4"/>
                <c:pt idx="0">
                  <c:v>9.2564999999999981E-2</c:v>
                </c:pt>
                <c:pt idx="1">
                  <c:v>8.4064999999999987E-2</c:v>
                </c:pt>
                <c:pt idx="2">
                  <c:v>7.9049999999999995E-2</c:v>
                </c:pt>
                <c:pt idx="3">
                  <c:v>7.5508333333333316E-2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6-46B4-A1D6-45F8A87FF77A}"/>
            </c:ext>
          </c:extLst>
        </c:ser>
        <c:ser>
          <c:idx val="2"/>
          <c:order val="2"/>
          <c:tx>
            <c:strRef>
              <c:f>Digital!$H$81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Digital!$I$78:$L$78</c:f>
              <c:numCache>
                <c:formatCode>0.0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</c:numCache>
            </c:numRef>
          </c:cat>
          <c:val>
            <c:numRef>
              <c:f>Digital!$I$81:$L$81</c:f>
              <c:numCache>
                <c:formatCode>0.0</c:formatCode>
                <c:ptCount val="4"/>
                <c:pt idx="0">
                  <c:v>0.75832819648073024</c:v>
                </c:pt>
                <c:pt idx="1">
                  <c:v>1.0724380201929777</c:v>
                </c:pt>
                <c:pt idx="2">
                  <c:v>1.3111718377139165</c:v>
                </c:pt>
                <c:pt idx="3">
                  <c:v>1.5131562177373434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76-46B4-A1D6-45F8A87FF77A}"/>
            </c:ext>
          </c:extLst>
        </c:ser>
        <c:ser>
          <c:idx val="3"/>
          <c:order val="3"/>
          <c:tx>
            <c:strRef>
              <c:f>Digital!$H$82</c:f>
              <c:strCache>
                <c:ptCount val="1"/>
                <c:pt idx="0">
                  <c:v>Mixer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Digital!$I$78:$L$78</c:f>
              <c:numCache>
                <c:formatCode>0.0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</c:numCache>
            </c:numRef>
          </c:cat>
          <c:val>
            <c:numRef>
              <c:f>Digital!$I$82:$L$82</c:f>
              <c:numCache>
                <c:formatCode>0.0</c:formatCode>
                <c:ptCount val="4"/>
                <c:pt idx="0">
                  <c:v>1.28</c:v>
                </c:pt>
                <c:pt idx="1">
                  <c:v>2.56</c:v>
                </c:pt>
                <c:pt idx="2">
                  <c:v>3.84</c:v>
                </c:pt>
                <c:pt idx="3">
                  <c:v>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76-46B4-A1D6-45F8A87FF77A}"/>
            </c:ext>
          </c:extLst>
        </c:ser>
        <c:ser>
          <c:idx val="4"/>
          <c:order val="4"/>
          <c:tx>
            <c:strRef>
              <c:f>Digital!$H$83</c:f>
              <c:strCache>
                <c:ptCount val="1"/>
                <c:pt idx="0">
                  <c:v>VCO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Digital!$I$78:$L$78</c:f>
              <c:numCache>
                <c:formatCode>0.0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</c:numCache>
            </c:numRef>
          </c:cat>
          <c:val>
            <c:numRef>
              <c:f>Digital!$I$83:$L$83</c:f>
              <c:numCache>
                <c:formatCode>0.0</c:formatCode>
                <c:ptCount val="4"/>
                <c:pt idx="0">
                  <c:v>7.68</c:v>
                </c:pt>
                <c:pt idx="1">
                  <c:v>15.36</c:v>
                </c:pt>
                <c:pt idx="2">
                  <c:v>23.04</c:v>
                </c:pt>
                <c:pt idx="3">
                  <c:v>30.72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76-46B4-A1D6-45F8A87FF77A}"/>
            </c:ext>
          </c:extLst>
        </c:ser>
        <c:ser>
          <c:idx val="5"/>
          <c:order val="5"/>
          <c:tx>
            <c:strRef>
              <c:f>Digital!$H$84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Digital!$I$78:$L$78</c:f>
              <c:numCache>
                <c:formatCode>0.0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</c:numCache>
            </c:numRef>
          </c:cat>
          <c:val>
            <c:numRef>
              <c:f>Digital!$I$84:$L$84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76-46B4-A1D6-45F8A87FF77A}"/>
            </c:ext>
          </c:extLst>
        </c:ser>
        <c:ser>
          <c:idx val="6"/>
          <c:order val="6"/>
          <c:tx>
            <c:strRef>
              <c:f>Digital!$H$85</c:f>
              <c:strCache>
                <c:ptCount val="1"/>
                <c:pt idx="0">
                  <c:v>RF Amp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Digital!$I$78:$L$78</c:f>
              <c:numCache>
                <c:formatCode>0.0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</c:numCache>
            </c:numRef>
          </c:cat>
          <c:val>
            <c:numRef>
              <c:f>Digital!$I$85:$L$85</c:f>
              <c:numCache>
                <c:formatCode>0.0</c:formatCode>
                <c:ptCount val="4"/>
                <c:pt idx="0">
                  <c:v>5.12</c:v>
                </c:pt>
                <c:pt idx="1">
                  <c:v>10.24</c:v>
                </c:pt>
                <c:pt idx="2">
                  <c:v>15.36</c:v>
                </c:pt>
                <c:pt idx="3">
                  <c:v>20.48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76-46B4-A1D6-45F8A87FF77A}"/>
            </c:ext>
          </c:extLst>
        </c:ser>
        <c:ser>
          <c:idx val="7"/>
          <c:order val="7"/>
          <c:tx>
            <c:strRef>
              <c:f>Digital!$H$86</c:f>
              <c:strCache>
                <c:ptCount val="1"/>
                <c:pt idx="0">
                  <c:v>PA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Digital!$I$78:$L$78</c:f>
              <c:numCache>
                <c:formatCode>0.0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</c:numCache>
            </c:numRef>
          </c:cat>
          <c:val>
            <c:numRef>
              <c:f>Digital!$I$86:$L$86</c:f>
              <c:numCache>
                <c:formatCode>0.0</c:formatCode>
                <c:ptCount val="4"/>
                <c:pt idx="0">
                  <c:v>168.20088308681207</c:v>
                </c:pt>
                <c:pt idx="1">
                  <c:v>84.300135287943377</c:v>
                </c:pt>
                <c:pt idx="2">
                  <c:v>56.082617071244002</c:v>
                </c:pt>
                <c:pt idx="3">
                  <c:v>42.056029785935316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76-46B4-A1D6-45F8A87FF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689328"/>
        <c:axId val="664687032"/>
      </c:areaChart>
      <c:catAx>
        <c:axId val="664689328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87032"/>
        <c:crosses val="autoZero"/>
        <c:auto val="1"/>
        <c:lblAlgn val="ctr"/>
        <c:lblOffset val="100"/>
        <c:noMultiLvlLbl val="0"/>
      </c:catAx>
      <c:valAx>
        <c:axId val="66468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8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 in Use Case I (U = 16)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'DA new'!$I$61:$L$61</c:f>
              <c:numCache>
                <c:formatCode>0.0</c:formatCode>
                <c:ptCount val="4"/>
                <c:pt idx="0">
                  <c:v>703.01538461538462</c:v>
                </c:pt>
                <c:pt idx="1">
                  <c:v>1406.0307692307692</c:v>
                </c:pt>
                <c:pt idx="2">
                  <c:v>2109.0461538461536</c:v>
                </c:pt>
                <c:pt idx="3">
                  <c:v>2812.0615384615385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9-45CB-A8F9-BE9AFCA822D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'DA new'!$I$62:$L$62</c:f>
              <c:numCache>
                <c:formatCode>0.0</c:formatCode>
                <c:ptCount val="4"/>
                <c:pt idx="0">
                  <c:v>1335.2275993622552</c:v>
                </c:pt>
                <c:pt idx="1">
                  <c:v>1164.3209326955887</c:v>
                </c:pt>
                <c:pt idx="2">
                  <c:v>1088</c:v>
                </c:pt>
                <c:pt idx="3">
                  <c:v>1088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9-45CB-A8F9-BE9AFCA822D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'DA new'!$I$63:$L$63</c:f>
              <c:numCache>
                <c:formatCode>0.0</c:formatCode>
                <c:ptCount val="4"/>
                <c:pt idx="0">
                  <c:v>901.48847550797359</c:v>
                </c:pt>
                <c:pt idx="1">
                  <c:v>1618.3259953414929</c:v>
                </c:pt>
                <c:pt idx="2">
                  <c:v>2337.7919999999999</c:v>
                </c:pt>
                <c:pt idx="3">
                  <c:v>3117.056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89-45CB-A8F9-BE9AFCA822D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'DA new'!$I$64:$L$64</c:f>
              <c:numCache>
                <c:formatCode>0.0</c:formatCode>
                <c:ptCount val="4"/>
                <c:pt idx="0">
                  <c:v>640</c:v>
                </c:pt>
                <c:pt idx="1">
                  <c:v>1280</c:v>
                </c:pt>
                <c:pt idx="2">
                  <c:v>1920</c:v>
                </c:pt>
                <c:pt idx="3">
                  <c:v>2560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89-45CB-A8F9-BE9AFCA822D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'DA new'!$I$65:$L$65</c:f>
              <c:numCache>
                <c:formatCode>0.0</c:formatCode>
                <c:ptCount val="4"/>
                <c:pt idx="0">
                  <c:v>3840</c:v>
                </c:pt>
                <c:pt idx="1">
                  <c:v>7680</c:v>
                </c:pt>
                <c:pt idx="2">
                  <c:v>11520</c:v>
                </c:pt>
                <c:pt idx="3">
                  <c:v>15360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89-45CB-A8F9-BE9AFCA822D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'DA new'!$I$66:$L$66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89-45CB-A8F9-BE9AFCA822D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'DA new'!$I$67:$L$67</c:f>
              <c:numCache>
                <c:formatCode>0.0</c:formatCode>
                <c:ptCount val="4"/>
                <c:pt idx="0">
                  <c:v>2560</c:v>
                </c:pt>
                <c:pt idx="1">
                  <c:v>5120</c:v>
                </c:pt>
                <c:pt idx="2">
                  <c:v>7680</c:v>
                </c:pt>
                <c:pt idx="3">
                  <c:v>10240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89-45CB-A8F9-BE9AFCA822D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'DA new'!$I$68:$L$68</c:f>
              <c:numCache>
                <c:formatCode>0.0</c:formatCode>
                <c:ptCount val="4"/>
                <c:pt idx="0">
                  <c:v>12157.051923436649</c:v>
                </c:pt>
                <c:pt idx="1">
                  <c:v>5103.0317637076987</c:v>
                </c:pt>
                <c:pt idx="2">
                  <c:v>3212.3900465706638</c:v>
                </c:pt>
                <c:pt idx="3">
                  <c:v>2343.3020453379945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89-45CB-A8F9-BE9AFCA82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05768"/>
        <c:axId val="625410888"/>
      </c:areaChart>
      <c:catAx>
        <c:axId val="625405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10888"/>
        <c:crosses val="autoZero"/>
        <c:auto val="1"/>
        <c:lblAlgn val="ctr"/>
        <c:lblOffset val="100"/>
        <c:noMultiLvlLbl val="0"/>
      </c:catAx>
      <c:valAx>
        <c:axId val="6254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05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 in Use Case I (U = 32)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'DA new'!$N$61:$Q$61</c:f>
              <c:numCache>
                <c:formatCode>0.0</c:formatCode>
                <c:ptCount val="4"/>
                <c:pt idx="0">
                  <c:v>1104.7384615384615</c:v>
                </c:pt>
                <c:pt idx="1">
                  <c:v>2209.476923076923</c:v>
                </c:pt>
                <c:pt idx="2">
                  <c:v>3314.2153846153847</c:v>
                </c:pt>
                <c:pt idx="3">
                  <c:v>4418.9538461538459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C-40B8-93A6-7A862D9EBC2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'DA new'!$N$62:$Q$62</c:f>
              <c:numCache>
                <c:formatCode>0.0</c:formatCode>
                <c:ptCount val="4"/>
                <c:pt idx="0">
                  <c:v>2353.1218653911774</c:v>
                </c:pt>
                <c:pt idx="1">
                  <c:v>2176</c:v>
                </c:pt>
                <c:pt idx="2">
                  <c:v>2176</c:v>
                </c:pt>
                <c:pt idx="3">
                  <c:v>2176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C-40B8-93A6-7A862D9EBC2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'DA new'!$N$63:$Q$63</c:f>
              <c:numCache>
                <c:formatCode>0.0</c:formatCode>
                <c:ptCount val="4"/>
                <c:pt idx="0">
                  <c:v>814.522619257104</c:v>
                </c:pt>
                <c:pt idx="1">
                  <c:v>1558.528</c:v>
                </c:pt>
                <c:pt idx="2">
                  <c:v>2337.7919999999999</c:v>
                </c:pt>
                <c:pt idx="3">
                  <c:v>3117.056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C-40B8-93A6-7A862D9EBC2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'DA new'!$N$64:$Q$64</c:f>
              <c:numCache>
                <c:formatCode>0.0</c:formatCode>
                <c:ptCount val="4"/>
                <c:pt idx="0">
                  <c:v>640</c:v>
                </c:pt>
                <c:pt idx="1">
                  <c:v>1280</c:v>
                </c:pt>
                <c:pt idx="2">
                  <c:v>1920</c:v>
                </c:pt>
                <c:pt idx="3">
                  <c:v>2560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7C-40B8-93A6-7A862D9EBC2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'DA new'!$N$65:$Q$65</c:f>
              <c:numCache>
                <c:formatCode>0.0</c:formatCode>
                <c:ptCount val="4"/>
                <c:pt idx="0">
                  <c:v>3840</c:v>
                </c:pt>
                <c:pt idx="1">
                  <c:v>7680</c:v>
                </c:pt>
                <c:pt idx="2">
                  <c:v>11520</c:v>
                </c:pt>
                <c:pt idx="3">
                  <c:v>15360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7C-40B8-93A6-7A862D9EBC2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'DA new'!$N$66:$Q$66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7C-40B8-93A6-7A862D9EBC2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'DA new'!$N$67:$Q$67</c:f>
              <c:numCache>
                <c:formatCode>0.0</c:formatCode>
                <c:ptCount val="4"/>
                <c:pt idx="0">
                  <c:v>2560</c:v>
                </c:pt>
                <c:pt idx="1">
                  <c:v>5120</c:v>
                </c:pt>
                <c:pt idx="2">
                  <c:v>7680</c:v>
                </c:pt>
                <c:pt idx="3">
                  <c:v>10240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7C-40B8-93A6-7A862D9EBC2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'DA new'!$N$68:$Q$68</c:f>
              <c:numCache>
                <c:formatCode>0.0</c:formatCode>
                <c:ptCount val="4"/>
                <c:pt idx="0">
                  <c:v>5430.3556231264611</c:v>
                </c:pt>
                <c:pt idx="1">
                  <c:v>2258.5425224141732</c:v>
                </c:pt>
                <c:pt idx="2">
                  <c:v>1402.2591146588197</c:v>
                </c:pt>
                <c:pt idx="3">
                  <c:v>1018.1886970215143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7C-40B8-93A6-7A862D9EB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91528"/>
        <c:axId val="625487688"/>
      </c:areaChart>
      <c:catAx>
        <c:axId val="625491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87688"/>
        <c:crosses val="autoZero"/>
        <c:auto val="1"/>
        <c:lblAlgn val="ctr"/>
        <c:lblOffset val="100"/>
        <c:noMultiLvlLbl val="0"/>
      </c:catAx>
      <c:valAx>
        <c:axId val="62548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91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 in Use Case III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Digital!$H$79</c:f>
              <c:strCache>
                <c:ptCount val="1"/>
                <c:pt idx="0">
                  <c:v>BB Precoding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Digital!$I$78:$L$78</c:f>
              <c:numCache>
                <c:formatCode>0.0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</c:numCache>
            </c:numRef>
          </c:cat>
          <c:val>
            <c:numRef>
              <c:f>Digital!$I$79:$L$79</c:f>
              <c:numCache>
                <c:formatCode>0.0</c:formatCode>
                <c:ptCount val="4"/>
                <c:pt idx="0">
                  <c:v>0.65279999999999994</c:v>
                </c:pt>
                <c:pt idx="1">
                  <c:v>1.3055999999999999</c:v>
                </c:pt>
                <c:pt idx="2">
                  <c:v>1.9584000000000001</c:v>
                </c:pt>
                <c:pt idx="3">
                  <c:v>2.6111999999999997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C-4635-BF2F-9C0C324D05B1}"/>
            </c:ext>
          </c:extLst>
        </c:ser>
        <c:ser>
          <c:idx val="1"/>
          <c:order val="1"/>
          <c:tx>
            <c:strRef>
              <c:f>Digital!$H$80</c:f>
              <c:strCache>
                <c:ptCount val="1"/>
                <c:pt idx="0">
                  <c:v>SERDES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Digital!$I$78:$L$78</c:f>
              <c:numCache>
                <c:formatCode>0.0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</c:numCache>
            </c:numRef>
          </c:cat>
          <c:val>
            <c:numRef>
              <c:f>Digital!$I$80:$L$80</c:f>
              <c:numCache>
                <c:formatCode>0.0</c:formatCode>
                <c:ptCount val="4"/>
                <c:pt idx="0">
                  <c:v>9.2564999999999981E-2</c:v>
                </c:pt>
                <c:pt idx="1">
                  <c:v>8.4064999999999987E-2</c:v>
                </c:pt>
                <c:pt idx="2">
                  <c:v>7.9049999999999995E-2</c:v>
                </c:pt>
                <c:pt idx="3">
                  <c:v>7.5508333333333316E-2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C-4635-BF2F-9C0C324D05B1}"/>
            </c:ext>
          </c:extLst>
        </c:ser>
        <c:ser>
          <c:idx val="2"/>
          <c:order val="2"/>
          <c:tx>
            <c:strRef>
              <c:f>Digital!$H$81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Digital!$I$78:$L$78</c:f>
              <c:numCache>
                <c:formatCode>0.0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</c:numCache>
            </c:numRef>
          </c:cat>
          <c:val>
            <c:numRef>
              <c:f>Digital!$I$81:$L$81</c:f>
              <c:numCache>
                <c:formatCode>0.0</c:formatCode>
                <c:ptCount val="4"/>
                <c:pt idx="0">
                  <c:v>0.75832819648073024</c:v>
                </c:pt>
                <c:pt idx="1">
                  <c:v>1.0724380201929777</c:v>
                </c:pt>
                <c:pt idx="2">
                  <c:v>1.3111718377139165</c:v>
                </c:pt>
                <c:pt idx="3">
                  <c:v>1.5131562177373434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C-4635-BF2F-9C0C324D05B1}"/>
            </c:ext>
          </c:extLst>
        </c:ser>
        <c:ser>
          <c:idx val="3"/>
          <c:order val="3"/>
          <c:tx>
            <c:strRef>
              <c:f>Digital!$H$82</c:f>
              <c:strCache>
                <c:ptCount val="1"/>
                <c:pt idx="0">
                  <c:v>Mixer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Digital!$I$78:$L$78</c:f>
              <c:numCache>
                <c:formatCode>0.0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</c:numCache>
            </c:numRef>
          </c:cat>
          <c:val>
            <c:numRef>
              <c:f>Digital!$I$82:$L$82</c:f>
              <c:numCache>
                <c:formatCode>0.0</c:formatCode>
                <c:ptCount val="4"/>
                <c:pt idx="0">
                  <c:v>1.28</c:v>
                </c:pt>
                <c:pt idx="1">
                  <c:v>2.56</c:v>
                </c:pt>
                <c:pt idx="2">
                  <c:v>3.84</c:v>
                </c:pt>
                <c:pt idx="3">
                  <c:v>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3C-4635-BF2F-9C0C324D05B1}"/>
            </c:ext>
          </c:extLst>
        </c:ser>
        <c:ser>
          <c:idx val="4"/>
          <c:order val="4"/>
          <c:tx>
            <c:strRef>
              <c:f>Digital!$H$83</c:f>
              <c:strCache>
                <c:ptCount val="1"/>
                <c:pt idx="0">
                  <c:v>VCO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Digital!$I$78:$L$78</c:f>
              <c:numCache>
                <c:formatCode>0.0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</c:numCache>
            </c:numRef>
          </c:cat>
          <c:val>
            <c:numRef>
              <c:f>Digital!$I$83:$L$83</c:f>
              <c:numCache>
                <c:formatCode>0.0</c:formatCode>
                <c:ptCount val="4"/>
                <c:pt idx="0">
                  <c:v>7.68</c:v>
                </c:pt>
                <c:pt idx="1">
                  <c:v>15.36</c:v>
                </c:pt>
                <c:pt idx="2">
                  <c:v>23.04</c:v>
                </c:pt>
                <c:pt idx="3">
                  <c:v>30.72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3C-4635-BF2F-9C0C324D05B1}"/>
            </c:ext>
          </c:extLst>
        </c:ser>
        <c:ser>
          <c:idx val="5"/>
          <c:order val="5"/>
          <c:tx>
            <c:strRef>
              <c:f>Digital!$H$84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Digital!$I$78:$L$78</c:f>
              <c:numCache>
                <c:formatCode>0.0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</c:numCache>
            </c:numRef>
          </c:cat>
          <c:val>
            <c:numRef>
              <c:f>Digital!$I$84:$L$84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3C-4635-BF2F-9C0C324D05B1}"/>
            </c:ext>
          </c:extLst>
        </c:ser>
        <c:ser>
          <c:idx val="6"/>
          <c:order val="6"/>
          <c:tx>
            <c:strRef>
              <c:f>Digital!$H$85</c:f>
              <c:strCache>
                <c:ptCount val="1"/>
                <c:pt idx="0">
                  <c:v>RF Amp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Digital!$I$78:$L$78</c:f>
              <c:numCache>
                <c:formatCode>0.0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</c:numCache>
            </c:numRef>
          </c:cat>
          <c:val>
            <c:numRef>
              <c:f>Digital!$I$85:$L$85</c:f>
              <c:numCache>
                <c:formatCode>0.0</c:formatCode>
                <c:ptCount val="4"/>
                <c:pt idx="0">
                  <c:v>5.12</c:v>
                </c:pt>
                <c:pt idx="1">
                  <c:v>10.24</c:v>
                </c:pt>
                <c:pt idx="2">
                  <c:v>15.36</c:v>
                </c:pt>
                <c:pt idx="3">
                  <c:v>20.48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3C-4635-BF2F-9C0C324D05B1}"/>
            </c:ext>
          </c:extLst>
        </c:ser>
        <c:ser>
          <c:idx val="7"/>
          <c:order val="7"/>
          <c:tx>
            <c:strRef>
              <c:f>Digital!$H$86</c:f>
              <c:strCache>
                <c:ptCount val="1"/>
                <c:pt idx="0">
                  <c:v>PA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Digital!$I$78:$L$78</c:f>
              <c:numCache>
                <c:formatCode>0.0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</c:numCache>
            </c:numRef>
          </c:cat>
          <c:val>
            <c:numRef>
              <c:f>Digital!$I$86:$L$86</c:f>
              <c:numCache>
                <c:formatCode>0.0</c:formatCode>
                <c:ptCount val="4"/>
                <c:pt idx="0">
                  <c:v>168.20088308681207</c:v>
                </c:pt>
                <c:pt idx="1">
                  <c:v>84.300135287943377</c:v>
                </c:pt>
                <c:pt idx="2">
                  <c:v>56.082617071244002</c:v>
                </c:pt>
                <c:pt idx="3">
                  <c:v>42.056029785935316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3C-4635-BF2F-9C0C324D0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689328"/>
        <c:axId val="664687032"/>
      </c:areaChart>
      <c:catAx>
        <c:axId val="664689328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87032"/>
        <c:crosses val="autoZero"/>
        <c:auto val="1"/>
        <c:lblAlgn val="ctr"/>
        <c:lblOffset val="100"/>
        <c:noMultiLvlLbl val="0"/>
      </c:catAx>
      <c:valAx>
        <c:axId val="66468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8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 in Use Case II (U=4)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'DA new'!$H$71:$L$71</c:f>
              <c:numCache>
                <c:formatCode>0.0</c:formatCode>
                <c:ptCount val="5"/>
                <c:pt idx="0">
                  <c:v>1606.8923076923077</c:v>
                </c:pt>
                <c:pt idx="1">
                  <c:v>2410.3384615384616</c:v>
                </c:pt>
                <c:pt idx="3">
                  <c:v>3213.7846153846153</c:v>
                </c:pt>
                <c:pt idx="4">
                  <c:v>4820.6769230769232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6-4261-A61A-CF6ECD07A9D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'DA new'!$H$72:$L$72</c:f>
              <c:numCache>
                <c:formatCode>0.0</c:formatCode>
                <c:ptCount val="5"/>
                <c:pt idx="0">
                  <c:v>272</c:v>
                </c:pt>
                <c:pt idx="1">
                  <c:v>272</c:v>
                </c:pt>
                <c:pt idx="3">
                  <c:v>272</c:v>
                </c:pt>
                <c:pt idx="4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6-4261-A61A-CF6ECD07A9D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'DA new'!$H$73:$L$73</c:f>
              <c:numCache>
                <c:formatCode>0.0</c:formatCode>
                <c:ptCount val="5"/>
                <c:pt idx="0">
                  <c:v>3117.056</c:v>
                </c:pt>
                <c:pt idx="1">
                  <c:v>4675.5839999999998</c:v>
                </c:pt>
                <c:pt idx="3">
                  <c:v>6234.1120000000001</c:v>
                </c:pt>
                <c:pt idx="4">
                  <c:v>9351.1679999999997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6-4261-A61A-CF6ECD07A9D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'DA new'!$H$74:$L$74</c:f>
              <c:numCache>
                <c:formatCode>0.0</c:formatCode>
                <c:ptCount val="5"/>
                <c:pt idx="0">
                  <c:v>2560</c:v>
                </c:pt>
                <c:pt idx="1">
                  <c:v>3840</c:v>
                </c:pt>
                <c:pt idx="3">
                  <c:v>5120</c:v>
                </c:pt>
                <c:pt idx="4">
                  <c:v>7680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6-4261-A61A-CF6ECD07A9D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'DA new'!$H$75:$L$75</c:f>
              <c:numCache>
                <c:formatCode>0.0</c:formatCode>
                <c:ptCount val="5"/>
                <c:pt idx="0">
                  <c:v>15360</c:v>
                </c:pt>
                <c:pt idx="1">
                  <c:v>23040</c:v>
                </c:pt>
                <c:pt idx="3">
                  <c:v>30720</c:v>
                </c:pt>
                <c:pt idx="4">
                  <c:v>46080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6-4261-A61A-CF6ECD07A9D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'DA new'!$H$76:$L$76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36-4261-A61A-CF6ECD07A9D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'DA new'!$H$77:$L$77</c:f>
              <c:numCache>
                <c:formatCode>0.0</c:formatCode>
                <c:ptCount val="5"/>
                <c:pt idx="0">
                  <c:v>10240</c:v>
                </c:pt>
                <c:pt idx="1">
                  <c:v>15360</c:v>
                </c:pt>
                <c:pt idx="3">
                  <c:v>20480</c:v>
                </c:pt>
                <c:pt idx="4">
                  <c:v>30720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36-4261-A61A-CF6ECD07A9D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'DA new'!$H$78:$L$78</c:f>
              <c:numCache>
                <c:formatCode>0.0</c:formatCode>
                <c:ptCount val="5"/>
                <c:pt idx="0">
                  <c:v>128182.36246819769</c:v>
                </c:pt>
                <c:pt idx="1">
                  <c:v>85276.284848613548</c:v>
                </c:pt>
                <c:pt idx="3">
                  <c:v>63801.115440634137</c:v>
                </c:pt>
                <c:pt idx="4">
                  <c:v>42445.169438382334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36-4261-A61A-CF6ECD07A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563256"/>
        <c:axId val="700562936"/>
      </c:areaChart>
      <c:catAx>
        <c:axId val="700563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62936"/>
        <c:crosses val="autoZero"/>
        <c:auto val="1"/>
        <c:lblAlgn val="ctr"/>
        <c:lblOffset val="100"/>
        <c:noMultiLvlLbl val="0"/>
      </c:catAx>
      <c:valAx>
        <c:axId val="70056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6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 in Use Case II (U=8)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'DA new'!$M$71:$Q$71</c:f>
              <c:numCache>
                <c:formatCode>0.0</c:formatCode>
                <c:ptCount val="5"/>
                <c:pt idx="0">
                  <c:v>2008.6153846153845</c:v>
                </c:pt>
                <c:pt idx="1">
                  <c:v>3012.9230769230771</c:v>
                </c:pt>
                <c:pt idx="3">
                  <c:v>4017.2307692307691</c:v>
                </c:pt>
                <c:pt idx="4">
                  <c:v>6025.8461538461543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4-42AF-982E-7065236A612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'DA new'!$M$72:$Q$72</c:f>
              <c:numCache>
                <c:formatCode>0.0</c:formatCode>
                <c:ptCount val="5"/>
                <c:pt idx="0">
                  <c:v>544</c:v>
                </c:pt>
                <c:pt idx="1">
                  <c:v>544</c:v>
                </c:pt>
                <c:pt idx="3">
                  <c:v>544</c:v>
                </c:pt>
                <c:pt idx="4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4-42AF-982E-7065236A612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'DA new'!$M$73:$Q$73</c:f>
              <c:numCache>
                <c:formatCode>0.0</c:formatCode>
                <c:ptCount val="5"/>
                <c:pt idx="0">
                  <c:v>3117.056</c:v>
                </c:pt>
                <c:pt idx="1">
                  <c:v>4675.5839999999998</c:v>
                </c:pt>
                <c:pt idx="3">
                  <c:v>6234.1120000000001</c:v>
                </c:pt>
                <c:pt idx="4">
                  <c:v>9351.1679999999997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94-42AF-982E-7065236A612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'DA new'!$M$74:$Q$74</c:f>
              <c:numCache>
                <c:formatCode>0.0</c:formatCode>
                <c:ptCount val="5"/>
                <c:pt idx="0">
                  <c:v>2560</c:v>
                </c:pt>
                <c:pt idx="1">
                  <c:v>3840</c:v>
                </c:pt>
                <c:pt idx="3">
                  <c:v>5120</c:v>
                </c:pt>
                <c:pt idx="4">
                  <c:v>7680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94-42AF-982E-7065236A612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'DA new'!$M$75:$Q$75</c:f>
              <c:numCache>
                <c:formatCode>0.0</c:formatCode>
                <c:ptCount val="5"/>
                <c:pt idx="0">
                  <c:v>15360</c:v>
                </c:pt>
                <c:pt idx="1">
                  <c:v>23040</c:v>
                </c:pt>
                <c:pt idx="3">
                  <c:v>30720</c:v>
                </c:pt>
                <c:pt idx="4">
                  <c:v>46080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94-42AF-982E-7065236A612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'DA new'!$M$76:$Q$76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94-42AF-982E-7065236A612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'DA new'!$M$77:$Q$77</c:f>
              <c:numCache>
                <c:formatCode>0.0</c:formatCode>
                <c:ptCount val="5"/>
                <c:pt idx="0">
                  <c:v>10240</c:v>
                </c:pt>
                <c:pt idx="1">
                  <c:v>15360</c:v>
                </c:pt>
                <c:pt idx="3">
                  <c:v>20480</c:v>
                </c:pt>
                <c:pt idx="4">
                  <c:v>30720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94-42AF-982E-7065236A612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'DA new'!$M$78:$Q$78</c:f>
              <c:numCache>
                <c:formatCode>0.0</c:formatCode>
                <c:ptCount val="5"/>
                <c:pt idx="0">
                  <c:v>97236.265682637211</c:v>
                </c:pt>
                <c:pt idx="1">
                  <c:v>65437.736948674741</c:v>
                </c:pt>
                <c:pt idx="3">
                  <c:v>49411.526565959481</c:v>
                </c:pt>
                <c:pt idx="4">
                  <c:v>33176.324603502442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94-42AF-982E-7065236A6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40936"/>
        <c:axId val="716549256"/>
      </c:areaChart>
      <c:catAx>
        <c:axId val="716540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49256"/>
        <c:crosses val="autoZero"/>
        <c:auto val="1"/>
        <c:lblAlgn val="ctr"/>
        <c:lblOffset val="100"/>
        <c:noMultiLvlLbl val="0"/>
      </c:catAx>
      <c:valAx>
        <c:axId val="71654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Dense Urban (U = 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72368810957271E-2"/>
          <c:y val="0.1324051948694438"/>
          <c:w val="0.85883169217841604"/>
          <c:h val="0.62815385821906811"/>
        </c:manualLayout>
      </c:layout>
      <c:areaChart>
        <c:grouping val="stacked"/>
        <c:varyColors val="0"/>
        <c:ser>
          <c:idx val="0"/>
          <c:order val="0"/>
          <c:tx>
            <c:strRef>
              <c:f>'Sub Array'!$K$69</c:f>
              <c:strCache>
                <c:ptCount val="1"/>
                <c:pt idx="0">
                  <c:v>BB Precoding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 Array'!$L$68:$P$68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Array'!$L$69:$P$69</c:f>
              <c:numCache>
                <c:formatCode>0.0</c:formatCode>
                <c:ptCount val="5"/>
                <c:pt idx="0">
                  <c:v>0.10043076923076923</c:v>
                </c:pt>
                <c:pt idx="1">
                  <c:v>0.13809230769230768</c:v>
                </c:pt>
                <c:pt idx="2">
                  <c:v>0.17575384615384615</c:v>
                </c:pt>
                <c:pt idx="3">
                  <c:v>0.25107692307692309</c:v>
                </c:pt>
                <c:pt idx="4">
                  <c:v>0.32639999999999997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4629-86C0-CF8590CC16FC}"/>
            </c:ext>
          </c:extLst>
        </c:ser>
        <c:ser>
          <c:idx val="1"/>
          <c:order val="1"/>
          <c:tx>
            <c:strRef>
              <c:f>'Sub Array'!$K$70</c:f>
              <c:strCache>
                <c:ptCount val="1"/>
                <c:pt idx="0">
                  <c:v>SERDES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 Array'!$L$68:$P$68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Array'!$L$70:$P$70</c:f>
              <c:numCache>
                <c:formatCode>0.0</c:formatCode>
                <c:ptCount val="5"/>
                <c:pt idx="0">
                  <c:v>0.97521406438213254</c:v>
                </c:pt>
                <c:pt idx="1">
                  <c:v>0.99087474976808698</c:v>
                </c:pt>
                <c:pt idx="2">
                  <c:v>0.98496753006596827</c:v>
                </c:pt>
                <c:pt idx="3">
                  <c:v>0.96821488211858941</c:v>
                </c:pt>
                <c:pt idx="4">
                  <c:v>0.97137432908313726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4629-86C0-CF8590CC16FC}"/>
            </c:ext>
          </c:extLst>
        </c:ser>
        <c:ser>
          <c:idx val="2"/>
          <c:order val="2"/>
          <c:tx>
            <c:strRef>
              <c:f>'Sub Array'!$K$71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 Array'!$L$68:$P$68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Array'!$L$71:$P$71</c:f>
              <c:numCache>
                <c:formatCode>0.0</c:formatCode>
                <c:ptCount val="5"/>
                <c:pt idx="0">
                  <c:v>0.31351055531260102</c:v>
                </c:pt>
                <c:pt idx="1">
                  <c:v>0.50933985700523132</c:v>
                </c:pt>
                <c:pt idx="2">
                  <c:v>0.65897817106055079</c:v>
                </c:pt>
                <c:pt idx="3">
                  <c:v>0.9075719003616125</c:v>
                </c:pt>
                <c:pt idx="4">
                  <c:v>1.2297393612244254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6-4629-86C0-CF8590CC16FC}"/>
            </c:ext>
          </c:extLst>
        </c:ser>
        <c:ser>
          <c:idx val="3"/>
          <c:order val="3"/>
          <c:tx>
            <c:strRef>
              <c:f>'Sub Array'!$K$72</c:f>
              <c:strCache>
                <c:ptCount val="1"/>
                <c:pt idx="0">
                  <c:v>Mixer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 Array'!$L$68:$P$68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Array'!$L$72:$P$72</c:f>
              <c:numCache>
                <c:formatCode>0.0</c:formatCode>
                <c:ptCount val="5"/>
                <c:pt idx="0">
                  <c:v>0.16</c:v>
                </c:pt>
                <c:pt idx="1">
                  <c:v>0.24</c:v>
                </c:pt>
                <c:pt idx="2">
                  <c:v>0.32</c:v>
                </c:pt>
                <c:pt idx="3">
                  <c:v>0.48</c:v>
                </c:pt>
                <c:pt idx="4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C6-4629-86C0-CF8590CC16FC}"/>
            </c:ext>
          </c:extLst>
        </c:ser>
        <c:ser>
          <c:idx val="4"/>
          <c:order val="4"/>
          <c:tx>
            <c:strRef>
              <c:f>'Sub Array'!$K$73</c:f>
              <c:strCache>
                <c:ptCount val="1"/>
                <c:pt idx="0">
                  <c:v> VCO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'Sub Array'!$L$68:$P$68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Array'!$L$73:$P$73</c:f>
              <c:numCache>
                <c:formatCode>0.0</c:formatCode>
                <c:ptCount val="5"/>
                <c:pt idx="0">
                  <c:v>0.96</c:v>
                </c:pt>
                <c:pt idx="1">
                  <c:v>1.44</c:v>
                </c:pt>
                <c:pt idx="2">
                  <c:v>1.92</c:v>
                </c:pt>
                <c:pt idx="3">
                  <c:v>2.88</c:v>
                </c:pt>
                <c:pt idx="4">
                  <c:v>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C6-4629-86C0-CF8590CC16FC}"/>
            </c:ext>
          </c:extLst>
        </c:ser>
        <c:ser>
          <c:idx val="5"/>
          <c:order val="5"/>
          <c:tx>
            <c:strRef>
              <c:f>'Sub Array'!$K$74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'Sub Array'!$L$68:$P$68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Array'!$L$74:$P$74</c:f>
              <c:numCache>
                <c:formatCode>0.0</c:formatCode>
                <c:ptCount val="5"/>
                <c:pt idx="0">
                  <c:v>2.56</c:v>
                </c:pt>
                <c:pt idx="1">
                  <c:v>3.84</c:v>
                </c:pt>
                <c:pt idx="2">
                  <c:v>5.12</c:v>
                </c:pt>
                <c:pt idx="3">
                  <c:v>7.68</c:v>
                </c:pt>
                <c:pt idx="4">
                  <c:v>10.24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C6-4629-86C0-CF8590CC16FC}"/>
            </c:ext>
          </c:extLst>
        </c:ser>
        <c:ser>
          <c:idx val="6"/>
          <c:order val="6"/>
          <c:tx>
            <c:strRef>
              <c:f>'Sub Array'!$K$75</c:f>
              <c:strCache>
                <c:ptCount val="1"/>
                <c:pt idx="0">
                  <c:v>RF Amp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'Sub Array'!$L$68:$P$68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Array'!$L$75:$P$75</c:f>
              <c:numCache>
                <c:formatCode>0.0</c:formatCode>
                <c:ptCount val="5"/>
                <c:pt idx="0">
                  <c:v>12.8</c:v>
                </c:pt>
                <c:pt idx="1">
                  <c:v>19.2</c:v>
                </c:pt>
                <c:pt idx="2">
                  <c:v>25.6</c:v>
                </c:pt>
                <c:pt idx="3">
                  <c:v>38.4</c:v>
                </c:pt>
                <c:pt idx="4">
                  <c:v>51.2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C6-4629-86C0-CF8590CC16FC}"/>
            </c:ext>
          </c:extLst>
        </c:ser>
        <c:ser>
          <c:idx val="7"/>
          <c:order val="7"/>
          <c:tx>
            <c:strRef>
              <c:f>'Sub Array'!$K$76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'Sub Array'!$L$68:$P$68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Array'!$L$76:$P$76</c:f>
              <c:numCache>
                <c:formatCode>0.0</c:formatCode>
                <c:ptCount val="5"/>
                <c:pt idx="0">
                  <c:v>218.68967118780725</c:v>
                </c:pt>
                <c:pt idx="1">
                  <c:v>170.93392757666942</c:v>
                </c:pt>
                <c:pt idx="2">
                  <c:v>120.73363366651549</c:v>
                </c:pt>
                <c:pt idx="3">
                  <c:v>67.893511551074397</c:v>
                </c:pt>
                <c:pt idx="4">
                  <c:v>52.580931014971149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C6-4629-86C0-CF8590CC1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94808"/>
        <c:axId val="515599400"/>
        <c:extLst>
          <c:ext xmlns:c15="http://schemas.microsoft.com/office/drawing/2012/chart" uri="{02D57815-91ED-43cb-92C2-25804820EDAC}">
            <c15:filteredArea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'Sub Array'!#REF!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'Sub Array'!$L$68:$P$68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256</c:v>
                      </c:pt>
                      <c:pt idx="1">
                        <c:v>384</c:v>
                      </c:pt>
                      <c:pt idx="2">
                        <c:v>512</c:v>
                      </c:pt>
                      <c:pt idx="3">
                        <c:v>768</c:v>
                      </c:pt>
                      <c:pt idx="4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'Sub Array'!#REF!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5C6-4629-86C0-CF8590CC16FC}"/>
                  </c:ext>
                </c:extLst>
              </c15:ser>
            </c15:filteredAreaSeries>
          </c:ext>
        </c:extLst>
      </c:areaChart>
      <c:catAx>
        <c:axId val="5155948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99400"/>
        <c:crosses val="autoZero"/>
        <c:auto val="1"/>
        <c:lblAlgn val="ctr"/>
        <c:lblOffset val="100"/>
        <c:noMultiLvlLbl val="0"/>
      </c:catAx>
      <c:valAx>
        <c:axId val="51559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9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7257532700286145"/>
          <c:w val="0.95887999817274716"/>
          <c:h val="0.12449843109950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Backhauling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1689199227456"/>
          <c:y val="0.1424317617866005"/>
          <c:w val="0.807311840736889"/>
          <c:h val="0.57722566316927515"/>
        </c:manualLayout>
      </c:layout>
      <c:areaChart>
        <c:grouping val="stacked"/>
        <c:varyColors val="0"/>
        <c:ser>
          <c:idx val="0"/>
          <c:order val="0"/>
          <c:tx>
            <c:strRef>
              <c:f>'Sub Array'!$K$89</c:f>
              <c:strCache>
                <c:ptCount val="1"/>
                <c:pt idx="0">
                  <c:v>BB Precoding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 Array'!$L$88:$P$88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Array'!$L$89:$P$89</c:f>
              <c:numCache>
                <c:formatCode>0.0</c:formatCode>
                <c:ptCount val="5"/>
                <c:pt idx="0">
                  <c:v>7.5715384615384615E-2</c:v>
                </c:pt>
                <c:pt idx="1">
                  <c:v>0.11337692307692308</c:v>
                </c:pt>
                <c:pt idx="2">
                  <c:v>0.15103846153846154</c:v>
                </c:pt>
                <c:pt idx="3">
                  <c:v>0.22636153846153845</c:v>
                </c:pt>
                <c:pt idx="4">
                  <c:v>0.30168461538461538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7-4CB9-8912-49FD79E985A1}"/>
            </c:ext>
          </c:extLst>
        </c:ser>
        <c:ser>
          <c:idx val="1"/>
          <c:order val="1"/>
          <c:tx>
            <c:strRef>
              <c:f>'Sub Array'!$K$90</c:f>
              <c:strCache>
                <c:ptCount val="1"/>
                <c:pt idx="0">
                  <c:v>SERDES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 Array'!$L$88:$P$88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Array'!$L$90:$P$90</c:f>
              <c:numCache>
                <c:formatCode>0.0</c:formatCode>
                <c:ptCount val="5"/>
                <c:pt idx="0">
                  <c:v>0.15550013235050239</c:v>
                </c:pt>
                <c:pt idx="1">
                  <c:v>0.15558771802374671</c:v>
                </c:pt>
                <c:pt idx="2">
                  <c:v>0.15552931556098185</c:v>
                </c:pt>
                <c:pt idx="3">
                  <c:v>0.15536190123422616</c:v>
                </c:pt>
                <c:pt idx="4">
                  <c:v>0.15527516543812797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77-4CB9-8912-49FD79E985A1}"/>
            </c:ext>
          </c:extLst>
        </c:ser>
        <c:ser>
          <c:idx val="2"/>
          <c:order val="2"/>
          <c:tx>
            <c:strRef>
              <c:f>'Sub Array'!$K$91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 Array'!$L$88:$P$88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Array'!$L$91:$P$91</c:f>
              <c:numCache>
                <c:formatCode>0.0</c:formatCode>
                <c:ptCount val="5"/>
                <c:pt idx="0">
                  <c:v>1.2336737178273098</c:v>
                </c:pt>
                <c:pt idx="1">
                  <c:v>1.8571308647411484</c:v>
                </c:pt>
                <c:pt idx="2">
                  <c:v>2.4702850739698587</c:v>
                </c:pt>
                <c:pt idx="3">
                  <c:v>3.6802203254713719</c:v>
                </c:pt>
                <c:pt idx="4">
                  <c:v>4.8896375678908388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77-4CB9-8912-49FD79E985A1}"/>
            </c:ext>
          </c:extLst>
        </c:ser>
        <c:ser>
          <c:idx val="3"/>
          <c:order val="3"/>
          <c:tx>
            <c:strRef>
              <c:f>'Sub Array'!$K$92</c:f>
              <c:strCache>
                <c:ptCount val="1"/>
                <c:pt idx="0">
                  <c:v>Mixer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 Array'!$L$88:$P$88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Array'!$L$92:$P$92</c:f>
              <c:numCache>
                <c:formatCode>0.0</c:formatCode>
                <c:ptCount val="5"/>
                <c:pt idx="0">
                  <c:v>0.16</c:v>
                </c:pt>
                <c:pt idx="1">
                  <c:v>0.24</c:v>
                </c:pt>
                <c:pt idx="2">
                  <c:v>0.32</c:v>
                </c:pt>
                <c:pt idx="3">
                  <c:v>0.48</c:v>
                </c:pt>
                <c:pt idx="4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77-4CB9-8912-49FD79E985A1}"/>
            </c:ext>
          </c:extLst>
        </c:ser>
        <c:ser>
          <c:idx val="4"/>
          <c:order val="4"/>
          <c:tx>
            <c:strRef>
              <c:f>'Sub Array'!$K$93</c:f>
              <c:strCache>
                <c:ptCount val="1"/>
                <c:pt idx="0">
                  <c:v> VCO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'Sub Array'!$L$88:$P$88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Array'!$L$93:$P$93</c:f>
              <c:numCache>
                <c:formatCode>0.0</c:formatCode>
                <c:ptCount val="5"/>
                <c:pt idx="0">
                  <c:v>0.96</c:v>
                </c:pt>
                <c:pt idx="1">
                  <c:v>1.44</c:v>
                </c:pt>
                <c:pt idx="2">
                  <c:v>1.92</c:v>
                </c:pt>
                <c:pt idx="3">
                  <c:v>2.88</c:v>
                </c:pt>
                <c:pt idx="4">
                  <c:v>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77-4CB9-8912-49FD79E985A1}"/>
            </c:ext>
          </c:extLst>
        </c:ser>
        <c:ser>
          <c:idx val="5"/>
          <c:order val="5"/>
          <c:tx>
            <c:strRef>
              <c:f>'Sub Array'!$K$94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'Sub Array'!$L$88:$P$88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Array'!$L$94:$P$94</c:f>
              <c:numCache>
                <c:formatCode>0.0</c:formatCode>
                <c:ptCount val="5"/>
                <c:pt idx="0">
                  <c:v>2.56</c:v>
                </c:pt>
                <c:pt idx="1">
                  <c:v>3.84</c:v>
                </c:pt>
                <c:pt idx="2">
                  <c:v>5.12</c:v>
                </c:pt>
                <c:pt idx="3">
                  <c:v>7.68</c:v>
                </c:pt>
                <c:pt idx="4">
                  <c:v>10.24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77-4CB9-8912-49FD79E985A1}"/>
            </c:ext>
          </c:extLst>
        </c:ser>
        <c:ser>
          <c:idx val="6"/>
          <c:order val="6"/>
          <c:tx>
            <c:strRef>
              <c:f>'Sub Array'!$K$95</c:f>
              <c:strCache>
                <c:ptCount val="1"/>
                <c:pt idx="0">
                  <c:v>RF Amp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'Sub Array'!$L$88:$P$88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Array'!$L$95:$P$95</c:f>
              <c:numCache>
                <c:formatCode>0.0</c:formatCode>
                <c:ptCount val="5"/>
                <c:pt idx="0">
                  <c:v>12.8</c:v>
                </c:pt>
                <c:pt idx="1">
                  <c:v>19.2</c:v>
                </c:pt>
                <c:pt idx="2">
                  <c:v>25.6</c:v>
                </c:pt>
                <c:pt idx="3">
                  <c:v>38.4</c:v>
                </c:pt>
                <c:pt idx="4">
                  <c:v>51.2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77-4CB9-8912-49FD79E985A1}"/>
            </c:ext>
          </c:extLst>
        </c:ser>
        <c:ser>
          <c:idx val="7"/>
          <c:order val="7"/>
          <c:tx>
            <c:strRef>
              <c:f>'Sub Array'!$K$96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'Sub Array'!$L$88:$P$88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Array'!$L$96:$P$96</c:f>
              <c:numCache>
                <c:formatCode>0.0</c:formatCode>
                <c:ptCount val="5"/>
                <c:pt idx="0">
                  <c:v>109.35238803666338</c:v>
                </c:pt>
                <c:pt idx="1">
                  <c:v>73.422348464170625</c:v>
                </c:pt>
                <c:pt idx="2">
                  <c:v>54.806020850631405</c:v>
                </c:pt>
                <c:pt idx="3">
                  <c:v>36.043609146682343</c:v>
                </c:pt>
                <c:pt idx="4">
                  <c:v>26.842828186504683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77-4CB9-8912-49FD79E98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36304"/>
        <c:axId val="516336960"/>
        <c:extLst>
          <c:ext xmlns:c15="http://schemas.microsoft.com/office/drawing/2012/chart" uri="{02D57815-91ED-43cb-92C2-25804820EDAC}">
            <c15:filteredArea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'Sub Array'!#REF!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'Sub Array'!$L$88:$P$88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256</c:v>
                      </c:pt>
                      <c:pt idx="1">
                        <c:v>384</c:v>
                      </c:pt>
                      <c:pt idx="2">
                        <c:v>512</c:v>
                      </c:pt>
                      <c:pt idx="3">
                        <c:v>768</c:v>
                      </c:pt>
                      <c:pt idx="4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'Sub Array'!#REF!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677-4CB9-8912-49FD79E985A1}"/>
                  </c:ext>
                </c:extLst>
              </c15:ser>
            </c15:filteredAreaSeries>
          </c:ext>
        </c:extLst>
      </c:areaChart>
      <c:catAx>
        <c:axId val="5163363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36960"/>
        <c:crosses val="autoZero"/>
        <c:auto val="1"/>
        <c:lblAlgn val="ctr"/>
        <c:lblOffset val="100"/>
        <c:noMultiLvlLbl val="0"/>
      </c:catAx>
      <c:valAx>
        <c:axId val="5163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3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89486455702481E-2"/>
          <c:y val="0.83041545365142011"/>
          <c:w val="0.93336799881146937"/>
          <c:h val="0.1497334297232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Dense Urban</a:t>
            </a:r>
            <a:r>
              <a:rPr lang="en-US" baseline="0"/>
              <a:t> (</a:t>
            </a:r>
            <a:r>
              <a:rPr lang="en-US"/>
              <a:t>U = 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'SA new'!$J$71:$M$71</c:f>
              <c:numCache>
                <c:formatCode>0.0</c:formatCode>
                <c:ptCount val="4"/>
                <c:pt idx="0">
                  <c:v>251.07692307692307</c:v>
                </c:pt>
                <c:pt idx="1">
                  <c:v>401.72307692307692</c:v>
                </c:pt>
                <c:pt idx="2">
                  <c:v>552.36923076923074</c:v>
                </c:pt>
                <c:pt idx="3">
                  <c:v>703.01538461538462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E-4BD0-B5F4-B0D6FE29330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'SA new'!$J$72:$M$72</c:f>
              <c:numCache>
                <c:formatCode>0.0</c:formatCode>
                <c:ptCount val="4"/>
                <c:pt idx="0">
                  <c:v>1808.9609326955886</c:v>
                </c:pt>
                <c:pt idx="1">
                  <c:v>1702.4411973965935</c:v>
                </c:pt>
                <c:pt idx="2">
                  <c:v>1667.5759015018357</c:v>
                </c:pt>
                <c:pt idx="3">
                  <c:v>1652.2707954309317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BD0-B5F4-B0D6FE29330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'SA new'!$J$73:$M$73</c:f>
              <c:numCache>
                <c:formatCode>0.0</c:formatCode>
                <c:ptCount val="4"/>
                <c:pt idx="0">
                  <c:v>757.23655775782549</c:v>
                </c:pt>
                <c:pt idx="1">
                  <c:v>1306.5889292329803</c:v>
                </c:pt>
                <c:pt idx="2">
                  <c:v>1874.8775255475555</c:v>
                </c:pt>
                <c:pt idx="3">
                  <c:v>2453.1758310591058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BD0-B5F4-B0D6FE29330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'SA new'!$J$74:$M$74</c:f>
              <c:numCache>
                <c:formatCode>0.0</c:formatCode>
                <c:ptCount val="4"/>
                <c:pt idx="0">
                  <c:v>320</c:v>
                </c:pt>
                <c:pt idx="1">
                  <c:v>640</c:v>
                </c:pt>
                <c:pt idx="2">
                  <c:v>960</c:v>
                </c:pt>
                <c:pt idx="3">
                  <c:v>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4E-4BD0-B5F4-B0D6FE29330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'SA new'!$J$75:$M$75</c:f>
              <c:numCache>
                <c:formatCode>0.0</c:formatCode>
                <c:ptCount val="4"/>
                <c:pt idx="0">
                  <c:v>1920</c:v>
                </c:pt>
                <c:pt idx="1">
                  <c:v>3840</c:v>
                </c:pt>
                <c:pt idx="2">
                  <c:v>5760</c:v>
                </c:pt>
                <c:pt idx="3">
                  <c:v>7680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4E-4BD0-B5F4-B0D6FE29330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'SA new'!$J$76:$M$76</c:f>
              <c:numCache>
                <c:formatCode>0.0</c:formatCode>
                <c:ptCount val="4"/>
                <c:pt idx="0">
                  <c:v>2560</c:v>
                </c:pt>
                <c:pt idx="1">
                  <c:v>5120</c:v>
                </c:pt>
                <c:pt idx="2">
                  <c:v>7680</c:v>
                </c:pt>
                <c:pt idx="3">
                  <c:v>10240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4E-4BD0-B5F4-B0D6FE29330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'SA new'!$J$77:$M$77</c:f>
              <c:numCache>
                <c:formatCode>0.0</c:formatCode>
                <c:ptCount val="4"/>
                <c:pt idx="0">
                  <c:v>12800</c:v>
                </c:pt>
                <c:pt idx="1">
                  <c:v>25600</c:v>
                </c:pt>
                <c:pt idx="2">
                  <c:v>38400</c:v>
                </c:pt>
                <c:pt idx="3">
                  <c:v>51200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4E-4BD0-B5F4-B0D6FE29330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'SA new'!$J$78:$M$78</c:f>
              <c:numCache>
                <c:formatCode>0.0</c:formatCode>
                <c:ptCount val="4"/>
                <c:pt idx="0">
                  <c:v>134842.95821313295</c:v>
                </c:pt>
                <c:pt idx="1">
                  <c:v>39248.970672170573</c:v>
                </c:pt>
                <c:pt idx="2">
                  <c:v>21919.380294507228</c:v>
                </c:pt>
                <c:pt idx="3">
                  <c:v>15209.96699304048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4E-4BD0-B5F4-B0D6FE29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58600"/>
        <c:axId val="716956040"/>
      </c:areaChart>
      <c:catAx>
        <c:axId val="716958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56040"/>
        <c:crosses val="autoZero"/>
        <c:auto val="1"/>
        <c:lblAlgn val="ctr"/>
        <c:lblOffset val="100"/>
        <c:noMultiLvlLbl val="0"/>
      </c:catAx>
      <c:valAx>
        <c:axId val="71695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5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 new'!$A$81</c:f>
              <c:strCache>
                <c:ptCount val="1"/>
                <c:pt idx="0">
                  <c:v>BB Precoding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 new'!$B$80:$I$80</c:f>
              <c:numCache>
                <c:formatCode>0</c:formatCode>
                <c:ptCount val="8"/>
                <c:pt idx="0">
                  <c:v>768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768</c:v>
                </c:pt>
                <c:pt idx="5">
                  <c:v>1024</c:v>
                </c:pt>
                <c:pt idx="6">
                  <c:v>1536</c:v>
                </c:pt>
                <c:pt idx="7">
                  <c:v>2048</c:v>
                </c:pt>
              </c:numCache>
            </c:numRef>
          </c:cat>
          <c:val>
            <c:numRef>
              <c:f>'SA new'!$B$81:$I$81</c:f>
              <c:numCache>
                <c:formatCode>0.0</c:formatCode>
                <c:ptCount val="8"/>
                <c:pt idx="0">
                  <c:v>453.50769230769231</c:v>
                </c:pt>
                <c:pt idx="4">
                  <c:v>0</c:v>
                </c:pt>
                <c:pt idx="5">
                  <c:v>604.15384615384619</c:v>
                </c:pt>
                <c:pt idx="6">
                  <c:v>905.44615384615383</c:v>
                </c:pt>
                <c:pt idx="7">
                  <c:v>1206.7384615384615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A-4043-AB73-FE82E820724D}"/>
            </c:ext>
          </c:extLst>
        </c:ser>
        <c:ser>
          <c:idx val="1"/>
          <c:order val="1"/>
          <c:tx>
            <c:strRef>
              <c:f>'SA new'!$A$82</c:f>
              <c:strCache>
                <c:ptCount val="1"/>
                <c:pt idx="0">
                  <c:v>SERDES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 new'!$B$80:$I$80</c:f>
              <c:numCache>
                <c:formatCode>0</c:formatCode>
                <c:ptCount val="8"/>
                <c:pt idx="0">
                  <c:v>768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768</c:v>
                </c:pt>
                <c:pt idx="5">
                  <c:v>1024</c:v>
                </c:pt>
                <c:pt idx="6">
                  <c:v>1536</c:v>
                </c:pt>
                <c:pt idx="7">
                  <c:v>2048</c:v>
                </c:pt>
              </c:numCache>
            </c:numRef>
          </c:cat>
          <c:val>
            <c:numRef>
              <c:f>'SA new'!$B$82:$I$82</c:f>
              <c:numCache>
                <c:formatCode>0.0</c:formatCode>
                <c:ptCount val="8"/>
                <c:pt idx="0">
                  <c:v>171.77373629320115</c:v>
                </c:pt>
                <c:pt idx="4">
                  <c:v>0</c:v>
                </c:pt>
                <c:pt idx="5">
                  <c:v>172.16693136767148</c:v>
                </c:pt>
                <c:pt idx="6">
                  <c:v>172.05876938082673</c:v>
                </c:pt>
                <c:pt idx="7">
                  <c:v>172.05529778863041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A-4043-AB73-FE82E820724D}"/>
            </c:ext>
          </c:extLst>
        </c:ser>
        <c:ser>
          <c:idx val="2"/>
          <c:order val="2"/>
          <c:tx>
            <c:strRef>
              <c:f>'SA new'!$A$83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'SA new'!$B$80:$I$80</c:f>
              <c:numCache>
                <c:formatCode>0</c:formatCode>
                <c:ptCount val="8"/>
                <c:pt idx="0">
                  <c:v>768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768</c:v>
                </c:pt>
                <c:pt idx="5">
                  <c:v>1024</c:v>
                </c:pt>
                <c:pt idx="6">
                  <c:v>1536</c:v>
                </c:pt>
                <c:pt idx="7">
                  <c:v>2048</c:v>
                </c:pt>
              </c:numCache>
            </c:numRef>
          </c:cat>
          <c:val>
            <c:numRef>
              <c:f>'SA new'!$B$83:$I$83</c:f>
              <c:numCache>
                <c:formatCode>0.0</c:formatCode>
                <c:ptCount val="8"/>
                <c:pt idx="0">
                  <c:v>1393.1760807720118</c:v>
                </c:pt>
                <c:pt idx="4">
                  <c:v>0</c:v>
                </c:pt>
                <c:pt idx="5">
                  <c:v>1862.2164662438609</c:v>
                </c:pt>
                <c:pt idx="6">
                  <c:v>2791.4010841319164</c:v>
                </c:pt>
                <c:pt idx="7">
                  <c:v>3721.7858847468433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5A-4043-AB73-FE82E820724D}"/>
            </c:ext>
          </c:extLst>
        </c:ser>
        <c:ser>
          <c:idx val="3"/>
          <c:order val="3"/>
          <c:tx>
            <c:strRef>
              <c:f>'SA new'!$A$84</c:f>
              <c:strCache>
                <c:ptCount val="1"/>
                <c:pt idx="0">
                  <c:v>Mixer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'SA new'!$B$80:$I$80</c:f>
              <c:numCache>
                <c:formatCode>0</c:formatCode>
                <c:ptCount val="8"/>
                <c:pt idx="0">
                  <c:v>768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768</c:v>
                </c:pt>
                <c:pt idx="5">
                  <c:v>1024</c:v>
                </c:pt>
                <c:pt idx="6">
                  <c:v>1536</c:v>
                </c:pt>
                <c:pt idx="7">
                  <c:v>2048</c:v>
                </c:pt>
              </c:numCache>
            </c:numRef>
          </c:cat>
          <c:val>
            <c:numRef>
              <c:f>'SA new'!$B$84:$I$84</c:f>
              <c:numCache>
                <c:formatCode>0.0</c:formatCode>
                <c:ptCount val="8"/>
                <c:pt idx="0">
                  <c:v>960</c:v>
                </c:pt>
                <c:pt idx="4">
                  <c:v>0</c:v>
                </c:pt>
                <c:pt idx="5">
                  <c:v>1280</c:v>
                </c:pt>
                <c:pt idx="6">
                  <c:v>1920</c:v>
                </c:pt>
                <c:pt idx="7">
                  <c:v>2560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5A-4043-AB73-FE82E820724D}"/>
            </c:ext>
          </c:extLst>
        </c:ser>
        <c:ser>
          <c:idx val="4"/>
          <c:order val="4"/>
          <c:tx>
            <c:strRef>
              <c:f>'SA new'!$A$85</c:f>
              <c:strCache>
                <c:ptCount val="1"/>
                <c:pt idx="0">
                  <c:v> VCO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'SA new'!$B$80:$I$80</c:f>
              <c:numCache>
                <c:formatCode>0</c:formatCode>
                <c:ptCount val="8"/>
                <c:pt idx="0">
                  <c:v>768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768</c:v>
                </c:pt>
                <c:pt idx="5">
                  <c:v>1024</c:v>
                </c:pt>
                <c:pt idx="6">
                  <c:v>1536</c:v>
                </c:pt>
                <c:pt idx="7">
                  <c:v>2048</c:v>
                </c:pt>
              </c:numCache>
            </c:numRef>
          </c:cat>
          <c:val>
            <c:numRef>
              <c:f>'SA new'!$B$85:$I$85</c:f>
              <c:numCache>
                <c:formatCode>0.0</c:formatCode>
                <c:ptCount val="8"/>
                <c:pt idx="0">
                  <c:v>5760</c:v>
                </c:pt>
                <c:pt idx="4">
                  <c:v>0</c:v>
                </c:pt>
                <c:pt idx="5">
                  <c:v>7680</c:v>
                </c:pt>
                <c:pt idx="6">
                  <c:v>11520</c:v>
                </c:pt>
                <c:pt idx="7">
                  <c:v>15360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5A-4043-AB73-FE82E820724D}"/>
            </c:ext>
          </c:extLst>
        </c:ser>
        <c:ser>
          <c:idx val="5"/>
          <c:order val="5"/>
          <c:tx>
            <c:strRef>
              <c:f>'SA new'!$A$86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'SA new'!$B$80:$I$80</c:f>
              <c:numCache>
                <c:formatCode>0</c:formatCode>
                <c:ptCount val="8"/>
                <c:pt idx="0">
                  <c:v>768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768</c:v>
                </c:pt>
                <c:pt idx="5">
                  <c:v>1024</c:v>
                </c:pt>
                <c:pt idx="6">
                  <c:v>1536</c:v>
                </c:pt>
                <c:pt idx="7">
                  <c:v>2048</c:v>
                </c:pt>
              </c:numCache>
            </c:numRef>
          </c:cat>
          <c:val>
            <c:numRef>
              <c:f>'SA new'!$B$86:$I$86</c:f>
              <c:numCache>
                <c:formatCode>0.0</c:formatCode>
                <c:ptCount val="8"/>
                <c:pt idx="0">
                  <c:v>7680</c:v>
                </c:pt>
                <c:pt idx="4">
                  <c:v>0</c:v>
                </c:pt>
                <c:pt idx="5">
                  <c:v>10240</c:v>
                </c:pt>
                <c:pt idx="6">
                  <c:v>15360</c:v>
                </c:pt>
                <c:pt idx="7">
                  <c:v>20480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5A-4043-AB73-FE82E820724D}"/>
            </c:ext>
          </c:extLst>
        </c:ser>
        <c:ser>
          <c:idx val="6"/>
          <c:order val="6"/>
          <c:tx>
            <c:strRef>
              <c:f>'SA new'!$A$87</c:f>
              <c:strCache>
                <c:ptCount val="1"/>
                <c:pt idx="0">
                  <c:v>RF Amp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'SA new'!$B$80:$I$80</c:f>
              <c:numCache>
                <c:formatCode>0</c:formatCode>
                <c:ptCount val="8"/>
                <c:pt idx="0">
                  <c:v>768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768</c:v>
                </c:pt>
                <c:pt idx="5">
                  <c:v>1024</c:v>
                </c:pt>
                <c:pt idx="6">
                  <c:v>1536</c:v>
                </c:pt>
                <c:pt idx="7">
                  <c:v>2048</c:v>
                </c:pt>
              </c:numCache>
            </c:numRef>
          </c:cat>
          <c:val>
            <c:numRef>
              <c:f>'SA new'!$B$87:$I$87</c:f>
              <c:numCache>
                <c:formatCode>0.0</c:formatCode>
                <c:ptCount val="8"/>
                <c:pt idx="0">
                  <c:v>38400</c:v>
                </c:pt>
                <c:pt idx="4">
                  <c:v>0</c:v>
                </c:pt>
                <c:pt idx="5">
                  <c:v>51200</c:v>
                </c:pt>
                <c:pt idx="6">
                  <c:v>76800</c:v>
                </c:pt>
                <c:pt idx="7">
                  <c:v>102400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5A-4043-AB73-FE82E820724D}"/>
            </c:ext>
          </c:extLst>
        </c:ser>
        <c:ser>
          <c:idx val="7"/>
          <c:order val="7"/>
          <c:tx>
            <c:strRef>
              <c:f>'SA new'!$A$88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'SA new'!$B$80:$I$80</c:f>
              <c:numCache>
                <c:formatCode>0</c:formatCode>
                <c:ptCount val="8"/>
                <c:pt idx="0">
                  <c:v>768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768</c:v>
                </c:pt>
                <c:pt idx="5">
                  <c:v>1024</c:v>
                </c:pt>
                <c:pt idx="6">
                  <c:v>1536</c:v>
                </c:pt>
                <c:pt idx="7">
                  <c:v>2048</c:v>
                </c:pt>
              </c:numCache>
            </c:numRef>
          </c:cat>
          <c:val>
            <c:numRef>
              <c:f>'SA new'!$B$88:$I$88</c:f>
              <c:numCache>
                <c:formatCode>0.0</c:formatCode>
                <c:ptCount val="8"/>
                <c:pt idx="0">
                  <c:v>168588.62616723997</c:v>
                </c:pt>
                <c:pt idx="4">
                  <c:v>0</c:v>
                </c:pt>
                <c:pt idx="5">
                  <c:v>128477.8533310744</c:v>
                </c:pt>
                <c:pt idx="6">
                  <c:v>85276.284848613548</c:v>
                </c:pt>
                <c:pt idx="7">
                  <c:v>63948.192201360413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5A-4043-AB73-FE82E820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7486968"/>
        <c:axId val="627484728"/>
      </c:barChart>
      <c:catAx>
        <c:axId val="6274869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84728"/>
        <c:crosses val="autoZero"/>
        <c:auto val="1"/>
        <c:lblAlgn val="ctr"/>
        <c:lblOffset val="100"/>
        <c:noMultiLvlLbl val="0"/>
      </c:catAx>
      <c:valAx>
        <c:axId val="62748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8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Case I (U=8)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'Full Conn Hybrd'!$J$70</c:f>
              <c:strCache>
                <c:ptCount val="1"/>
                <c:pt idx="0">
                  <c:v>BB Precoding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'Full Conn Hybrd'!$K$69:$N$69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'Full Conn Hybrd'!$K$70:$N$70</c:f>
              <c:numCache>
                <c:formatCode>General</c:formatCode>
                <c:ptCount val="4"/>
                <c:pt idx="0">
                  <c:v>6.2769230769230772E-2</c:v>
                </c:pt>
                <c:pt idx="1">
                  <c:v>6.2769230769230772E-2</c:v>
                </c:pt>
                <c:pt idx="2">
                  <c:v>6.2769230769230772E-2</c:v>
                </c:pt>
                <c:pt idx="3">
                  <c:v>6.2769230769230772E-2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2-4A02-8C35-5B67C8392D85}"/>
            </c:ext>
          </c:extLst>
        </c:ser>
        <c:ser>
          <c:idx val="1"/>
          <c:order val="1"/>
          <c:tx>
            <c:strRef>
              <c:f>'Full Conn Hybrd'!$J$71</c:f>
              <c:strCache>
                <c:ptCount val="1"/>
                <c:pt idx="0">
                  <c:v>SERDES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'Full Conn Hybrd'!$K$69:$N$69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'Full Conn Hybrd'!$K$71:$N$71</c:f>
              <c:numCache>
                <c:formatCode>General</c:formatCode>
                <c:ptCount val="4"/>
                <c:pt idx="0">
                  <c:v>0.96675373038484058</c:v>
                </c:pt>
                <c:pt idx="1">
                  <c:v>0.96018719606867631</c:v>
                </c:pt>
                <c:pt idx="2">
                  <c:v>0.9568078814546308</c:v>
                </c:pt>
                <c:pt idx="3">
                  <c:v>0.95566066175251208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2-4A02-8C35-5B67C8392D85}"/>
            </c:ext>
          </c:extLst>
        </c:ser>
        <c:ser>
          <c:idx val="2"/>
          <c:order val="2"/>
          <c:tx>
            <c:strRef>
              <c:f>'Full Conn Hybrd'!$J$72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'Full Conn Hybrd'!$K$69:$N$69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'Full Conn Hybrd'!$K$72:$N$72</c:f>
              <c:numCache>
                <c:formatCode>General</c:formatCode>
                <c:ptCount val="4"/>
                <c:pt idx="0">
                  <c:v>0.24748895497851919</c:v>
                </c:pt>
                <c:pt idx="1">
                  <c:v>0.24580792219358114</c:v>
                </c:pt>
                <c:pt idx="2">
                  <c:v>0.24494281765238549</c:v>
                </c:pt>
                <c:pt idx="3">
                  <c:v>0.24464912940864308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32-4A02-8C35-5B67C8392D85}"/>
            </c:ext>
          </c:extLst>
        </c:ser>
        <c:ser>
          <c:idx val="3"/>
          <c:order val="3"/>
          <c:tx>
            <c:strRef>
              <c:f>'Full Conn Hybrd'!$J$73</c:f>
              <c:strCache>
                <c:ptCount val="1"/>
                <c:pt idx="0">
                  <c:v>Mixer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'Full Conn Hybrd'!$K$69:$N$69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'Full Conn Hybrd'!$K$73:$N$73</c:f>
              <c:numCache>
                <c:formatCode>General</c:formatCode>
                <c:ptCount val="4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32-4A02-8C35-5B67C8392D85}"/>
            </c:ext>
          </c:extLst>
        </c:ser>
        <c:ser>
          <c:idx val="4"/>
          <c:order val="4"/>
          <c:tx>
            <c:strRef>
              <c:f>'Full Conn Hybrd'!$J$74</c:f>
              <c:strCache>
                <c:ptCount val="1"/>
                <c:pt idx="0">
                  <c:v>VCO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'Full Conn Hybrd'!$K$69:$N$69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'Full Conn Hybrd'!$K$74:$N$74</c:f>
              <c:numCache>
                <c:formatCode>General</c:formatCode>
                <c:ptCount val="4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32-4A02-8C35-5B67C8392D85}"/>
            </c:ext>
          </c:extLst>
        </c:ser>
        <c:ser>
          <c:idx val="5"/>
          <c:order val="5"/>
          <c:tx>
            <c:strRef>
              <c:f>'Full Conn Hybrd'!$J$75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'Full Conn Hybrd'!$K$69:$N$69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'Full Conn Hybrd'!$K$75:$N$75</c:f>
              <c:numCache>
                <c:formatCode>General</c:formatCode>
                <c:ptCount val="4"/>
                <c:pt idx="0">
                  <c:v>5.12</c:v>
                </c:pt>
                <c:pt idx="1">
                  <c:v>10.24</c:v>
                </c:pt>
                <c:pt idx="2">
                  <c:v>15.36</c:v>
                </c:pt>
                <c:pt idx="3">
                  <c:v>20.48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32-4A02-8C35-5B67C8392D85}"/>
            </c:ext>
          </c:extLst>
        </c:ser>
        <c:ser>
          <c:idx val="6"/>
          <c:order val="6"/>
          <c:tx>
            <c:strRef>
              <c:f>'Full Conn Hybrd'!$J$76</c:f>
              <c:strCache>
                <c:ptCount val="1"/>
                <c:pt idx="0">
                  <c:v>RF Amp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'Full Conn Hybrd'!$K$69:$N$69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'Full Conn Hybrd'!$K$76:$N$76</c:f>
              <c:numCache>
                <c:formatCode>General</c:formatCode>
                <c:ptCount val="4"/>
                <c:pt idx="0">
                  <c:v>16.213333333333331</c:v>
                </c:pt>
                <c:pt idx="1">
                  <c:v>32.426666666666662</c:v>
                </c:pt>
                <c:pt idx="2">
                  <c:v>48.64</c:v>
                </c:pt>
                <c:pt idx="3">
                  <c:v>64.853333333333325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32-4A02-8C35-5B67C8392D85}"/>
            </c:ext>
          </c:extLst>
        </c:ser>
        <c:ser>
          <c:idx val="7"/>
          <c:order val="7"/>
          <c:tx>
            <c:strRef>
              <c:f>'Full Conn Hybrd'!$J$77</c:f>
              <c:strCache>
                <c:ptCount val="1"/>
                <c:pt idx="0">
                  <c:v> PA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'Full Conn Hybrd'!$K$69:$N$69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'Full Conn Hybrd'!$K$77:$N$77</c:f>
              <c:numCache>
                <c:formatCode>General</c:formatCode>
                <c:ptCount val="4"/>
                <c:pt idx="0">
                  <c:v>100.19089856296283</c:v>
                </c:pt>
                <c:pt idx="1">
                  <c:v>46.862804095038825</c:v>
                </c:pt>
                <c:pt idx="2">
                  <c:v>30.187578093882777</c:v>
                </c:pt>
                <c:pt idx="3">
                  <c:v>22.378360801066528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32-4A02-8C35-5B67C8392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512672"/>
        <c:axId val="591517592"/>
      </c:areaChart>
      <c:catAx>
        <c:axId val="5915126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17592"/>
        <c:crosses val="autoZero"/>
        <c:auto val="1"/>
        <c:lblAlgn val="ctr"/>
        <c:lblOffset val="100"/>
        <c:noMultiLvlLbl val="0"/>
      </c:catAx>
      <c:valAx>
        <c:axId val="5915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 Case II(U=2)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'Full Conn Hybrd'!$J$81</c:f>
              <c:strCache>
                <c:ptCount val="1"/>
                <c:pt idx="0">
                  <c:v>BB Precoding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'Full Conn Hybrd'!$K$80:$N$80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Hybrd'!$K$81:$N$81</c:f>
              <c:numCache>
                <c:formatCode>General</c:formatCode>
                <c:ptCount val="4"/>
                <c:pt idx="0">
                  <c:v>1.0984615384615384E-2</c:v>
                </c:pt>
                <c:pt idx="1">
                  <c:v>1.0984615384615384E-2</c:v>
                </c:pt>
                <c:pt idx="2">
                  <c:v>1.0984615384615384E-2</c:v>
                </c:pt>
                <c:pt idx="3">
                  <c:v>1.0984615384615384E-2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1-4843-B8E2-B0F4B5F8C32E}"/>
            </c:ext>
          </c:extLst>
        </c:ser>
        <c:ser>
          <c:idx val="1"/>
          <c:order val="1"/>
          <c:tx>
            <c:strRef>
              <c:f>'Full Conn Hybrd'!$J$82</c:f>
              <c:strCache>
                <c:ptCount val="1"/>
                <c:pt idx="0">
                  <c:v>SERDES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'Full Conn Hybrd'!$K$80:$N$80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Hybrd'!$K$82:$N$82</c:f>
              <c:numCache>
                <c:formatCode>General</c:formatCode>
                <c:ptCount val="4"/>
                <c:pt idx="0">
                  <c:v>0.14633040295986779</c:v>
                </c:pt>
                <c:pt idx="1">
                  <c:v>0.14593026470100481</c:v>
                </c:pt>
                <c:pt idx="2">
                  <c:v>0.14548210271416007</c:v>
                </c:pt>
                <c:pt idx="3">
                  <c:v>0.14513863112196376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1-4843-B8E2-B0F4B5F8C32E}"/>
            </c:ext>
          </c:extLst>
        </c:ser>
        <c:ser>
          <c:idx val="2"/>
          <c:order val="2"/>
          <c:tx>
            <c:strRef>
              <c:f>'Full Conn Hybrd'!$J$83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'Full Conn Hybrd'!$K$80:$N$80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Hybrd'!$K$83:$N$83</c:f>
              <c:numCache>
                <c:formatCode>General</c:formatCode>
                <c:ptCount val="4"/>
                <c:pt idx="0">
                  <c:v>1.8730291578863082E-2</c:v>
                </c:pt>
                <c:pt idx="1">
                  <c:v>1.8679073881728615E-2</c:v>
                </c:pt>
                <c:pt idx="2">
                  <c:v>1.8621709147412492E-2</c:v>
                </c:pt>
                <c:pt idx="3">
                  <c:v>1.857774478361136E-2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1-4843-B8E2-B0F4B5F8C32E}"/>
            </c:ext>
          </c:extLst>
        </c:ser>
        <c:ser>
          <c:idx val="3"/>
          <c:order val="3"/>
          <c:tx>
            <c:strRef>
              <c:f>'Full Conn Hybrd'!$J$84</c:f>
              <c:strCache>
                <c:ptCount val="1"/>
                <c:pt idx="0">
                  <c:v>Mixer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'Full Conn Hybrd'!$K$80:$N$80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Hybrd'!$K$84:$N$84</c:f>
              <c:numCache>
                <c:formatCode>General</c:formatCode>
                <c:ptCount val="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41-4843-B8E2-B0F4B5F8C32E}"/>
            </c:ext>
          </c:extLst>
        </c:ser>
        <c:ser>
          <c:idx val="4"/>
          <c:order val="4"/>
          <c:tx>
            <c:strRef>
              <c:f>'Full Conn Hybrd'!$J$85</c:f>
              <c:strCache>
                <c:ptCount val="1"/>
                <c:pt idx="0">
                  <c:v>VCO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'Full Conn Hybrd'!$K$80:$N$80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Hybrd'!$K$85:$N$85</c:f>
              <c:numCache>
                <c:formatCode>General</c:formatCode>
                <c:ptCount val="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41-4843-B8E2-B0F4B5F8C32E}"/>
            </c:ext>
          </c:extLst>
        </c:ser>
        <c:ser>
          <c:idx val="5"/>
          <c:order val="5"/>
          <c:tx>
            <c:strRef>
              <c:f>'Full Conn Hybrd'!$J$86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'Full Conn Hybrd'!$K$80:$N$80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Hybrd'!$K$86:$N$86</c:f>
              <c:numCache>
                <c:formatCode>General</c:formatCode>
                <c:ptCount val="4"/>
                <c:pt idx="0">
                  <c:v>7.68</c:v>
                </c:pt>
                <c:pt idx="1">
                  <c:v>10.24</c:v>
                </c:pt>
                <c:pt idx="2">
                  <c:v>15.36</c:v>
                </c:pt>
                <c:pt idx="3">
                  <c:v>20.48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41-4843-B8E2-B0F4B5F8C32E}"/>
            </c:ext>
          </c:extLst>
        </c:ser>
        <c:ser>
          <c:idx val="6"/>
          <c:order val="6"/>
          <c:tx>
            <c:strRef>
              <c:f>'Full Conn Hybrd'!$J$87</c:f>
              <c:strCache>
                <c:ptCount val="1"/>
                <c:pt idx="0">
                  <c:v>RF Amp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'Full Conn Hybrd'!$K$80:$N$80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Hybrd'!$K$87:$N$87</c:f>
              <c:numCache>
                <c:formatCode>General</c:formatCode>
                <c:ptCount val="4"/>
                <c:pt idx="0">
                  <c:v>35.840000000000003</c:v>
                </c:pt>
                <c:pt idx="1">
                  <c:v>47.786666666666662</c:v>
                </c:pt>
                <c:pt idx="2">
                  <c:v>71.680000000000007</c:v>
                </c:pt>
                <c:pt idx="3">
                  <c:v>95.573333333333323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41-4843-B8E2-B0F4B5F8C32E}"/>
            </c:ext>
          </c:extLst>
        </c:ser>
        <c:ser>
          <c:idx val="7"/>
          <c:order val="7"/>
          <c:tx>
            <c:strRef>
              <c:f>'Full Conn Hybrd'!$J$88</c:f>
              <c:strCache>
                <c:ptCount val="1"/>
                <c:pt idx="0">
                  <c:v> PA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'Full Conn Hybrd'!$K$80:$N$80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Hybrd'!$K$88:$N$88</c:f>
              <c:numCache>
                <c:formatCode>General</c:formatCode>
                <c:ptCount val="4"/>
                <c:pt idx="0">
                  <c:v>189.59560754192881</c:v>
                </c:pt>
                <c:pt idx="1">
                  <c:v>139.90340081908616</c:v>
                </c:pt>
                <c:pt idx="2">
                  <c:v>91.58582705120709</c:v>
                </c:pt>
                <c:pt idx="3">
                  <c:v>67.737360807644251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41-4843-B8E2-B0F4B5F8C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07160"/>
        <c:axId val="681309784"/>
      </c:areaChart>
      <c:catAx>
        <c:axId val="6813071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09784"/>
        <c:crosses val="autoZero"/>
        <c:auto val="1"/>
        <c:lblAlgn val="ctr"/>
        <c:lblOffset val="100"/>
        <c:noMultiLvlLbl val="0"/>
      </c:catAx>
      <c:valAx>
        <c:axId val="68130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0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 Case III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'Full Conn Hybrd'!$J$92</c:f>
              <c:strCache>
                <c:ptCount val="1"/>
                <c:pt idx="0">
                  <c:v>BB Precoding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'Full Conn Hybrd'!$K$91:$N$91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Hybrd'!$K$92:$N$92</c:f>
              <c:numCache>
                <c:formatCode>General</c:formatCode>
                <c:ptCount val="4"/>
                <c:pt idx="0">
                  <c:v>5.0999999999999995E-3</c:v>
                </c:pt>
                <c:pt idx="1">
                  <c:v>5.0999999999999995E-3</c:v>
                </c:pt>
                <c:pt idx="2">
                  <c:v>5.0999999999999995E-3</c:v>
                </c:pt>
                <c:pt idx="3">
                  <c:v>5.0999999999999995E-3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5-4E28-AE50-2AA01B6CE28E}"/>
            </c:ext>
          </c:extLst>
        </c:ser>
        <c:ser>
          <c:idx val="1"/>
          <c:order val="1"/>
          <c:tx>
            <c:strRef>
              <c:f>'Full Conn Hybrd'!$J$93</c:f>
              <c:strCache>
                <c:ptCount val="1"/>
                <c:pt idx="0">
                  <c:v>SERDES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'Full Conn Hybrd'!$K$91:$N$91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Hybrd'!$K$93:$N$93</c:f>
              <c:numCache>
                <c:formatCode>General</c:formatCode>
                <c:ptCount val="4"/>
                <c:pt idx="0">
                  <c:v>0.15558771802374671</c:v>
                </c:pt>
                <c:pt idx="1">
                  <c:v>0.15552931556098185</c:v>
                </c:pt>
                <c:pt idx="2">
                  <c:v>0.15536190123422616</c:v>
                </c:pt>
                <c:pt idx="3">
                  <c:v>0.15527516543812797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5-4E28-AE50-2AA01B6CE28E}"/>
            </c:ext>
          </c:extLst>
        </c:ser>
        <c:ser>
          <c:idx val="2"/>
          <c:order val="2"/>
          <c:tx>
            <c:strRef>
              <c:f>'Full Conn Hybrd'!$J$94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'Full Conn Hybrd'!$K$91:$N$91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Hybrd'!$K$94:$N$94</c:f>
              <c:numCache>
                <c:formatCode>General</c:formatCode>
                <c:ptCount val="4"/>
                <c:pt idx="0">
                  <c:v>1.2745745860505331</c:v>
                </c:pt>
                <c:pt idx="1">
                  <c:v>1.2740961530755632</c:v>
                </c:pt>
                <c:pt idx="2">
                  <c:v>1.2727246949107809</c:v>
                </c:pt>
                <c:pt idx="3">
                  <c:v>1.2720141552691446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75-4E28-AE50-2AA01B6CE28E}"/>
            </c:ext>
          </c:extLst>
        </c:ser>
        <c:ser>
          <c:idx val="3"/>
          <c:order val="3"/>
          <c:tx>
            <c:strRef>
              <c:f>'Full Conn Hybrd'!$J$95</c:f>
              <c:strCache>
                <c:ptCount val="1"/>
                <c:pt idx="0">
                  <c:v>Mixer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'Full Conn Hybrd'!$K$91:$N$91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Hybrd'!$K$95:$N$95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75-4E28-AE50-2AA01B6CE28E}"/>
            </c:ext>
          </c:extLst>
        </c:ser>
        <c:ser>
          <c:idx val="4"/>
          <c:order val="4"/>
          <c:tx>
            <c:strRef>
              <c:f>'Full Conn Hybrd'!$J$96</c:f>
              <c:strCache>
                <c:ptCount val="1"/>
                <c:pt idx="0">
                  <c:v>VCO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'Full Conn Hybrd'!$K$91:$N$91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Hybrd'!$K$96:$N$96</c:f>
              <c:numCache>
                <c:formatCode>General</c:formatCode>
                <c:ptCount val="4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75-4E28-AE50-2AA01B6CE28E}"/>
            </c:ext>
          </c:extLst>
        </c:ser>
        <c:ser>
          <c:idx val="5"/>
          <c:order val="5"/>
          <c:tx>
            <c:strRef>
              <c:f>'Full Conn Hybrd'!$J$97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'Full Conn Hybrd'!$K$91:$N$91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Hybrd'!$K$97:$N$97</c:f>
              <c:numCache>
                <c:formatCode>General</c:formatCode>
                <c:ptCount val="4"/>
                <c:pt idx="0">
                  <c:v>3.84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75-4E28-AE50-2AA01B6CE28E}"/>
            </c:ext>
          </c:extLst>
        </c:ser>
        <c:ser>
          <c:idx val="6"/>
          <c:order val="6"/>
          <c:tx>
            <c:strRef>
              <c:f>'Full Conn Hybrd'!$J$98</c:f>
              <c:strCache>
                <c:ptCount val="1"/>
                <c:pt idx="0">
                  <c:v>RF Amp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'Full Conn Hybrd'!$K$91:$N$91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Hybrd'!$K$98:$N$98</c:f>
              <c:numCache>
                <c:formatCode>General</c:formatCode>
                <c:ptCount val="4"/>
                <c:pt idx="0">
                  <c:v>25.6</c:v>
                </c:pt>
                <c:pt idx="1">
                  <c:v>34.133333333333326</c:v>
                </c:pt>
                <c:pt idx="2">
                  <c:v>51.2</c:v>
                </c:pt>
                <c:pt idx="3">
                  <c:v>68.266666666666652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75-4E28-AE50-2AA01B6CE28E}"/>
            </c:ext>
          </c:extLst>
        </c:ser>
        <c:ser>
          <c:idx val="7"/>
          <c:order val="7"/>
          <c:tx>
            <c:strRef>
              <c:f>'Full Conn Hybrd'!$J$99</c:f>
              <c:strCache>
                <c:ptCount val="1"/>
                <c:pt idx="0">
                  <c:v> PA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'Full Conn Hybrd'!$K$91:$N$91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Hybrd'!$K$99:$N$99</c:f>
              <c:numCache>
                <c:formatCode>General</c:formatCode>
                <c:ptCount val="4"/>
                <c:pt idx="0">
                  <c:v>73.422348464170625</c:v>
                </c:pt>
                <c:pt idx="1">
                  <c:v>54.806020850631405</c:v>
                </c:pt>
                <c:pt idx="2">
                  <c:v>36.043609146682343</c:v>
                </c:pt>
                <c:pt idx="3">
                  <c:v>26.842828186504683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75-4E28-AE50-2AA01B6CE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73912"/>
        <c:axId val="684174240"/>
      </c:areaChart>
      <c:catAx>
        <c:axId val="684173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74240"/>
        <c:crosses val="autoZero"/>
        <c:auto val="1"/>
        <c:lblAlgn val="ctr"/>
        <c:lblOffset val="100"/>
        <c:noMultiLvlLbl val="0"/>
      </c:catAx>
      <c:valAx>
        <c:axId val="6841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7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'FH new'!$K$72:$N$72</c:f>
              <c:numCache>
                <c:formatCode>0.0</c:formatCode>
                <c:ptCount val="4"/>
                <c:pt idx="0">
                  <c:v>175.75384615384615</c:v>
                </c:pt>
                <c:pt idx="1">
                  <c:v>175.75384615384615</c:v>
                </c:pt>
                <c:pt idx="2">
                  <c:v>175.75384615384615</c:v>
                </c:pt>
                <c:pt idx="3">
                  <c:v>175.75384615384615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8-47A7-8459-8D346C87DAD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'FH new'!$K$73:$N$73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8-47A7-8459-8D346C87DAD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'FH new'!$K$74:$N$74</c:f>
              <c:numCache>
                <c:formatCode>0.0</c:formatCode>
                <c:ptCount val="4"/>
                <c:pt idx="0">
                  <c:v>342.07578008667122</c:v>
                </c:pt>
                <c:pt idx="1">
                  <c:v>309.78803144747997</c:v>
                </c:pt>
                <c:pt idx="2">
                  <c:v>294.845341200566</c:v>
                </c:pt>
                <c:pt idx="3">
                  <c:v>290.71799651372783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8-47A7-8459-8D346C87DAD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'FH new'!$K$75:$N$75</c:f>
              <c:numCache>
                <c:formatCode>0.0</c:formatCode>
                <c:ptCount val="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78-47A7-8459-8D346C87DAD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'FH new'!$K$76:$N$76</c:f>
              <c:numCache>
                <c:formatCode>0.0</c:formatCode>
                <c:ptCount val="4"/>
                <c:pt idx="0">
                  <c:v>960</c:v>
                </c:pt>
                <c:pt idx="1">
                  <c:v>960</c:v>
                </c:pt>
                <c:pt idx="2">
                  <c:v>960</c:v>
                </c:pt>
                <c:pt idx="3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78-47A7-8459-8D346C87DAD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'FH new'!$K$77:$N$77</c:f>
              <c:numCache>
                <c:formatCode>0.0</c:formatCode>
                <c:ptCount val="4"/>
                <c:pt idx="0">
                  <c:v>5120</c:v>
                </c:pt>
                <c:pt idx="1">
                  <c:v>10240</c:v>
                </c:pt>
                <c:pt idx="2">
                  <c:v>20480</c:v>
                </c:pt>
                <c:pt idx="3">
                  <c:v>30720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78-47A7-8459-8D346C87DAD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'FH new'!$K$78:$N$78</c:f>
              <c:numCache>
                <c:formatCode>0.0</c:formatCode>
                <c:ptCount val="4"/>
                <c:pt idx="0">
                  <c:v>14933.333333333332</c:v>
                </c:pt>
                <c:pt idx="1">
                  <c:v>29866.666666666664</c:v>
                </c:pt>
                <c:pt idx="2">
                  <c:v>59733.333333333328</c:v>
                </c:pt>
                <c:pt idx="3">
                  <c:v>89600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78-47A7-8459-8D346C87DAD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'FH new'!$K$79:$N$79</c:f>
              <c:numCache>
                <c:formatCode>0.0</c:formatCode>
                <c:ptCount val="4"/>
                <c:pt idx="0">
                  <c:v>46755.022636524016</c:v>
                </c:pt>
                <c:pt idx="1">
                  <c:v>15842.666190542292</c:v>
                </c:pt>
                <c:pt idx="2">
                  <c:v>6424.336364524429</c:v>
                </c:pt>
                <c:pt idx="3">
                  <c:v>4025.5782373296734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78-47A7-8459-8D346C87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46760"/>
        <c:axId val="716944200"/>
      </c:areaChart>
      <c:catAx>
        <c:axId val="716946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44200"/>
        <c:crosses val="autoZero"/>
        <c:auto val="1"/>
        <c:lblAlgn val="ctr"/>
        <c:lblOffset val="100"/>
        <c:noMultiLvlLbl val="0"/>
      </c:catAx>
      <c:valAx>
        <c:axId val="71694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4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Dense 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72368810957271E-2"/>
          <c:y val="0.1324051948694438"/>
          <c:w val="0.85883169217841604"/>
          <c:h val="0.62815385821906811"/>
        </c:manualLayout>
      </c:layout>
      <c:areaChart>
        <c:grouping val="stacked"/>
        <c:varyColors val="0"/>
        <c:ser>
          <c:idx val="0"/>
          <c:order val="0"/>
          <c:tx>
            <c:strRef>
              <c:f>'Sub Array'!$K$69</c:f>
              <c:strCache>
                <c:ptCount val="1"/>
                <c:pt idx="0">
                  <c:v>BB Precoding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 Array'!$L$68:$P$68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Array'!$L$69:$P$69</c:f>
              <c:numCache>
                <c:formatCode>0.0</c:formatCode>
                <c:ptCount val="5"/>
                <c:pt idx="0">
                  <c:v>0.10043076923076923</c:v>
                </c:pt>
                <c:pt idx="1">
                  <c:v>0.13809230769230768</c:v>
                </c:pt>
                <c:pt idx="2">
                  <c:v>0.17575384615384615</c:v>
                </c:pt>
                <c:pt idx="3">
                  <c:v>0.25107692307692309</c:v>
                </c:pt>
                <c:pt idx="4">
                  <c:v>0.32639999999999997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C-43BB-8E79-3B4B1CBB07A8}"/>
            </c:ext>
          </c:extLst>
        </c:ser>
        <c:ser>
          <c:idx val="1"/>
          <c:order val="1"/>
          <c:tx>
            <c:strRef>
              <c:f>'Sub Array'!$K$70</c:f>
              <c:strCache>
                <c:ptCount val="1"/>
                <c:pt idx="0">
                  <c:v>SERDES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 Array'!$L$68:$P$68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Array'!$L$70:$P$70</c:f>
              <c:numCache>
                <c:formatCode>0.0</c:formatCode>
                <c:ptCount val="5"/>
                <c:pt idx="0">
                  <c:v>0.97521406438213254</c:v>
                </c:pt>
                <c:pt idx="1">
                  <c:v>0.99087474976808698</c:v>
                </c:pt>
                <c:pt idx="2">
                  <c:v>0.98496753006596827</c:v>
                </c:pt>
                <c:pt idx="3">
                  <c:v>0.96821488211858941</c:v>
                </c:pt>
                <c:pt idx="4">
                  <c:v>0.97137432908313726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C-43BB-8E79-3B4B1CBB07A8}"/>
            </c:ext>
          </c:extLst>
        </c:ser>
        <c:ser>
          <c:idx val="2"/>
          <c:order val="2"/>
          <c:tx>
            <c:strRef>
              <c:f>'Sub Array'!$K$71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 Array'!$L$68:$P$68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Array'!$L$71:$P$71</c:f>
              <c:numCache>
                <c:formatCode>0.0</c:formatCode>
                <c:ptCount val="5"/>
                <c:pt idx="0">
                  <c:v>0.31351055531260102</c:v>
                </c:pt>
                <c:pt idx="1">
                  <c:v>0.50933985700523132</c:v>
                </c:pt>
                <c:pt idx="2">
                  <c:v>0.65897817106055079</c:v>
                </c:pt>
                <c:pt idx="3">
                  <c:v>0.9075719003616125</c:v>
                </c:pt>
                <c:pt idx="4">
                  <c:v>1.2297393612244254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BC-43BB-8E79-3B4B1CBB07A8}"/>
            </c:ext>
          </c:extLst>
        </c:ser>
        <c:ser>
          <c:idx val="3"/>
          <c:order val="3"/>
          <c:tx>
            <c:strRef>
              <c:f>'Sub Array'!$K$72</c:f>
              <c:strCache>
                <c:ptCount val="1"/>
                <c:pt idx="0">
                  <c:v>Mixer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 Array'!$L$68:$P$68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Array'!$L$72:$P$72</c:f>
              <c:numCache>
                <c:formatCode>0.0</c:formatCode>
                <c:ptCount val="5"/>
                <c:pt idx="0">
                  <c:v>0.16</c:v>
                </c:pt>
                <c:pt idx="1">
                  <c:v>0.24</c:v>
                </c:pt>
                <c:pt idx="2">
                  <c:v>0.32</c:v>
                </c:pt>
                <c:pt idx="3">
                  <c:v>0.48</c:v>
                </c:pt>
                <c:pt idx="4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BC-43BB-8E79-3B4B1CBB07A8}"/>
            </c:ext>
          </c:extLst>
        </c:ser>
        <c:ser>
          <c:idx val="4"/>
          <c:order val="4"/>
          <c:tx>
            <c:strRef>
              <c:f>'Sub Array'!$K$73</c:f>
              <c:strCache>
                <c:ptCount val="1"/>
                <c:pt idx="0">
                  <c:v> VCO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'Sub Array'!$L$68:$P$68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Array'!$L$73:$P$73</c:f>
              <c:numCache>
                <c:formatCode>0.0</c:formatCode>
                <c:ptCount val="5"/>
                <c:pt idx="0">
                  <c:v>0.96</c:v>
                </c:pt>
                <c:pt idx="1">
                  <c:v>1.44</c:v>
                </c:pt>
                <c:pt idx="2">
                  <c:v>1.92</c:v>
                </c:pt>
                <c:pt idx="3">
                  <c:v>2.88</c:v>
                </c:pt>
                <c:pt idx="4">
                  <c:v>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BC-43BB-8E79-3B4B1CBB07A8}"/>
            </c:ext>
          </c:extLst>
        </c:ser>
        <c:ser>
          <c:idx val="5"/>
          <c:order val="5"/>
          <c:tx>
            <c:strRef>
              <c:f>'Sub Array'!$K$74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'Sub Array'!$L$68:$P$68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Array'!$L$74:$P$74</c:f>
              <c:numCache>
                <c:formatCode>0.0</c:formatCode>
                <c:ptCount val="5"/>
                <c:pt idx="0">
                  <c:v>2.56</c:v>
                </c:pt>
                <c:pt idx="1">
                  <c:v>3.84</c:v>
                </c:pt>
                <c:pt idx="2">
                  <c:v>5.12</c:v>
                </c:pt>
                <c:pt idx="3">
                  <c:v>7.68</c:v>
                </c:pt>
                <c:pt idx="4">
                  <c:v>10.24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BC-43BB-8E79-3B4B1CBB07A8}"/>
            </c:ext>
          </c:extLst>
        </c:ser>
        <c:ser>
          <c:idx val="6"/>
          <c:order val="6"/>
          <c:tx>
            <c:strRef>
              <c:f>'Sub Array'!$K$75</c:f>
              <c:strCache>
                <c:ptCount val="1"/>
                <c:pt idx="0">
                  <c:v>RF Amp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'Sub Array'!$L$68:$P$68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Array'!$L$75:$P$75</c:f>
              <c:numCache>
                <c:formatCode>0.0</c:formatCode>
                <c:ptCount val="5"/>
                <c:pt idx="0">
                  <c:v>12.8</c:v>
                </c:pt>
                <c:pt idx="1">
                  <c:v>19.2</c:v>
                </c:pt>
                <c:pt idx="2">
                  <c:v>25.6</c:v>
                </c:pt>
                <c:pt idx="3">
                  <c:v>38.4</c:v>
                </c:pt>
                <c:pt idx="4">
                  <c:v>51.2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BC-43BB-8E79-3B4B1CBB07A8}"/>
            </c:ext>
          </c:extLst>
        </c:ser>
        <c:ser>
          <c:idx val="7"/>
          <c:order val="7"/>
          <c:tx>
            <c:strRef>
              <c:f>'Sub Array'!$K$76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'Sub Array'!$L$68:$P$68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Array'!$L$76:$P$76</c:f>
              <c:numCache>
                <c:formatCode>0.0</c:formatCode>
                <c:ptCount val="5"/>
                <c:pt idx="0">
                  <c:v>218.68967118780725</c:v>
                </c:pt>
                <c:pt idx="1">
                  <c:v>170.93392757666942</c:v>
                </c:pt>
                <c:pt idx="2">
                  <c:v>120.73363366651549</c:v>
                </c:pt>
                <c:pt idx="3">
                  <c:v>67.893511551074397</c:v>
                </c:pt>
                <c:pt idx="4">
                  <c:v>52.580931014971149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BC-43BB-8E79-3B4B1CBB0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94808"/>
        <c:axId val="515599400"/>
        <c:extLst>
          <c:ext xmlns:c15="http://schemas.microsoft.com/office/drawing/2012/chart" uri="{02D57815-91ED-43cb-92C2-25804820EDAC}">
            <c15:filteredArea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'Sub Array'!#REF!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'Sub Array'!$L$68:$P$68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256</c:v>
                      </c:pt>
                      <c:pt idx="1">
                        <c:v>384</c:v>
                      </c:pt>
                      <c:pt idx="2">
                        <c:v>512</c:v>
                      </c:pt>
                      <c:pt idx="3">
                        <c:v>768</c:v>
                      </c:pt>
                      <c:pt idx="4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'Sub Array'!#REF!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0BC-43BB-8E79-3B4B1CBB07A8}"/>
                  </c:ext>
                </c:extLst>
              </c15:ser>
            </c15:filteredAreaSeries>
          </c:ext>
        </c:extLst>
      </c:areaChart>
      <c:catAx>
        <c:axId val="5155948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99400"/>
        <c:crosses val="autoZero"/>
        <c:auto val="1"/>
        <c:lblAlgn val="ctr"/>
        <c:lblOffset val="100"/>
        <c:noMultiLvlLbl val="0"/>
      </c:catAx>
      <c:valAx>
        <c:axId val="51559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9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98676483876602E-2"/>
          <c:y val="0.85408255651934861"/>
          <c:w val="0.95887999817274716"/>
          <c:h val="0.12449843109950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 Case II(U=4)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'FH new'!$J$83</c:f>
              <c:strCache>
                <c:ptCount val="1"/>
                <c:pt idx="0">
                  <c:v>BB Precoding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'FH new'!$K$82:$N$82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'FH new'!$K$83:$N$83</c:f>
              <c:numCache>
                <c:formatCode>0.0</c:formatCode>
                <c:ptCount val="4"/>
                <c:pt idx="0">
                  <c:v>25.107692307692307</c:v>
                </c:pt>
                <c:pt idx="1">
                  <c:v>25.107692307692307</c:v>
                </c:pt>
                <c:pt idx="2">
                  <c:v>25.107692307692307</c:v>
                </c:pt>
                <c:pt idx="3">
                  <c:v>25.107692307692307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8-41E8-885D-E0AA4BB8580C}"/>
            </c:ext>
          </c:extLst>
        </c:ser>
        <c:ser>
          <c:idx val="1"/>
          <c:order val="1"/>
          <c:tx>
            <c:strRef>
              <c:f>'FH new'!$J$84</c:f>
              <c:strCache>
                <c:ptCount val="1"/>
                <c:pt idx="0">
                  <c:v>SERDES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'FH new'!$K$82:$N$82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'FH new'!$K$84:$N$84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8-41E8-885D-E0AA4BB8580C}"/>
            </c:ext>
          </c:extLst>
        </c:ser>
        <c:ser>
          <c:idx val="2"/>
          <c:order val="2"/>
          <c:tx>
            <c:strRef>
              <c:f>'FH new'!$J$85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'FH new'!$K$82:$N$82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'FH new'!$K$85:$N$85</c:f>
              <c:numCache>
                <c:formatCode>0.0</c:formatCode>
                <c:ptCount val="4"/>
                <c:pt idx="0">
                  <c:v>50.122290963681493</c:v>
                </c:pt>
                <c:pt idx="1">
                  <c:v>50.116898511420828</c:v>
                </c:pt>
                <c:pt idx="2">
                  <c:v>50.094614680320809</c:v>
                </c:pt>
                <c:pt idx="3">
                  <c:v>50.082246069039115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8-41E8-885D-E0AA4BB8580C}"/>
            </c:ext>
          </c:extLst>
        </c:ser>
        <c:ser>
          <c:idx val="3"/>
          <c:order val="3"/>
          <c:tx>
            <c:strRef>
              <c:f>'FH new'!$J$86</c:f>
              <c:strCache>
                <c:ptCount val="1"/>
                <c:pt idx="0">
                  <c:v>Mixer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'FH new'!$K$82:$N$82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'FH new'!$K$86:$N$86</c:f>
              <c:numCache>
                <c:formatCode>0.0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C8-41E8-885D-E0AA4BB8580C}"/>
            </c:ext>
          </c:extLst>
        </c:ser>
        <c:ser>
          <c:idx val="4"/>
          <c:order val="4"/>
          <c:tx>
            <c:strRef>
              <c:f>'FH new'!$J$87</c:f>
              <c:strCache>
                <c:ptCount val="1"/>
                <c:pt idx="0">
                  <c:v>VCO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'FH new'!$K$82:$N$82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'FH new'!$K$87:$N$87</c:f>
              <c:numCache>
                <c:formatCode>0.0</c:formatCode>
                <c:ptCount val="4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C8-41E8-885D-E0AA4BB8580C}"/>
            </c:ext>
          </c:extLst>
        </c:ser>
        <c:ser>
          <c:idx val="5"/>
          <c:order val="5"/>
          <c:tx>
            <c:strRef>
              <c:f>'FH new'!$J$88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'FH new'!$K$82:$N$82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'FH new'!$K$88:$N$88</c:f>
              <c:numCache>
                <c:formatCode>0.0</c:formatCode>
                <c:ptCount val="4"/>
                <c:pt idx="0">
                  <c:v>15360</c:v>
                </c:pt>
                <c:pt idx="1">
                  <c:v>20480</c:v>
                </c:pt>
                <c:pt idx="2">
                  <c:v>30720</c:v>
                </c:pt>
                <c:pt idx="3">
                  <c:v>40960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C8-41E8-885D-E0AA4BB8580C}"/>
            </c:ext>
          </c:extLst>
        </c:ser>
        <c:ser>
          <c:idx val="6"/>
          <c:order val="6"/>
          <c:tx>
            <c:strRef>
              <c:f>'FH new'!$J$89</c:f>
              <c:strCache>
                <c:ptCount val="1"/>
                <c:pt idx="0">
                  <c:v>RF Amp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'FH new'!$K$82:$N$82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'FH new'!$K$89:$N$89</c:f>
              <c:numCache>
                <c:formatCode>0.0</c:formatCode>
                <c:ptCount val="4"/>
                <c:pt idx="0">
                  <c:v>56320</c:v>
                </c:pt>
                <c:pt idx="1">
                  <c:v>75093.333333333328</c:v>
                </c:pt>
                <c:pt idx="2">
                  <c:v>112640</c:v>
                </c:pt>
                <c:pt idx="3">
                  <c:v>150186.66666666666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C8-41E8-885D-E0AA4BB8580C}"/>
            </c:ext>
          </c:extLst>
        </c:ser>
        <c:ser>
          <c:idx val="7"/>
          <c:order val="7"/>
          <c:tx>
            <c:strRef>
              <c:f>'FH new'!$J$90</c:f>
              <c:strCache>
                <c:ptCount val="1"/>
                <c:pt idx="0">
                  <c:v> PA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'FH new'!$K$82:$N$82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'FH new'!$K$90:$N$90</c:f>
              <c:numCache>
                <c:formatCode>0.0</c:formatCode>
                <c:ptCount val="4"/>
                <c:pt idx="0">
                  <c:v>106470.24945405003</c:v>
                </c:pt>
                <c:pt idx="1">
                  <c:v>79767.92071761594</c:v>
                </c:pt>
                <c:pt idx="2">
                  <c:v>52945.404616686414</c:v>
                </c:pt>
                <c:pt idx="3">
                  <c:v>39612.136926427265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C8-41E8-885D-E0AA4BB8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96328"/>
        <c:axId val="625496648"/>
      </c:areaChart>
      <c:catAx>
        <c:axId val="62549632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96648"/>
        <c:crosses val="autoZero"/>
        <c:auto val="1"/>
        <c:lblAlgn val="ctr"/>
        <c:lblOffset val="100"/>
        <c:noMultiLvlLbl val="0"/>
      </c:catAx>
      <c:valAx>
        <c:axId val="62549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9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 Case II(U=8)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'FH new'!$P$84</c:f>
              <c:strCache>
                <c:ptCount val="1"/>
                <c:pt idx="0">
                  <c:v>BB Precoding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'FH new'!$Q$83:$T$83</c:f>
              <c:numCache>
                <c:formatCode>0</c:formatCode>
                <c:ptCount val="4"/>
                <c:pt idx="0">
                  <c:v>192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</c:numCache>
            </c:numRef>
          </c:cat>
          <c:val>
            <c:numRef>
              <c:f>'FH new'!$Q$84:$T$84</c:f>
              <c:numCache>
                <c:formatCode>0.0</c:formatCode>
                <c:ptCount val="4"/>
                <c:pt idx="0">
                  <c:v>62.769230769230766</c:v>
                </c:pt>
                <c:pt idx="1">
                  <c:v>62.769230769230766</c:v>
                </c:pt>
                <c:pt idx="2">
                  <c:v>62.769230769230766</c:v>
                </c:pt>
                <c:pt idx="3">
                  <c:v>62.769230769230766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6-4256-9A33-67E3126BAFB7}"/>
            </c:ext>
          </c:extLst>
        </c:ser>
        <c:ser>
          <c:idx val="1"/>
          <c:order val="1"/>
          <c:tx>
            <c:strRef>
              <c:f>'FH new'!$P$85</c:f>
              <c:strCache>
                <c:ptCount val="1"/>
                <c:pt idx="0">
                  <c:v>SERDES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'FH new'!$Q$83:$T$83</c:f>
              <c:numCache>
                <c:formatCode>0</c:formatCode>
                <c:ptCount val="4"/>
                <c:pt idx="0">
                  <c:v>192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</c:numCache>
            </c:numRef>
          </c:cat>
          <c:val>
            <c:numRef>
              <c:f>'FH new'!$Q$85:$T$85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6-4256-9A33-67E3126BAFB7}"/>
            </c:ext>
          </c:extLst>
        </c:ser>
        <c:ser>
          <c:idx val="2"/>
          <c:order val="2"/>
          <c:tx>
            <c:strRef>
              <c:f>'FH new'!$P$86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'FH new'!$Q$83:$T$83</c:f>
              <c:numCache>
                <c:formatCode>0</c:formatCode>
                <c:ptCount val="4"/>
                <c:pt idx="0">
                  <c:v>192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</c:numCache>
            </c:numRef>
          </c:cat>
          <c:val>
            <c:numRef>
              <c:f>'FH new'!$Q$86:$T$86</c:f>
              <c:numCache>
                <c:formatCode>0.0</c:formatCode>
                <c:ptCount val="4"/>
                <c:pt idx="0">
                  <c:v>97.408000000000001</c:v>
                </c:pt>
                <c:pt idx="1">
                  <c:v>97.408000000000001</c:v>
                </c:pt>
                <c:pt idx="2">
                  <c:v>97.408000000000001</c:v>
                </c:pt>
                <c:pt idx="3">
                  <c:v>97.408000000000001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56-4256-9A33-67E3126BAFB7}"/>
            </c:ext>
          </c:extLst>
        </c:ser>
        <c:ser>
          <c:idx val="3"/>
          <c:order val="3"/>
          <c:tx>
            <c:strRef>
              <c:f>'FH new'!$P$87</c:f>
              <c:strCache>
                <c:ptCount val="1"/>
                <c:pt idx="0">
                  <c:v>Mixer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'FH new'!$Q$83:$T$83</c:f>
              <c:numCache>
                <c:formatCode>0</c:formatCode>
                <c:ptCount val="4"/>
                <c:pt idx="0">
                  <c:v>192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</c:numCache>
            </c:numRef>
          </c:cat>
          <c:val>
            <c:numRef>
              <c:f>'FH new'!$Q$87:$T$87</c:f>
              <c:numCache>
                <c:formatCode>0.0</c:formatCode>
                <c:ptCount val="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56-4256-9A33-67E3126BAFB7}"/>
            </c:ext>
          </c:extLst>
        </c:ser>
        <c:ser>
          <c:idx val="4"/>
          <c:order val="4"/>
          <c:tx>
            <c:strRef>
              <c:f>'FH new'!$P$88</c:f>
              <c:strCache>
                <c:ptCount val="1"/>
                <c:pt idx="0">
                  <c:v>VCO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'FH new'!$Q$83:$T$83</c:f>
              <c:numCache>
                <c:formatCode>0</c:formatCode>
                <c:ptCount val="4"/>
                <c:pt idx="0">
                  <c:v>192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</c:numCache>
            </c:numRef>
          </c:cat>
          <c:val>
            <c:numRef>
              <c:f>'FH new'!$Q$88:$T$88</c:f>
              <c:numCache>
                <c:formatCode>0.0</c:formatCode>
                <c:ptCount val="4"/>
                <c:pt idx="0">
                  <c:v>480</c:v>
                </c:pt>
                <c:pt idx="1">
                  <c:v>480</c:v>
                </c:pt>
                <c:pt idx="2">
                  <c:v>480</c:v>
                </c:pt>
                <c:pt idx="3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56-4256-9A33-67E3126BAFB7}"/>
            </c:ext>
          </c:extLst>
        </c:ser>
        <c:ser>
          <c:idx val="5"/>
          <c:order val="5"/>
          <c:tx>
            <c:strRef>
              <c:f>'FH new'!$P$89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'FH new'!$Q$83:$T$83</c:f>
              <c:numCache>
                <c:formatCode>0</c:formatCode>
                <c:ptCount val="4"/>
                <c:pt idx="0">
                  <c:v>192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</c:numCache>
            </c:numRef>
          </c:cat>
          <c:val>
            <c:numRef>
              <c:f>'FH new'!$Q$89:$T$89</c:f>
              <c:numCache>
                <c:formatCode>0.0</c:formatCode>
                <c:ptCount val="4"/>
                <c:pt idx="0">
                  <c:v>15360</c:v>
                </c:pt>
                <c:pt idx="1">
                  <c:v>20480</c:v>
                </c:pt>
                <c:pt idx="2">
                  <c:v>30720</c:v>
                </c:pt>
                <c:pt idx="3">
                  <c:v>40960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56-4256-9A33-67E3126BAFB7}"/>
            </c:ext>
          </c:extLst>
        </c:ser>
        <c:ser>
          <c:idx val="6"/>
          <c:order val="6"/>
          <c:tx>
            <c:strRef>
              <c:f>'FH new'!$P$90</c:f>
              <c:strCache>
                <c:ptCount val="1"/>
                <c:pt idx="0">
                  <c:v>RF Amp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'FH new'!$Q$83:$T$83</c:f>
              <c:numCache>
                <c:formatCode>0</c:formatCode>
                <c:ptCount val="4"/>
                <c:pt idx="0">
                  <c:v>192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</c:numCache>
            </c:numRef>
          </c:cat>
          <c:val>
            <c:numRef>
              <c:f>'FH new'!$Q$90:$T$90</c:f>
              <c:numCache>
                <c:formatCode>0.0</c:formatCode>
                <c:ptCount val="4"/>
                <c:pt idx="0">
                  <c:v>48640</c:v>
                </c:pt>
                <c:pt idx="1">
                  <c:v>64853.333333333328</c:v>
                </c:pt>
                <c:pt idx="2">
                  <c:v>97280</c:v>
                </c:pt>
                <c:pt idx="3">
                  <c:v>129706.66666666666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56-4256-9A33-67E3126BAFB7}"/>
            </c:ext>
          </c:extLst>
        </c:ser>
        <c:ser>
          <c:idx val="7"/>
          <c:order val="7"/>
          <c:tx>
            <c:strRef>
              <c:f>'FH new'!$P$91</c:f>
              <c:strCache>
                <c:ptCount val="1"/>
                <c:pt idx="0">
                  <c:v> PA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'FH new'!$Q$83:$T$83</c:f>
              <c:numCache>
                <c:formatCode>0</c:formatCode>
                <c:ptCount val="4"/>
                <c:pt idx="0">
                  <c:v>192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</c:numCache>
            </c:numRef>
          </c:cat>
          <c:val>
            <c:numRef>
              <c:f>'FH new'!$Q$91:$T$91</c:f>
              <c:numCache>
                <c:formatCode>0.0</c:formatCode>
                <c:ptCount val="4"/>
                <c:pt idx="0">
                  <c:v>168588.62616723997</c:v>
                </c:pt>
                <c:pt idx="1">
                  <c:v>126715.07109837429</c:v>
                </c:pt>
                <c:pt idx="2">
                  <c:v>84884.475909921748</c:v>
                </c:pt>
                <c:pt idx="3">
                  <c:v>63801.115440634137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56-4256-9A33-67E3126BA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565496"/>
        <c:axId val="700566456"/>
      </c:areaChart>
      <c:catAx>
        <c:axId val="7005654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66456"/>
        <c:crosses val="autoZero"/>
        <c:auto val="1"/>
        <c:lblAlgn val="ctr"/>
        <c:lblOffset val="100"/>
        <c:noMultiLvlLbl val="0"/>
      </c:catAx>
      <c:valAx>
        <c:axId val="7005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65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50+Mbps Everywhere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30029041046676"/>
          <c:y val="0.1715994290219553"/>
          <c:w val="0.80584653154097186"/>
          <c:h val="0.45477403179800335"/>
        </c:manualLayout>
      </c:layout>
      <c:areaChart>
        <c:grouping val="stacked"/>
        <c:varyColors val="0"/>
        <c:ser>
          <c:idx val="0"/>
          <c:order val="0"/>
          <c:tx>
            <c:strRef>
              <c:f>'Sub Array'!$K$79</c:f>
              <c:strCache>
                <c:ptCount val="1"/>
                <c:pt idx="0">
                  <c:v>BB Precoding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 Array'!$L$78:$P$78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Array'!$L$79:$P$79</c:f>
              <c:numCache>
                <c:formatCode>0.0</c:formatCode>
                <c:ptCount val="5"/>
                <c:pt idx="0">
                  <c:v>7.689230769230769E-2</c:v>
                </c:pt>
                <c:pt idx="1">
                  <c:v>0.11455384615384614</c:v>
                </c:pt>
                <c:pt idx="2">
                  <c:v>0.15221538461538461</c:v>
                </c:pt>
                <c:pt idx="3">
                  <c:v>0.22753846153846155</c:v>
                </c:pt>
                <c:pt idx="4">
                  <c:v>0.30286153846153846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3-4362-8073-29FA7FD6E68D}"/>
            </c:ext>
          </c:extLst>
        </c:ser>
        <c:ser>
          <c:idx val="1"/>
          <c:order val="1"/>
          <c:tx>
            <c:strRef>
              <c:f>'Sub Array'!$K$80</c:f>
              <c:strCache>
                <c:ptCount val="1"/>
                <c:pt idx="0">
                  <c:v>SERDES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 Array'!$L$78:$P$78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Array'!$L$80:$P$80</c:f>
              <c:numCache>
                <c:formatCode>0.0</c:formatCode>
                <c:ptCount val="5"/>
                <c:pt idx="0">
                  <c:v>0.14711686519242026</c:v>
                </c:pt>
                <c:pt idx="1">
                  <c:v>0.14938870320557554</c:v>
                </c:pt>
                <c:pt idx="2">
                  <c:v>0.14978189828004584</c:v>
                </c:pt>
                <c:pt idx="3">
                  <c:v>0.14689706962653448</c:v>
                </c:pt>
                <c:pt idx="4">
                  <c:v>0.14485359803433817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3-4362-8073-29FA7FD6E68D}"/>
            </c:ext>
          </c:extLst>
        </c:ser>
        <c:ser>
          <c:idx val="2"/>
          <c:order val="2"/>
          <c:tx>
            <c:strRef>
              <c:f>'Sub Array'!$K$81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 Array'!$L$78:$P$78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Array'!$L$81:$P$81</c:f>
              <c:numCache>
                <c:formatCode>0.0</c:formatCode>
                <c:ptCount val="5"/>
                <c:pt idx="0">
                  <c:v>4.3672256784957619E-2</c:v>
                </c:pt>
                <c:pt idx="1">
                  <c:v>6.861378012772501E-2</c:v>
                </c:pt>
                <c:pt idx="2">
                  <c:v>9.2221326095386774E-2</c:v>
                </c:pt>
                <c:pt idx="3">
                  <c:v>0.13043101035941249</c:v>
                </c:pt>
                <c:pt idx="4">
                  <c:v>0.16681191130856859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3-4362-8073-29FA7FD6E68D}"/>
            </c:ext>
          </c:extLst>
        </c:ser>
        <c:ser>
          <c:idx val="3"/>
          <c:order val="3"/>
          <c:tx>
            <c:strRef>
              <c:f>'Sub Array'!$K$82</c:f>
              <c:strCache>
                <c:ptCount val="1"/>
                <c:pt idx="0">
                  <c:v>Mixer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 Array'!$L$78:$P$78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Array'!$L$82:$P$82</c:f>
              <c:numCache>
                <c:formatCode>0.0</c:formatCode>
                <c:ptCount val="5"/>
                <c:pt idx="0">
                  <c:v>0.16</c:v>
                </c:pt>
                <c:pt idx="1">
                  <c:v>0.24</c:v>
                </c:pt>
                <c:pt idx="2">
                  <c:v>0.32</c:v>
                </c:pt>
                <c:pt idx="3">
                  <c:v>0.48</c:v>
                </c:pt>
                <c:pt idx="4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53-4362-8073-29FA7FD6E68D}"/>
            </c:ext>
          </c:extLst>
        </c:ser>
        <c:ser>
          <c:idx val="4"/>
          <c:order val="4"/>
          <c:tx>
            <c:strRef>
              <c:f>'Sub Array'!$K$83</c:f>
              <c:strCache>
                <c:ptCount val="1"/>
                <c:pt idx="0">
                  <c:v> VCO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'Sub Array'!$L$78:$P$78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Array'!$L$83:$P$83</c:f>
              <c:numCache>
                <c:formatCode>0.0</c:formatCode>
                <c:ptCount val="5"/>
                <c:pt idx="0">
                  <c:v>0.96</c:v>
                </c:pt>
                <c:pt idx="1">
                  <c:v>1.44</c:v>
                </c:pt>
                <c:pt idx="2">
                  <c:v>1.92</c:v>
                </c:pt>
                <c:pt idx="3">
                  <c:v>2.88</c:v>
                </c:pt>
                <c:pt idx="4">
                  <c:v>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53-4362-8073-29FA7FD6E68D}"/>
            </c:ext>
          </c:extLst>
        </c:ser>
        <c:ser>
          <c:idx val="5"/>
          <c:order val="5"/>
          <c:tx>
            <c:strRef>
              <c:f>'Sub Array'!$K$84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'Sub Array'!$L$78:$P$78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Array'!$L$84:$P$84</c:f>
              <c:numCache>
                <c:formatCode>0.0</c:formatCode>
                <c:ptCount val="5"/>
                <c:pt idx="0">
                  <c:v>2.56</c:v>
                </c:pt>
                <c:pt idx="1">
                  <c:v>3.84</c:v>
                </c:pt>
                <c:pt idx="2">
                  <c:v>5.12</c:v>
                </c:pt>
                <c:pt idx="3">
                  <c:v>7.68</c:v>
                </c:pt>
                <c:pt idx="4">
                  <c:v>10.24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53-4362-8073-29FA7FD6E68D}"/>
            </c:ext>
          </c:extLst>
        </c:ser>
        <c:ser>
          <c:idx val="6"/>
          <c:order val="6"/>
          <c:tx>
            <c:strRef>
              <c:f>'Sub Array'!$K$85</c:f>
              <c:strCache>
                <c:ptCount val="1"/>
                <c:pt idx="0">
                  <c:v>RF Amp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'Sub Array'!$L$78:$P$78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Array'!$L$85:$P$85</c:f>
              <c:numCache>
                <c:formatCode>0.0</c:formatCode>
                <c:ptCount val="5"/>
                <c:pt idx="0">
                  <c:v>12.8</c:v>
                </c:pt>
                <c:pt idx="1">
                  <c:v>19.2</c:v>
                </c:pt>
                <c:pt idx="2">
                  <c:v>25.6</c:v>
                </c:pt>
                <c:pt idx="3">
                  <c:v>38.4</c:v>
                </c:pt>
                <c:pt idx="4">
                  <c:v>51.2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53-4362-8073-29FA7FD6E68D}"/>
            </c:ext>
          </c:extLst>
        </c:ser>
        <c:ser>
          <c:idx val="7"/>
          <c:order val="7"/>
          <c:tx>
            <c:strRef>
              <c:f>'Sub Array'!$K$86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'Sub Array'!$L$78:$P$78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Array'!$L$86:$P$86</c:f>
              <c:numCache>
                <c:formatCode>0.0</c:formatCode>
                <c:ptCount val="5"/>
                <c:pt idx="0">
                  <c:v>587.25709384706283</c:v>
                </c:pt>
                <c:pt idx="1">
                  <c:v>429.36661336447702</c:v>
                </c:pt>
                <c:pt idx="2">
                  <c:v>327.21128365076476</c:v>
                </c:pt>
                <c:pt idx="3">
                  <c:v>194.01185656486786</c:v>
                </c:pt>
                <c:pt idx="4">
                  <c:v>133.91470581801565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53-4362-8073-29FA7FD6E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42208"/>
        <c:axId val="516343848"/>
        <c:extLst>
          <c:ext xmlns:c15="http://schemas.microsoft.com/office/drawing/2012/chart" uri="{02D57815-91ED-43cb-92C2-25804820EDAC}">
            <c15:filteredArea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'Sub Array'!#REF!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'Sub Array'!$L$78:$P$78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256</c:v>
                      </c:pt>
                      <c:pt idx="1">
                        <c:v>384</c:v>
                      </c:pt>
                      <c:pt idx="2">
                        <c:v>512</c:v>
                      </c:pt>
                      <c:pt idx="3">
                        <c:v>768</c:v>
                      </c:pt>
                      <c:pt idx="4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'Sub Array'!#REF!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7F53-4362-8073-29FA7FD6E68D}"/>
                  </c:ext>
                </c:extLst>
              </c15:ser>
            </c15:filteredAreaSeries>
          </c:ext>
        </c:extLst>
      </c:areaChart>
      <c:catAx>
        <c:axId val="5163422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43848"/>
        <c:crosses val="autoZero"/>
        <c:auto val="1"/>
        <c:lblAlgn val="ctr"/>
        <c:lblOffset val="100"/>
        <c:noMultiLvlLbl val="0"/>
      </c:catAx>
      <c:valAx>
        <c:axId val="51634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4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209215292955307E-2"/>
          <c:y val="0.81579272793925639"/>
          <c:w val="0.97304651557338617"/>
          <c:h val="0.157406582066167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Backhauling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1689199227456"/>
          <c:y val="0.1424317617866005"/>
          <c:w val="0.807311840736889"/>
          <c:h val="0.57722566316927515"/>
        </c:manualLayout>
      </c:layout>
      <c:areaChart>
        <c:grouping val="stacked"/>
        <c:varyColors val="0"/>
        <c:ser>
          <c:idx val="0"/>
          <c:order val="0"/>
          <c:tx>
            <c:strRef>
              <c:f>'Sub Array'!$K$89</c:f>
              <c:strCache>
                <c:ptCount val="1"/>
                <c:pt idx="0">
                  <c:v>BB Precoding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'Sub Array'!$L$88:$P$88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Array'!$L$89:$P$89</c:f>
              <c:numCache>
                <c:formatCode>0.0</c:formatCode>
                <c:ptCount val="5"/>
                <c:pt idx="0">
                  <c:v>7.5715384615384615E-2</c:v>
                </c:pt>
                <c:pt idx="1">
                  <c:v>0.11337692307692308</c:v>
                </c:pt>
                <c:pt idx="2">
                  <c:v>0.15103846153846154</c:v>
                </c:pt>
                <c:pt idx="3">
                  <c:v>0.22636153846153845</c:v>
                </c:pt>
                <c:pt idx="4">
                  <c:v>0.30168461538461538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8-4EA5-B3F9-BE5927D6F7E6}"/>
            </c:ext>
          </c:extLst>
        </c:ser>
        <c:ser>
          <c:idx val="1"/>
          <c:order val="1"/>
          <c:tx>
            <c:strRef>
              <c:f>'Sub Array'!$K$90</c:f>
              <c:strCache>
                <c:ptCount val="1"/>
                <c:pt idx="0">
                  <c:v>SERDES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'Sub Array'!$L$88:$P$88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Array'!$L$90:$P$90</c:f>
              <c:numCache>
                <c:formatCode>0.0</c:formatCode>
                <c:ptCount val="5"/>
                <c:pt idx="0">
                  <c:v>0.15550013235050239</c:v>
                </c:pt>
                <c:pt idx="1">
                  <c:v>0.15558771802374671</c:v>
                </c:pt>
                <c:pt idx="2">
                  <c:v>0.15552931556098185</c:v>
                </c:pt>
                <c:pt idx="3">
                  <c:v>0.15536190123422616</c:v>
                </c:pt>
                <c:pt idx="4">
                  <c:v>0.15527516543812797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8-4EA5-B3F9-BE5927D6F7E6}"/>
            </c:ext>
          </c:extLst>
        </c:ser>
        <c:ser>
          <c:idx val="2"/>
          <c:order val="2"/>
          <c:tx>
            <c:strRef>
              <c:f>'Sub Array'!$K$91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'Sub Array'!$L$88:$P$88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Array'!$L$91:$P$91</c:f>
              <c:numCache>
                <c:formatCode>0.0</c:formatCode>
                <c:ptCount val="5"/>
                <c:pt idx="0">
                  <c:v>1.2336737178273098</c:v>
                </c:pt>
                <c:pt idx="1">
                  <c:v>1.8571308647411484</c:v>
                </c:pt>
                <c:pt idx="2">
                  <c:v>2.4702850739698587</c:v>
                </c:pt>
                <c:pt idx="3">
                  <c:v>3.6802203254713719</c:v>
                </c:pt>
                <c:pt idx="4">
                  <c:v>4.8896375678908388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D8-4EA5-B3F9-BE5927D6F7E6}"/>
            </c:ext>
          </c:extLst>
        </c:ser>
        <c:ser>
          <c:idx val="3"/>
          <c:order val="3"/>
          <c:tx>
            <c:strRef>
              <c:f>'Sub Array'!$K$92</c:f>
              <c:strCache>
                <c:ptCount val="1"/>
                <c:pt idx="0">
                  <c:v>Mixer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'Sub Array'!$L$88:$P$88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Array'!$L$92:$P$92</c:f>
              <c:numCache>
                <c:formatCode>0.0</c:formatCode>
                <c:ptCount val="5"/>
                <c:pt idx="0">
                  <c:v>0.16</c:v>
                </c:pt>
                <c:pt idx="1">
                  <c:v>0.24</c:v>
                </c:pt>
                <c:pt idx="2">
                  <c:v>0.32</c:v>
                </c:pt>
                <c:pt idx="3">
                  <c:v>0.48</c:v>
                </c:pt>
                <c:pt idx="4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D8-4EA5-B3F9-BE5927D6F7E6}"/>
            </c:ext>
          </c:extLst>
        </c:ser>
        <c:ser>
          <c:idx val="4"/>
          <c:order val="4"/>
          <c:tx>
            <c:strRef>
              <c:f>'Sub Array'!$K$93</c:f>
              <c:strCache>
                <c:ptCount val="1"/>
                <c:pt idx="0">
                  <c:v> VCO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'Sub Array'!$L$88:$P$88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Array'!$L$93:$P$93</c:f>
              <c:numCache>
                <c:formatCode>0.0</c:formatCode>
                <c:ptCount val="5"/>
                <c:pt idx="0">
                  <c:v>0.96</c:v>
                </c:pt>
                <c:pt idx="1">
                  <c:v>1.44</c:v>
                </c:pt>
                <c:pt idx="2">
                  <c:v>1.92</c:v>
                </c:pt>
                <c:pt idx="3">
                  <c:v>2.88</c:v>
                </c:pt>
                <c:pt idx="4">
                  <c:v>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D8-4EA5-B3F9-BE5927D6F7E6}"/>
            </c:ext>
          </c:extLst>
        </c:ser>
        <c:ser>
          <c:idx val="5"/>
          <c:order val="5"/>
          <c:tx>
            <c:strRef>
              <c:f>'Sub Array'!$K$94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'Sub Array'!$L$88:$P$88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Array'!$L$94:$P$94</c:f>
              <c:numCache>
                <c:formatCode>0.0</c:formatCode>
                <c:ptCount val="5"/>
                <c:pt idx="0">
                  <c:v>2.56</c:v>
                </c:pt>
                <c:pt idx="1">
                  <c:v>3.84</c:v>
                </c:pt>
                <c:pt idx="2">
                  <c:v>5.12</c:v>
                </c:pt>
                <c:pt idx="3">
                  <c:v>7.68</c:v>
                </c:pt>
                <c:pt idx="4">
                  <c:v>10.24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D8-4EA5-B3F9-BE5927D6F7E6}"/>
            </c:ext>
          </c:extLst>
        </c:ser>
        <c:ser>
          <c:idx val="6"/>
          <c:order val="6"/>
          <c:tx>
            <c:strRef>
              <c:f>'Sub Array'!$K$95</c:f>
              <c:strCache>
                <c:ptCount val="1"/>
                <c:pt idx="0">
                  <c:v>RF Amp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'Sub Array'!$L$88:$P$88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Array'!$L$95:$P$95</c:f>
              <c:numCache>
                <c:formatCode>0.0</c:formatCode>
                <c:ptCount val="5"/>
                <c:pt idx="0">
                  <c:v>12.8</c:v>
                </c:pt>
                <c:pt idx="1">
                  <c:v>19.2</c:v>
                </c:pt>
                <c:pt idx="2">
                  <c:v>25.6</c:v>
                </c:pt>
                <c:pt idx="3">
                  <c:v>38.4</c:v>
                </c:pt>
                <c:pt idx="4">
                  <c:v>51.2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D8-4EA5-B3F9-BE5927D6F7E6}"/>
            </c:ext>
          </c:extLst>
        </c:ser>
        <c:ser>
          <c:idx val="7"/>
          <c:order val="7"/>
          <c:tx>
            <c:strRef>
              <c:f>'Sub Array'!$K$96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'Sub Array'!$L$88:$P$88</c:f>
              <c:numCache>
                <c:formatCode>0</c:formatCode>
                <c:ptCount val="5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</c:numCache>
            </c:numRef>
          </c:cat>
          <c:val>
            <c:numRef>
              <c:f>'Sub Array'!$L$96:$P$96</c:f>
              <c:numCache>
                <c:formatCode>0.0</c:formatCode>
                <c:ptCount val="5"/>
                <c:pt idx="0">
                  <c:v>109.35238803666338</c:v>
                </c:pt>
                <c:pt idx="1">
                  <c:v>73.422348464170625</c:v>
                </c:pt>
                <c:pt idx="2">
                  <c:v>54.806020850631405</c:v>
                </c:pt>
                <c:pt idx="3">
                  <c:v>36.043609146682343</c:v>
                </c:pt>
                <c:pt idx="4">
                  <c:v>26.842828186504683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D8-4EA5-B3F9-BE5927D6F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36304"/>
        <c:axId val="516336960"/>
        <c:extLst>
          <c:ext xmlns:c15="http://schemas.microsoft.com/office/drawing/2012/chart" uri="{02D57815-91ED-43cb-92C2-25804820EDAC}">
            <c15:filteredArea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'Sub Array'!#REF!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'Sub Array'!$L$88:$P$88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256</c:v>
                      </c:pt>
                      <c:pt idx="1">
                        <c:v>384</c:v>
                      </c:pt>
                      <c:pt idx="2">
                        <c:v>512</c:v>
                      </c:pt>
                      <c:pt idx="3">
                        <c:v>768</c:v>
                      </c:pt>
                      <c:pt idx="4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'Sub Array'!#REF!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AAD8-4EA5-B3F9-BE5927D6F7E6}"/>
                  </c:ext>
                </c:extLst>
              </c15:ser>
            </c15:filteredAreaSeries>
          </c:ext>
        </c:extLst>
      </c:areaChart>
      <c:catAx>
        <c:axId val="5163363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36960"/>
        <c:crosses val="autoZero"/>
        <c:auto val="1"/>
        <c:lblAlgn val="ctr"/>
        <c:lblOffset val="100"/>
        <c:noMultiLvlLbl val="0"/>
      </c:catAx>
      <c:valAx>
        <c:axId val="5163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3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89486455702481E-2"/>
          <c:y val="0.83041545365142011"/>
          <c:w val="0.93336799881146937"/>
          <c:h val="0.1497334297232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Case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'Full Conn Hybrd'!$J$70</c:f>
              <c:strCache>
                <c:ptCount val="1"/>
                <c:pt idx="0">
                  <c:v>BB Precoding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'Full Conn Hybrd'!$K$69:$N$69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'Full Conn Hybrd'!$K$70:$N$70</c:f>
              <c:numCache>
                <c:formatCode>General</c:formatCode>
                <c:ptCount val="4"/>
                <c:pt idx="0">
                  <c:v>6.2769230769230772E-2</c:v>
                </c:pt>
                <c:pt idx="1">
                  <c:v>6.2769230769230772E-2</c:v>
                </c:pt>
                <c:pt idx="2">
                  <c:v>6.2769230769230772E-2</c:v>
                </c:pt>
                <c:pt idx="3">
                  <c:v>6.2769230769230772E-2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6-4D40-9384-601989A49B5D}"/>
            </c:ext>
          </c:extLst>
        </c:ser>
        <c:ser>
          <c:idx val="1"/>
          <c:order val="1"/>
          <c:tx>
            <c:strRef>
              <c:f>'Full Conn Hybrd'!$J$71</c:f>
              <c:strCache>
                <c:ptCount val="1"/>
                <c:pt idx="0">
                  <c:v>SERDES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'Full Conn Hybrd'!$K$69:$N$69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'Full Conn Hybrd'!$K$71:$N$71</c:f>
              <c:numCache>
                <c:formatCode>General</c:formatCode>
                <c:ptCount val="4"/>
                <c:pt idx="0">
                  <c:v>0.96675373038484058</c:v>
                </c:pt>
                <c:pt idx="1">
                  <c:v>0.96018719606867631</c:v>
                </c:pt>
                <c:pt idx="2">
                  <c:v>0.9568078814546308</c:v>
                </c:pt>
                <c:pt idx="3">
                  <c:v>0.95566066175251208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6-4D40-9384-601989A49B5D}"/>
            </c:ext>
          </c:extLst>
        </c:ser>
        <c:ser>
          <c:idx val="2"/>
          <c:order val="2"/>
          <c:tx>
            <c:strRef>
              <c:f>'Full Conn Hybrd'!$J$72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'Full Conn Hybrd'!$K$69:$N$69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'Full Conn Hybrd'!$K$72:$N$72</c:f>
              <c:numCache>
                <c:formatCode>General</c:formatCode>
                <c:ptCount val="4"/>
                <c:pt idx="0">
                  <c:v>0.24748895497851919</c:v>
                </c:pt>
                <c:pt idx="1">
                  <c:v>0.24580792219358114</c:v>
                </c:pt>
                <c:pt idx="2">
                  <c:v>0.24494281765238549</c:v>
                </c:pt>
                <c:pt idx="3">
                  <c:v>0.24464912940864308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86-4D40-9384-601989A49B5D}"/>
            </c:ext>
          </c:extLst>
        </c:ser>
        <c:ser>
          <c:idx val="3"/>
          <c:order val="3"/>
          <c:tx>
            <c:strRef>
              <c:f>'Full Conn Hybrd'!$J$73</c:f>
              <c:strCache>
                <c:ptCount val="1"/>
                <c:pt idx="0">
                  <c:v>Mixer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'Full Conn Hybrd'!$K$69:$N$69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'Full Conn Hybrd'!$K$73:$N$73</c:f>
              <c:numCache>
                <c:formatCode>General</c:formatCode>
                <c:ptCount val="4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86-4D40-9384-601989A49B5D}"/>
            </c:ext>
          </c:extLst>
        </c:ser>
        <c:ser>
          <c:idx val="4"/>
          <c:order val="4"/>
          <c:tx>
            <c:strRef>
              <c:f>'Full Conn Hybrd'!$J$74</c:f>
              <c:strCache>
                <c:ptCount val="1"/>
                <c:pt idx="0">
                  <c:v>VCO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'Full Conn Hybrd'!$K$69:$N$69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'Full Conn Hybrd'!$K$74:$N$74</c:f>
              <c:numCache>
                <c:formatCode>General</c:formatCode>
                <c:ptCount val="4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86-4D40-9384-601989A49B5D}"/>
            </c:ext>
          </c:extLst>
        </c:ser>
        <c:ser>
          <c:idx val="5"/>
          <c:order val="5"/>
          <c:tx>
            <c:strRef>
              <c:f>'Full Conn Hybrd'!$J$75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'Full Conn Hybrd'!$K$69:$N$69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'Full Conn Hybrd'!$K$75:$N$75</c:f>
              <c:numCache>
                <c:formatCode>General</c:formatCode>
                <c:ptCount val="4"/>
                <c:pt idx="0">
                  <c:v>5.12</c:v>
                </c:pt>
                <c:pt idx="1">
                  <c:v>10.24</c:v>
                </c:pt>
                <c:pt idx="2">
                  <c:v>15.36</c:v>
                </c:pt>
                <c:pt idx="3">
                  <c:v>20.48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86-4D40-9384-601989A49B5D}"/>
            </c:ext>
          </c:extLst>
        </c:ser>
        <c:ser>
          <c:idx val="6"/>
          <c:order val="6"/>
          <c:tx>
            <c:strRef>
              <c:f>'Full Conn Hybrd'!$J$76</c:f>
              <c:strCache>
                <c:ptCount val="1"/>
                <c:pt idx="0">
                  <c:v>RF Amp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'Full Conn Hybrd'!$K$69:$N$69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'Full Conn Hybrd'!$K$76:$N$76</c:f>
              <c:numCache>
                <c:formatCode>General</c:formatCode>
                <c:ptCount val="4"/>
                <c:pt idx="0">
                  <c:v>16.213333333333331</c:v>
                </c:pt>
                <c:pt idx="1">
                  <c:v>32.426666666666662</c:v>
                </c:pt>
                <c:pt idx="2">
                  <c:v>48.64</c:v>
                </c:pt>
                <c:pt idx="3">
                  <c:v>64.853333333333325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86-4D40-9384-601989A49B5D}"/>
            </c:ext>
          </c:extLst>
        </c:ser>
        <c:ser>
          <c:idx val="7"/>
          <c:order val="7"/>
          <c:tx>
            <c:strRef>
              <c:f>'Full Conn Hybrd'!$J$77</c:f>
              <c:strCache>
                <c:ptCount val="1"/>
                <c:pt idx="0">
                  <c:v> PA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'Full Conn Hybrd'!$K$69:$N$69</c:f>
              <c:numCache>
                <c:formatCode>0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</c:numCache>
            </c:numRef>
          </c:cat>
          <c:val>
            <c:numRef>
              <c:f>'Full Conn Hybrd'!$K$77:$N$77</c:f>
              <c:numCache>
                <c:formatCode>General</c:formatCode>
                <c:ptCount val="4"/>
                <c:pt idx="0">
                  <c:v>100.19089856296283</c:v>
                </c:pt>
                <c:pt idx="1">
                  <c:v>46.862804095038825</c:v>
                </c:pt>
                <c:pt idx="2">
                  <c:v>30.187578093882777</c:v>
                </c:pt>
                <c:pt idx="3">
                  <c:v>22.378360801066528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86-4D40-9384-601989A49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512672"/>
        <c:axId val="591517592"/>
      </c:areaChart>
      <c:catAx>
        <c:axId val="5915126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17592"/>
        <c:crosses val="autoZero"/>
        <c:auto val="1"/>
        <c:lblAlgn val="ctr"/>
        <c:lblOffset val="100"/>
        <c:noMultiLvlLbl val="0"/>
      </c:catAx>
      <c:valAx>
        <c:axId val="5915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 Case II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'Full Conn Hybrd'!$J$81</c:f>
              <c:strCache>
                <c:ptCount val="1"/>
                <c:pt idx="0">
                  <c:v>BB Precoding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'Full Conn Hybrd'!$K$80:$N$80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Hybrd'!$K$81:$N$81</c:f>
              <c:numCache>
                <c:formatCode>General</c:formatCode>
                <c:ptCount val="4"/>
                <c:pt idx="0">
                  <c:v>1.0984615384615384E-2</c:v>
                </c:pt>
                <c:pt idx="1">
                  <c:v>1.0984615384615384E-2</c:v>
                </c:pt>
                <c:pt idx="2">
                  <c:v>1.0984615384615384E-2</c:v>
                </c:pt>
                <c:pt idx="3">
                  <c:v>1.0984615384615384E-2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F-4FE9-8A32-BEFCEF8727E9}"/>
            </c:ext>
          </c:extLst>
        </c:ser>
        <c:ser>
          <c:idx val="1"/>
          <c:order val="1"/>
          <c:tx>
            <c:strRef>
              <c:f>'Full Conn Hybrd'!$J$82</c:f>
              <c:strCache>
                <c:ptCount val="1"/>
                <c:pt idx="0">
                  <c:v>SERDES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'Full Conn Hybrd'!$K$80:$N$80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Hybrd'!$K$82:$N$82</c:f>
              <c:numCache>
                <c:formatCode>General</c:formatCode>
                <c:ptCount val="4"/>
                <c:pt idx="0">
                  <c:v>0.14633040295986779</c:v>
                </c:pt>
                <c:pt idx="1">
                  <c:v>0.14593026470100481</c:v>
                </c:pt>
                <c:pt idx="2">
                  <c:v>0.14548210271416007</c:v>
                </c:pt>
                <c:pt idx="3">
                  <c:v>0.14513863112196376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F-4FE9-8A32-BEFCEF8727E9}"/>
            </c:ext>
          </c:extLst>
        </c:ser>
        <c:ser>
          <c:idx val="2"/>
          <c:order val="2"/>
          <c:tx>
            <c:strRef>
              <c:f>'Full Conn Hybrd'!$J$83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'Full Conn Hybrd'!$K$80:$N$80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Hybrd'!$K$83:$N$83</c:f>
              <c:numCache>
                <c:formatCode>General</c:formatCode>
                <c:ptCount val="4"/>
                <c:pt idx="0">
                  <c:v>1.8730291578863082E-2</c:v>
                </c:pt>
                <c:pt idx="1">
                  <c:v>1.8679073881728615E-2</c:v>
                </c:pt>
                <c:pt idx="2">
                  <c:v>1.8621709147412492E-2</c:v>
                </c:pt>
                <c:pt idx="3">
                  <c:v>1.857774478361136E-2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9F-4FE9-8A32-BEFCEF8727E9}"/>
            </c:ext>
          </c:extLst>
        </c:ser>
        <c:ser>
          <c:idx val="3"/>
          <c:order val="3"/>
          <c:tx>
            <c:strRef>
              <c:f>'Full Conn Hybrd'!$J$84</c:f>
              <c:strCache>
                <c:ptCount val="1"/>
                <c:pt idx="0">
                  <c:v>Mixer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'Full Conn Hybrd'!$K$80:$N$80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Hybrd'!$K$84:$N$84</c:f>
              <c:numCache>
                <c:formatCode>General</c:formatCode>
                <c:ptCount val="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9F-4FE9-8A32-BEFCEF8727E9}"/>
            </c:ext>
          </c:extLst>
        </c:ser>
        <c:ser>
          <c:idx val="4"/>
          <c:order val="4"/>
          <c:tx>
            <c:strRef>
              <c:f>'Full Conn Hybrd'!$J$85</c:f>
              <c:strCache>
                <c:ptCount val="1"/>
                <c:pt idx="0">
                  <c:v>VCO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'Full Conn Hybrd'!$K$80:$N$80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Hybrd'!$K$85:$N$85</c:f>
              <c:numCache>
                <c:formatCode>General</c:formatCode>
                <c:ptCount val="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9F-4FE9-8A32-BEFCEF8727E9}"/>
            </c:ext>
          </c:extLst>
        </c:ser>
        <c:ser>
          <c:idx val="5"/>
          <c:order val="5"/>
          <c:tx>
            <c:strRef>
              <c:f>'Full Conn Hybrd'!$J$86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'Full Conn Hybrd'!$K$80:$N$80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Hybrd'!$K$86:$N$86</c:f>
              <c:numCache>
                <c:formatCode>General</c:formatCode>
                <c:ptCount val="4"/>
                <c:pt idx="0">
                  <c:v>7.68</c:v>
                </c:pt>
                <c:pt idx="1">
                  <c:v>10.24</c:v>
                </c:pt>
                <c:pt idx="2">
                  <c:v>15.36</c:v>
                </c:pt>
                <c:pt idx="3">
                  <c:v>20.48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9F-4FE9-8A32-BEFCEF8727E9}"/>
            </c:ext>
          </c:extLst>
        </c:ser>
        <c:ser>
          <c:idx val="6"/>
          <c:order val="6"/>
          <c:tx>
            <c:strRef>
              <c:f>'Full Conn Hybrd'!$J$87</c:f>
              <c:strCache>
                <c:ptCount val="1"/>
                <c:pt idx="0">
                  <c:v>RF Amp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'Full Conn Hybrd'!$K$80:$N$80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Hybrd'!$K$87:$N$87</c:f>
              <c:numCache>
                <c:formatCode>General</c:formatCode>
                <c:ptCount val="4"/>
                <c:pt idx="0">
                  <c:v>35.840000000000003</c:v>
                </c:pt>
                <c:pt idx="1">
                  <c:v>47.786666666666662</c:v>
                </c:pt>
                <c:pt idx="2">
                  <c:v>71.680000000000007</c:v>
                </c:pt>
                <c:pt idx="3">
                  <c:v>95.573333333333323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9F-4FE9-8A32-BEFCEF8727E9}"/>
            </c:ext>
          </c:extLst>
        </c:ser>
        <c:ser>
          <c:idx val="7"/>
          <c:order val="7"/>
          <c:tx>
            <c:strRef>
              <c:f>'Full Conn Hybrd'!$J$88</c:f>
              <c:strCache>
                <c:ptCount val="1"/>
                <c:pt idx="0">
                  <c:v> PA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'Full Conn Hybrd'!$K$80:$N$80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Hybrd'!$K$88:$N$88</c:f>
              <c:numCache>
                <c:formatCode>General</c:formatCode>
                <c:ptCount val="4"/>
                <c:pt idx="0">
                  <c:v>189.59560754192881</c:v>
                </c:pt>
                <c:pt idx="1">
                  <c:v>139.90340081908616</c:v>
                </c:pt>
                <c:pt idx="2">
                  <c:v>91.58582705120709</c:v>
                </c:pt>
                <c:pt idx="3">
                  <c:v>67.737360807644251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9F-4FE9-8A32-BEFCEF872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07160"/>
        <c:axId val="681309784"/>
      </c:areaChart>
      <c:catAx>
        <c:axId val="6813071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09784"/>
        <c:crosses val="autoZero"/>
        <c:auto val="1"/>
        <c:lblAlgn val="ctr"/>
        <c:lblOffset val="100"/>
        <c:noMultiLvlLbl val="0"/>
      </c:catAx>
      <c:valAx>
        <c:axId val="68130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0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Use Case III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'Full Conn Hybrd'!$J$92</c:f>
              <c:strCache>
                <c:ptCount val="1"/>
                <c:pt idx="0">
                  <c:v>BB Precoding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'Full Conn Hybrd'!$K$91:$N$91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Hybrd'!$K$92:$N$92</c:f>
              <c:numCache>
                <c:formatCode>General</c:formatCode>
                <c:ptCount val="4"/>
                <c:pt idx="0">
                  <c:v>5.0999999999999995E-3</c:v>
                </c:pt>
                <c:pt idx="1">
                  <c:v>5.0999999999999995E-3</c:v>
                </c:pt>
                <c:pt idx="2">
                  <c:v>5.0999999999999995E-3</c:v>
                </c:pt>
                <c:pt idx="3">
                  <c:v>5.0999999999999995E-3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C-4DAD-804D-529B9196EE8E}"/>
            </c:ext>
          </c:extLst>
        </c:ser>
        <c:ser>
          <c:idx val="1"/>
          <c:order val="1"/>
          <c:tx>
            <c:strRef>
              <c:f>'Full Conn Hybrd'!$J$93</c:f>
              <c:strCache>
                <c:ptCount val="1"/>
                <c:pt idx="0">
                  <c:v>SERDES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'Full Conn Hybrd'!$K$91:$N$91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Hybrd'!$K$93:$N$93</c:f>
              <c:numCache>
                <c:formatCode>General</c:formatCode>
                <c:ptCount val="4"/>
                <c:pt idx="0">
                  <c:v>0.15558771802374671</c:v>
                </c:pt>
                <c:pt idx="1">
                  <c:v>0.15552931556098185</c:v>
                </c:pt>
                <c:pt idx="2">
                  <c:v>0.15536190123422616</c:v>
                </c:pt>
                <c:pt idx="3">
                  <c:v>0.15527516543812797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C-4DAD-804D-529B9196EE8E}"/>
            </c:ext>
          </c:extLst>
        </c:ser>
        <c:ser>
          <c:idx val="2"/>
          <c:order val="2"/>
          <c:tx>
            <c:strRef>
              <c:f>'Full Conn Hybrd'!$J$94</c:f>
              <c:strCache>
                <c:ptCount val="1"/>
                <c:pt idx="0">
                  <c:v>DAC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'Full Conn Hybrd'!$K$91:$N$91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Hybrd'!$K$94:$N$94</c:f>
              <c:numCache>
                <c:formatCode>General</c:formatCode>
                <c:ptCount val="4"/>
                <c:pt idx="0">
                  <c:v>1.2745745860505331</c:v>
                </c:pt>
                <c:pt idx="1">
                  <c:v>1.2740961530755632</c:v>
                </c:pt>
                <c:pt idx="2">
                  <c:v>1.2727246949107809</c:v>
                </c:pt>
                <c:pt idx="3">
                  <c:v>1.2720141552691446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C-4DAD-804D-529B9196EE8E}"/>
            </c:ext>
          </c:extLst>
        </c:ser>
        <c:ser>
          <c:idx val="3"/>
          <c:order val="3"/>
          <c:tx>
            <c:strRef>
              <c:f>'Full Conn Hybrd'!$J$95</c:f>
              <c:strCache>
                <c:ptCount val="1"/>
                <c:pt idx="0">
                  <c:v>Mixer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'Full Conn Hybrd'!$K$91:$N$91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Hybrd'!$K$95:$N$95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0C-4DAD-804D-529B9196EE8E}"/>
            </c:ext>
          </c:extLst>
        </c:ser>
        <c:ser>
          <c:idx val="4"/>
          <c:order val="4"/>
          <c:tx>
            <c:strRef>
              <c:f>'Full Conn Hybrd'!$J$96</c:f>
              <c:strCache>
                <c:ptCount val="1"/>
                <c:pt idx="0">
                  <c:v>VCO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'Full Conn Hybrd'!$K$91:$N$91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Hybrd'!$K$96:$N$96</c:f>
              <c:numCache>
                <c:formatCode>General</c:formatCode>
                <c:ptCount val="4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0C-4DAD-804D-529B9196EE8E}"/>
            </c:ext>
          </c:extLst>
        </c:ser>
        <c:ser>
          <c:idx val="5"/>
          <c:order val="5"/>
          <c:tx>
            <c:strRef>
              <c:f>'Full Conn Hybrd'!$J$97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'Full Conn Hybrd'!$K$91:$N$91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Hybrd'!$K$97:$N$97</c:f>
              <c:numCache>
                <c:formatCode>General</c:formatCode>
                <c:ptCount val="4"/>
                <c:pt idx="0">
                  <c:v>3.84</c:v>
                </c:pt>
                <c:pt idx="1">
                  <c:v>5.12</c:v>
                </c:pt>
                <c:pt idx="2">
                  <c:v>7.68</c:v>
                </c:pt>
                <c:pt idx="3">
                  <c:v>10.24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0C-4DAD-804D-529B9196EE8E}"/>
            </c:ext>
          </c:extLst>
        </c:ser>
        <c:ser>
          <c:idx val="6"/>
          <c:order val="6"/>
          <c:tx>
            <c:strRef>
              <c:f>'Full Conn Hybrd'!$J$98</c:f>
              <c:strCache>
                <c:ptCount val="1"/>
                <c:pt idx="0">
                  <c:v>RF Amp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'Full Conn Hybrd'!$K$91:$N$91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Hybrd'!$K$98:$N$98</c:f>
              <c:numCache>
                <c:formatCode>General</c:formatCode>
                <c:ptCount val="4"/>
                <c:pt idx="0">
                  <c:v>25.6</c:v>
                </c:pt>
                <c:pt idx="1">
                  <c:v>34.133333333333326</c:v>
                </c:pt>
                <c:pt idx="2">
                  <c:v>51.2</c:v>
                </c:pt>
                <c:pt idx="3">
                  <c:v>68.266666666666652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0C-4DAD-804D-529B9196EE8E}"/>
            </c:ext>
          </c:extLst>
        </c:ser>
        <c:ser>
          <c:idx val="7"/>
          <c:order val="7"/>
          <c:tx>
            <c:strRef>
              <c:f>'Full Conn Hybrd'!$J$99</c:f>
              <c:strCache>
                <c:ptCount val="1"/>
                <c:pt idx="0">
                  <c:v> PA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'Full Conn Hybrd'!$K$91:$N$91</c:f>
              <c:numCache>
                <c:formatCode>0</c:formatCode>
                <c:ptCount val="4"/>
                <c:pt idx="0">
                  <c:v>384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</c:numCache>
            </c:numRef>
          </c:cat>
          <c:val>
            <c:numRef>
              <c:f>'Full Conn Hybrd'!$K$99:$N$99</c:f>
              <c:numCache>
                <c:formatCode>General</c:formatCode>
                <c:ptCount val="4"/>
                <c:pt idx="0">
                  <c:v>73.422348464170625</c:v>
                </c:pt>
                <c:pt idx="1">
                  <c:v>54.806020850631405</c:v>
                </c:pt>
                <c:pt idx="2">
                  <c:v>36.043609146682343</c:v>
                </c:pt>
                <c:pt idx="3">
                  <c:v>26.842828186504683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0C-4DAD-804D-529B9196E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73912"/>
        <c:axId val="684174240"/>
      </c:areaChart>
      <c:catAx>
        <c:axId val="684173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74240"/>
        <c:crosses val="autoZero"/>
        <c:auto val="1"/>
        <c:lblAlgn val="ctr"/>
        <c:lblOffset val="100"/>
        <c:noMultiLvlLbl val="0"/>
      </c:catAx>
      <c:valAx>
        <c:axId val="6841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7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133350</xdr:rowOff>
    </xdr:from>
    <xdr:to>
      <xdr:col>6</xdr:col>
      <xdr:colOff>581090</xdr:colOff>
      <xdr:row>14</xdr:row>
      <xdr:rowOff>16788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18B5636B-5EA1-43EE-BAD9-B1B256F2E4B0}"/>
            </a:ext>
          </a:extLst>
        </xdr:cNvPr>
        <xdr:cNvGrpSpPr/>
      </xdr:nvGrpSpPr>
      <xdr:grpSpPr>
        <a:xfrm>
          <a:off x="457200" y="323850"/>
          <a:ext cx="3781490" cy="2359938"/>
          <a:chOff x="376190" y="1104246"/>
          <a:chExt cx="3781490" cy="2359938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8F40FB67-10C1-46CA-A14A-23CACB4DC4D4}"/>
              </a:ext>
            </a:extLst>
          </xdr:cNvPr>
          <xdr:cNvSpPr/>
        </xdr:nvSpPr>
        <xdr:spPr>
          <a:xfrm>
            <a:off x="1879374" y="1877050"/>
            <a:ext cx="1130077" cy="569726"/>
          </a:xfrm>
          <a:prstGeom prst="rect">
            <a:avLst/>
          </a:prstGeom>
          <a:solidFill>
            <a:srgbClr val="C5D9EC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7A79F031-4323-4FC5-9FE8-87369C54F17D}"/>
              </a:ext>
            </a:extLst>
          </xdr:cNvPr>
          <xdr:cNvCxnSpPr>
            <a:cxnSpLocks/>
          </xdr:cNvCxnSpPr>
        </xdr:nvCxnSpPr>
        <xdr:spPr>
          <a:xfrm>
            <a:off x="781306" y="3074073"/>
            <a:ext cx="2908044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>
            <a:extLst>
              <a:ext uri="{FF2B5EF4-FFF2-40B4-BE49-F238E27FC236}">
                <a16:creationId xmlns:a16="http://schemas.microsoft.com/office/drawing/2014/main" id="{04EE6C0E-F2D7-435B-AAAD-0D18B65C225C}"/>
              </a:ext>
            </a:extLst>
          </xdr:cNvPr>
          <xdr:cNvCxnSpPr>
            <a:cxnSpLocks/>
          </xdr:cNvCxnSpPr>
        </xdr:nvCxnSpPr>
        <xdr:spPr>
          <a:xfrm>
            <a:off x="811236" y="2108434"/>
            <a:ext cx="2878114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8" name="Rectangle 27">
                <a:extLst>
                  <a:ext uri="{FF2B5EF4-FFF2-40B4-BE49-F238E27FC236}">
                    <a16:creationId xmlns:a16="http://schemas.microsoft.com/office/drawing/2014/main" id="{1262067C-27BE-4935-ABED-6B45288E629A}"/>
                  </a:ext>
                </a:extLst>
              </xdr:cNvPr>
              <xdr:cNvSpPr/>
            </xdr:nvSpPr>
            <xdr:spPr>
              <a:xfrm>
                <a:off x="1870860" y="2938412"/>
                <a:ext cx="1138592" cy="223666"/>
              </a:xfrm>
              <a:prstGeom prst="rect">
                <a:avLst/>
              </a:prstGeom>
              <a:solidFill>
                <a:srgbClr val="C5D9EC"/>
              </a:solidFill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sz="1000">
                    <a:solidFill>
                      <a:schemeClr val="tx1"/>
                    </a:solidFill>
                  </a:rPr>
                  <a:t>RF Chain </a:t>
                </a:r>
                <a14:m>
                  <m:oMath xmlns:m="http://schemas.openxmlformats.org/officeDocument/2006/math">
                    <m:sSub>
                      <m:sSubPr>
                        <m:ctrlPr>
                          <a:rPr lang="en-US" sz="10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𝑵</m:t>
                        </m:r>
                      </m:e>
                      <m:sub>
                        <m:r>
                          <a:rPr lang="en-US" sz="10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</m:oMath>
                </a14:m>
                <a:endParaRPr lang="en-US" sz="1000">
                  <a:solidFill>
                    <a:schemeClr val="tx1"/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28" name="Rectangle 27">
                <a:extLst>
                  <a:ext uri="{FF2B5EF4-FFF2-40B4-BE49-F238E27FC236}">
                    <a16:creationId xmlns:a16="http://schemas.microsoft.com/office/drawing/2014/main" id="{1262067C-27BE-4935-ABED-6B45288E629A}"/>
                  </a:ext>
                </a:extLst>
              </xdr:cNvPr>
              <xdr:cNvSpPr/>
            </xdr:nvSpPr>
            <xdr:spPr>
              <a:xfrm>
                <a:off x="1870860" y="2938412"/>
                <a:ext cx="1138592" cy="223666"/>
              </a:xfrm>
              <a:prstGeom prst="rect">
                <a:avLst/>
              </a:prstGeom>
              <a:solidFill>
                <a:srgbClr val="C5D9EC"/>
              </a:solidFill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sz="1000">
                    <a:solidFill>
                      <a:schemeClr val="tx1"/>
                    </a:solidFill>
                  </a:rPr>
                  <a:t>RF Chain </a:t>
                </a:r>
                <a:r>
                  <a:rPr lang="en-US" sz="1000" b="1" i="0">
                    <a:solidFill>
                      <a:schemeClr val="tx1"/>
                    </a:solidFill>
                    <a:latin typeface="Cambria Math" panose="02040503050406030204" pitchFamily="18" charset="0"/>
                  </a:rPr>
                  <a:t>𝑵_𝒕</a:t>
                </a:r>
                <a:endParaRPr lang="en-US" sz="1000">
                  <a:solidFill>
                    <a:schemeClr val="tx1"/>
                  </a:solidFill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9" name="Rectangle 28">
                <a:extLst>
                  <a:ext uri="{FF2B5EF4-FFF2-40B4-BE49-F238E27FC236}">
                    <a16:creationId xmlns:a16="http://schemas.microsoft.com/office/drawing/2014/main" id="{71F02BA9-420E-4282-88B7-10434687AB5B}"/>
                  </a:ext>
                </a:extLst>
              </xdr:cNvPr>
              <xdr:cNvSpPr/>
            </xdr:nvSpPr>
            <xdr:spPr>
              <a:xfrm>
                <a:off x="401681" y="1946617"/>
                <a:ext cx="495026" cy="253916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05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05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en-US" sz="105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oMath>
                  </m:oMathPara>
                </a14:m>
                <a:endParaRPr lang="en-US" sz="1050" b="0"/>
              </a:p>
            </xdr:txBody>
          </xdr:sp>
        </mc:Choice>
        <mc:Fallback xmlns="">
          <xdr:sp macro="" textlink="">
            <xdr:nvSpPr>
              <xdr:cNvPr id="29" name="Rectangle 28">
                <a:extLst>
                  <a:ext uri="{FF2B5EF4-FFF2-40B4-BE49-F238E27FC236}">
                    <a16:creationId xmlns:a16="http://schemas.microsoft.com/office/drawing/2014/main" id="{71F02BA9-420E-4282-88B7-10434687AB5B}"/>
                  </a:ext>
                </a:extLst>
              </xdr:cNvPr>
              <xdr:cNvSpPr/>
            </xdr:nvSpPr>
            <xdr:spPr>
              <a:xfrm>
                <a:off x="401681" y="1946617"/>
                <a:ext cx="495026" cy="253916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9pPr>
              </a:lstStyle>
              <a:p>
                <a:pPr/>
                <a:r>
                  <a:rPr lang="en-US" sz="1050" b="0" i="0">
                    <a:latin typeface="Cambria Math" panose="02040503050406030204" pitchFamily="18" charset="0"/>
                  </a:rPr>
                  <a:t>𝑆_1</a:t>
                </a:r>
                <a:endParaRPr lang="en-US" sz="105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0" name="Rectangle 29">
                <a:extLst>
                  <a:ext uri="{FF2B5EF4-FFF2-40B4-BE49-F238E27FC236}">
                    <a16:creationId xmlns:a16="http://schemas.microsoft.com/office/drawing/2014/main" id="{89B267BF-A2A3-47A9-927F-0F8B971CE5A9}"/>
                  </a:ext>
                </a:extLst>
              </xdr:cNvPr>
              <xdr:cNvSpPr/>
            </xdr:nvSpPr>
            <xdr:spPr>
              <a:xfrm>
                <a:off x="401681" y="2908162"/>
                <a:ext cx="495026" cy="253916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05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05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en-US" sz="1050" b="0" i="1">
                              <a:latin typeface="Cambria Math" panose="02040503050406030204" pitchFamily="18" charset="0"/>
                            </a:rPr>
                            <m:t>𝑀</m:t>
                          </m:r>
                        </m:sub>
                      </m:sSub>
                    </m:oMath>
                  </m:oMathPara>
                </a14:m>
                <a:endParaRPr lang="en-US" sz="1050" b="0"/>
              </a:p>
            </xdr:txBody>
          </xdr:sp>
        </mc:Choice>
        <mc:Fallback xmlns="">
          <xdr:sp macro="" textlink="">
            <xdr:nvSpPr>
              <xdr:cNvPr id="30" name="Rectangle 29">
                <a:extLst>
                  <a:ext uri="{FF2B5EF4-FFF2-40B4-BE49-F238E27FC236}">
                    <a16:creationId xmlns:a16="http://schemas.microsoft.com/office/drawing/2014/main" id="{89B267BF-A2A3-47A9-927F-0F8B971CE5A9}"/>
                  </a:ext>
                </a:extLst>
              </xdr:cNvPr>
              <xdr:cNvSpPr/>
            </xdr:nvSpPr>
            <xdr:spPr>
              <a:xfrm>
                <a:off x="401681" y="2908162"/>
                <a:ext cx="495026" cy="253916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9pPr>
              </a:lstStyle>
              <a:p>
                <a:pPr/>
                <a:r>
                  <a:rPr lang="en-US" sz="1050" b="0" i="0">
                    <a:latin typeface="Cambria Math" panose="02040503050406030204" pitchFamily="18" charset="0"/>
                  </a:rPr>
                  <a:t>𝑆_𝑀</a:t>
                </a:r>
                <a:endParaRPr lang="en-US" sz="1050" b="0"/>
              </a:p>
            </xdr:txBody>
          </xdr:sp>
        </mc:Fallback>
      </mc:AlternateContent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8CC39532-1649-4257-8241-2E888E9B6AA6}"/>
              </a:ext>
            </a:extLst>
          </xdr:cNvPr>
          <xdr:cNvSpPr/>
        </xdr:nvSpPr>
        <xdr:spPr>
          <a:xfrm>
            <a:off x="2192731" y="2558500"/>
            <a:ext cx="369332" cy="451268"/>
          </a:xfrm>
          <a:prstGeom prst="rect">
            <a:avLst/>
          </a:prstGeom>
        </xdr:spPr>
        <xdr:txBody>
          <a:bodyPr vert="vert"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r>
              <a:rPr lang="en-US" sz="1200" b="0"/>
              <a:t>…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718A51A3-C82D-49BE-9AB8-736A5C73BD0B}"/>
              </a:ext>
            </a:extLst>
          </xdr:cNvPr>
          <xdr:cNvSpPr/>
        </xdr:nvSpPr>
        <xdr:spPr>
          <a:xfrm>
            <a:off x="523731" y="2441508"/>
            <a:ext cx="369332" cy="451268"/>
          </a:xfrm>
          <a:prstGeom prst="rect">
            <a:avLst/>
          </a:prstGeom>
        </xdr:spPr>
        <xdr:txBody>
          <a:bodyPr vert="vert"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r>
              <a:rPr lang="en-US" sz="1200" b="0"/>
              <a:t>…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263BDA73-C130-487D-BB43-12B198D8B3BE}"/>
              </a:ext>
            </a:extLst>
          </xdr:cNvPr>
          <xdr:cNvSpPr/>
        </xdr:nvSpPr>
        <xdr:spPr>
          <a:xfrm>
            <a:off x="896162" y="1835635"/>
            <a:ext cx="815171" cy="1628549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solidFill>
                  <a:schemeClr val="tx1"/>
                </a:solidFill>
              </a:rPr>
              <a:t>Digital Precoding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4" name="Rectangle 33">
                <a:extLst>
                  <a:ext uri="{FF2B5EF4-FFF2-40B4-BE49-F238E27FC236}">
                    <a16:creationId xmlns:a16="http://schemas.microsoft.com/office/drawing/2014/main" id="{84A45F0A-21C5-4AE8-AF04-B809B545B954}"/>
                  </a:ext>
                </a:extLst>
              </xdr:cNvPr>
              <xdr:cNvSpPr/>
            </xdr:nvSpPr>
            <xdr:spPr>
              <a:xfrm>
                <a:off x="3337568" y="1681631"/>
                <a:ext cx="820112" cy="415498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9pPr>
              </a:lstStyle>
              <a:p>
                <a:pPr algn="ctr"/>
                <a:r>
                  <a:rPr lang="en-US" sz="1050" b="0"/>
                  <a:t>Array size</a:t>
                </a:r>
              </a:p>
              <a:p>
                <a:pPr algn="ctr"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05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050" b="0" i="1">
                              <a:latin typeface="Cambria Math" panose="02040503050406030204" pitchFamily="18" charset="0"/>
                            </a:rPr>
                            <m:t>𝑁</m:t>
                          </m:r>
                        </m:e>
                        <m:sub>
                          <m:r>
                            <a:rPr lang="en-US" sz="105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</m:oMath>
                  </m:oMathPara>
                </a14:m>
                <a:endParaRPr lang="en-US" sz="1050" b="0"/>
              </a:p>
            </xdr:txBody>
          </xdr:sp>
        </mc:Choice>
        <mc:Fallback xmlns="">
          <xdr:sp macro="" textlink="">
            <xdr:nvSpPr>
              <xdr:cNvPr id="34" name="Rectangle 33">
                <a:extLst>
                  <a:ext uri="{FF2B5EF4-FFF2-40B4-BE49-F238E27FC236}">
                    <a16:creationId xmlns:a16="http://schemas.microsoft.com/office/drawing/2014/main" id="{84A45F0A-21C5-4AE8-AF04-B809B545B954}"/>
                  </a:ext>
                </a:extLst>
              </xdr:cNvPr>
              <xdr:cNvSpPr/>
            </xdr:nvSpPr>
            <xdr:spPr>
              <a:xfrm>
                <a:off x="3337568" y="1681631"/>
                <a:ext cx="820112" cy="415498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9pPr>
              </a:lstStyle>
              <a:p>
                <a:pPr algn="ctr"/>
                <a:r>
                  <a:rPr lang="en-US" sz="1050" b="0"/>
                  <a:t>Array size</a:t>
                </a:r>
              </a:p>
              <a:p>
                <a:pPr algn="ctr"/>
                <a:r>
                  <a:rPr lang="en-US" sz="1050" b="0" i="0">
                    <a:latin typeface="Cambria Math" panose="02040503050406030204" pitchFamily="18" charset="0"/>
                  </a:rPr>
                  <a:t>𝑁_𝑡</a:t>
                </a:r>
                <a:endParaRPr lang="en-US" sz="1050" b="0"/>
              </a:p>
            </xdr:txBody>
          </xdr:sp>
        </mc:Fallback>
      </mc:AlternateContent>
      <xdr:sp macro="" textlink="">
        <xdr:nvSpPr>
          <xdr:cNvPr id="35" name="TextBox 49">
            <a:extLst>
              <a:ext uri="{FF2B5EF4-FFF2-40B4-BE49-F238E27FC236}">
                <a16:creationId xmlns:a16="http://schemas.microsoft.com/office/drawing/2014/main" id="{738C5ECB-C0C6-4CF7-A648-BDE5A5038BC1}"/>
              </a:ext>
            </a:extLst>
          </xdr:cNvPr>
          <xdr:cNvSpPr txBox="1"/>
        </xdr:nvSpPr>
        <xdr:spPr>
          <a:xfrm>
            <a:off x="376190" y="1104246"/>
            <a:ext cx="3698172" cy="338554"/>
          </a:xfrm>
          <a:prstGeom prst="rect">
            <a:avLst/>
          </a:prstGeom>
          <a:solidFill>
            <a:schemeClr val="bg2">
              <a:lumMod val="40000"/>
              <a:lumOff val="60000"/>
            </a:schemeClr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 algn="ctr"/>
            <a:r>
              <a:rPr lang="en-US" sz="1600"/>
              <a:t>Digital Array</a:t>
            </a:r>
          </a:p>
        </xdr:txBody>
      </xdr:sp>
      <xdr:sp macro="" textlink="">
        <xdr:nvSpPr>
          <xdr:cNvPr id="36" name="Oval 35">
            <a:extLst>
              <a:ext uri="{FF2B5EF4-FFF2-40B4-BE49-F238E27FC236}">
                <a16:creationId xmlns:a16="http://schemas.microsoft.com/office/drawing/2014/main" id="{F180AFD3-06CD-4F52-8297-A0A7CD763479}"/>
              </a:ext>
            </a:extLst>
          </xdr:cNvPr>
          <xdr:cNvSpPr/>
        </xdr:nvSpPr>
        <xdr:spPr>
          <a:xfrm>
            <a:off x="2554775" y="1979338"/>
            <a:ext cx="264369" cy="247038"/>
          </a:xfrm>
          <a:prstGeom prst="ellipse">
            <a:avLst/>
          </a:prstGeom>
          <a:solidFill>
            <a:schemeClr val="bg1"/>
          </a:solidFill>
          <a:ln w="28575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37" name="Straight Connector 36">
            <a:extLst>
              <a:ext uri="{FF2B5EF4-FFF2-40B4-BE49-F238E27FC236}">
                <a16:creationId xmlns:a16="http://schemas.microsoft.com/office/drawing/2014/main" id="{34475FA2-1549-495E-AB64-B498F16B7BBB}"/>
              </a:ext>
            </a:extLst>
          </xdr:cNvPr>
          <xdr:cNvCxnSpPr>
            <a:cxnSpLocks/>
            <a:stCxn id="36" idx="1"/>
            <a:endCxn id="36" idx="5"/>
          </xdr:cNvCxnSpPr>
        </xdr:nvCxnSpPr>
        <xdr:spPr>
          <a:xfrm>
            <a:off x="2593491" y="2015516"/>
            <a:ext cx="186937" cy="174682"/>
          </a:xfrm>
          <a:prstGeom prst="line">
            <a:avLst/>
          </a:prstGeom>
          <a:ln w="28575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Connector 37">
            <a:extLst>
              <a:ext uri="{FF2B5EF4-FFF2-40B4-BE49-F238E27FC236}">
                <a16:creationId xmlns:a16="http://schemas.microsoft.com/office/drawing/2014/main" id="{7DAD91D8-2D29-44A1-8D0B-7B2A23244ACD}"/>
              </a:ext>
            </a:extLst>
          </xdr:cNvPr>
          <xdr:cNvCxnSpPr>
            <a:cxnSpLocks/>
            <a:stCxn id="36" idx="3"/>
            <a:endCxn id="36" idx="7"/>
          </xdr:cNvCxnSpPr>
        </xdr:nvCxnSpPr>
        <xdr:spPr>
          <a:xfrm flipV="1">
            <a:off x="2593491" y="2015516"/>
            <a:ext cx="186937" cy="174682"/>
          </a:xfrm>
          <a:prstGeom prst="line">
            <a:avLst/>
          </a:prstGeom>
          <a:ln w="28575">
            <a:solidFill>
              <a:schemeClr val="accent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Isosceles Triangle 38">
            <a:extLst>
              <a:ext uri="{FF2B5EF4-FFF2-40B4-BE49-F238E27FC236}">
                <a16:creationId xmlns:a16="http://schemas.microsoft.com/office/drawing/2014/main" id="{77068C29-C9A6-45C5-9C13-D42718254216}"/>
              </a:ext>
            </a:extLst>
          </xdr:cNvPr>
          <xdr:cNvSpPr/>
        </xdr:nvSpPr>
        <xdr:spPr>
          <a:xfrm rot="5400000">
            <a:off x="3167592" y="1986131"/>
            <a:ext cx="230094" cy="250396"/>
          </a:xfrm>
          <a:prstGeom prst="triangl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0" name="Isosceles Triangle 39">
            <a:extLst>
              <a:ext uri="{FF2B5EF4-FFF2-40B4-BE49-F238E27FC236}">
                <a16:creationId xmlns:a16="http://schemas.microsoft.com/office/drawing/2014/main" id="{ADA0DC27-3769-4398-9A5A-588965E8258E}"/>
              </a:ext>
            </a:extLst>
          </xdr:cNvPr>
          <xdr:cNvSpPr/>
        </xdr:nvSpPr>
        <xdr:spPr>
          <a:xfrm rot="5400000">
            <a:off x="3258345" y="1986131"/>
            <a:ext cx="230094" cy="250396"/>
          </a:xfrm>
          <a:prstGeom prst="triangl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59653E3C-1193-4E32-A0FA-CD1925F7A031}"/>
              </a:ext>
            </a:extLst>
          </xdr:cNvPr>
          <xdr:cNvSpPr/>
        </xdr:nvSpPr>
        <xdr:spPr>
          <a:xfrm>
            <a:off x="1967166" y="1954261"/>
            <a:ext cx="391385" cy="312899"/>
          </a:xfrm>
          <a:prstGeom prst="rect">
            <a:avLst/>
          </a:prstGeom>
          <a:solidFill>
            <a:schemeClr val="bg1"/>
          </a:solidFill>
          <a:ln>
            <a:solidFill>
              <a:srgbClr val="0020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700">
                <a:solidFill>
                  <a:schemeClr val="tx1"/>
                </a:solidFill>
              </a:rPr>
              <a:t>I/Q</a:t>
            </a:r>
          </a:p>
          <a:p>
            <a:pPr algn="ctr"/>
            <a:r>
              <a:rPr lang="en-US" sz="700">
                <a:solidFill>
                  <a:schemeClr val="tx1"/>
                </a:solidFill>
              </a:rPr>
              <a:t>DAC</a:t>
            </a:r>
            <a:endParaRPr lang="en-US" sz="1000"/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9E1259C1-2142-4365-AC3B-40DBF3CCCA4A}"/>
              </a:ext>
            </a:extLst>
          </xdr:cNvPr>
          <xdr:cNvSpPr/>
        </xdr:nvSpPr>
        <xdr:spPr>
          <a:xfrm>
            <a:off x="2263334" y="2247827"/>
            <a:ext cx="820112" cy="253916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 algn="ctr"/>
            <a:r>
              <a:rPr lang="en-US" sz="1050" b="0"/>
              <a:t>RF Chain </a:t>
            </a:r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067B04DB-B750-4BB3-BCDD-D1CB9ABBF262}"/>
              </a:ext>
            </a:extLst>
          </xdr:cNvPr>
          <xdr:cNvSpPr/>
        </xdr:nvSpPr>
        <xdr:spPr>
          <a:xfrm>
            <a:off x="3400998" y="2554975"/>
            <a:ext cx="369332" cy="451268"/>
          </a:xfrm>
          <a:prstGeom prst="rect">
            <a:avLst/>
          </a:prstGeom>
        </xdr:spPr>
        <xdr:txBody>
          <a:bodyPr vert="vert"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r>
              <a:rPr lang="en-US" sz="1200" b="0"/>
              <a:t>…</a:t>
            </a:r>
          </a:p>
        </xdr:txBody>
      </xdr:sp>
      <xdr:sp macro="" textlink="">
        <xdr:nvSpPr>
          <xdr:cNvPr id="44" name="Isosceles Triangle 43">
            <a:extLst>
              <a:ext uri="{FF2B5EF4-FFF2-40B4-BE49-F238E27FC236}">
                <a16:creationId xmlns:a16="http://schemas.microsoft.com/office/drawing/2014/main" id="{250021B4-7B81-424F-B033-D29FF1001489}"/>
              </a:ext>
            </a:extLst>
          </xdr:cNvPr>
          <xdr:cNvSpPr/>
        </xdr:nvSpPr>
        <xdr:spPr>
          <a:xfrm rot="5400000">
            <a:off x="3154835" y="2947517"/>
            <a:ext cx="230094" cy="250396"/>
          </a:xfrm>
          <a:prstGeom prst="triangl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5" name="Isosceles Triangle 44">
            <a:extLst>
              <a:ext uri="{FF2B5EF4-FFF2-40B4-BE49-F238E27FC236}">
                <a16:creationId xmlns:a16="http://schemas.microsoft.com/office/drawing/2014/main" id="{7DFA2729-3079-4A21-9DEF-3E4C8B853F48}"/>
              </a:ext>
            </a:extLst>
          </xdr:cNvPr>
          <xdr:cNvSpPr/>
        </xdr:nvSpPr>
        <xdr:spPr>
          <a:xfrm rot="5400000">
            <a:off x="3245588" y="2947517"/>
            <a:ext cx="230094" cy="250396"/>
          </a:xfrm>
          <a:prstGeom prst="triangl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FD9955EA-95CC-46E4-9A08-65C60BF4113D}"/>
              </a:ext>
            </a:extLst>
          </xdr:cNvPr>
          <xdr:cNvSpPr/>
        </xdr:nvSpPr>
        <xdr:spPr>
          <a:xfrm>
            <a:off x="3174023" y="2247269"/>
            <a:ext cx="387429" cy="253916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 algn="ctr"/>
            <a:r>
              <a:rPr lang="en-US" sz="1050" b="0"/>
              <a:t>PA</a:t>
            </a:r>
          </a:p>
        </xdr:txBody>
      </xdr:sp>
    </xdr:grpSp>
    <xdr:clientData/>
  </xdr:twoCellAnchor>
  <xdr:twoCellAnchor>
    <xdr:from>
      <xdr:col>7</xdr:col>
      <xdr:colOff>200025</xdr:colOff>
      <xdr:row>1</xdr:row>
      <xdr:rowOff>133350</xdr:rowOff>
    </xdr:from>
    <xdr:to>
      <xdr:col>14</xdr:col>
      <xdr:colOff>216894</xdr:colOff>
      <xdr:row>13</xdr:row>
      <xdr:rowOff>78325</xdr:rowOff>
    </xdr:to>
    <xdr:grpSp>
      <xdr:nvGrpSpPr>
        <xdr:cNvPr id="87" name="Group 86">
          <a:extLst>
            <a:ext uri="{FF2B5EF4-FFF2-40B4-BE49-F238E27FC236}">
              <a16:creationId xmlns:a16="http://schemas.microsoft.com/office/drawing/2014/main" id="{ABDE3E1D-F058-4947-9998-D5F32951C758}"/>
            </a:ext>
          </a:extLst>
        </xdr:cNvPr>
        <xdr:cNvGrpSpPr/>
      </xdr:nvGrpSpPr>
      <xdr:grpSpPr>
        <a:xfrm>
          <a:off x="4467225" y="323850"/>
          <a:ext cx="4284069" cy="2230975"/>
          <a:chOff x="4821459" y="1104246"/>
          <a:chExt cx="4284069" cy="2230975"/>
        </a:xfrm>
      </xdr:grpSpPr>
      <xdr:sp macro="" textlink="">
        <xdr:nvSpPr>
          <xdr:cNvPr id="88" name="Rectangle 87">
            <a:extLst>
              <a:ext uri="{FF2B5EF4-FFF2-40B4-BE49-F238E27FC236}">
                <a16:creationId xmlns:a16="http://schemas.microsoft.com/office/drawing/2014/main" id="{9E8FCD32-DB4F-4063-86EB-799480175542}"/>
              </a:ext>
            </a:extLst>
          </xdr:cNvPr>
          <xdr:cNvSpPr/>
        </xdr:nvSpPr>
        <xdr:spPr>
          <a:xfrm>
            <a:off x="6913042" y="1569628"/>
            <a:ext cx="837499" cy="1089170"/>
          </a:xfrm>
          <a:prstGeom prst="rect">
            <a:avLst/>
          </a:prstGeom>
          <a:solidFill>
            <a:srgbClr val="C1F8BA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000">
              <a:solidFill>
                <a:schemeClr val="tx1"/>
              </a:solidFill>
            </a:endParaRPr>
          </a:p>
        </xdr:txBody>
      </xdr:sp>
      <xdr:sp macro="" textlink="">
        <xdr:nvSpPr>
          <xdr:cNvPr id="89" name="TextBox 34">
            <a:extLst>
              <a:ext uri="{FF2B5EF4-FFF2-40B4-BE49-F238E27FC236}">
                <a16:creationId xmlns:a16="http://schemas.microsoft.com/office/drawing/2014/main" id="{F201B090-7A74-404E-9A9E-98715BD51A4C}"/>
              </a:ext>
            </a:extLst>
          </xdr:cNvPr>
          <xdr:cNvSpPr txBox="1"/>
        </xdr:nvSpPr>
        <xdr:spPr>
          <a:xfrm>
            <a:off x="5040214" y="1104246"/>
            <a:ext cx="3698172" cy="338554"/>
          </a:xfrm>
          <a:prstGeom prst="rect">
            <a:avLst/>
          </a:prstGeom>
          <a:solidFill>
            <a:schemeClr val="bg2">
              <a:lumMod val="40000"/>
              <a:lumOff val="60000"/>
            </a:schemeClr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 algn="ctr"/>
            <a:r>
              <a:rPr lang="en-US" sz="1600"/>
              <a:t>Sub-Array</a:t>
            </a:r>
          </a:p>
        </xdr:txBody>
      </xdr:sp>
      <xdr:cxnSp macro="">
        <xdr:nvCxnSpPr>
          <xdr:cNvPr id="90" name="Straight Connector 89">
            <a:extLst>
              <a:ext uri="{FF2B5EF4-FFF2-40B4-BE49-F238E27FC236}">
                <a16:creationId xmlns:a16="http://schemas.microsoft.com/office/drawing/2014/main" id="{2302977E-9F85-4813-99E5-776656A6EFF6}"/>
              </a:ext>
            </a:extLst>
          </xdr:cNvPr>
          <xdr:cNvCxnSpPr>
            <a:cxnSpLocks/>
          </xdr:cNvCxnSpPr>
        </xdr:nvCxnSpPr>
        <xdr:spPr>
          <a:xfrm flipV="1">
            <a:off x="5185464" y="3018943"/>
            <a:ext cx="3234636" cy="1830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Straight Connector 90">
            <a:extLst>
              <a:ext uri="{FF2B5EF4-FFF2-40B4-BE49-F238E27FC236}">
                <a16:creationId xmlns:a16="http://schemas.microsoft.com/office/drawing/2014/main" id="{7F1775DA-8B78-4E69-A2F6-FC9A4E46DCE3}"/>
              </a:ext>
            </a:extLst>
          </xdr:cNvPr>
          <xdr:cNvCxnSpPr>
            <a:cxnSpLocks/>
          </xdr:cNvCxnSpPr>
        </xdr:nvCxnSpPr>
        <xdr:spPr>
          <a:xfrm>
            <a:off x="5166416" y="2055328"/>
            <a:ext cx="179527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7F2E6A2A-9367-4BCF-B7F0-163F6CACD6B3}"/>
              </a:ext>
            </a:extLst>
          </xdr:cNvPr>
          <xdr:cNvSpPr/>
        </xdr:nvSpPr>
        <xdr:spPr>
          <a:xfrm>
            <a:off x="6152492" y="1887183"/>
            <a:ext cx="690731" cy="332370"/>
          </a:xfrm>
          <a:prstGeom prst="rect">
            <a:avLst/>
          </a:prstGeom>
          <a:solidFill>
            <a:srgbClr val="C5D9EC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solidFill>
                  <a:schemeClr val="tx1"/>
                </a:solidFill>
              </a:rPr>
              <a:t>RF Chain 1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3" name="Rectangle 92">
                <a:extLst>
                  <a:ext uri="{FF2B5EF4-FFF2-40B4-BE49-F238E27FC236}">
                    <a16:creationId xmlns:a16="http://schemas.microsoft.com/office/drawing/2014/main" id="{7B0F18A8-A350-4AEC-B917-4A9F44D38C12}"/>
                  </a:ext>
                </a:extLst>
              </xdr:cNvPr>
              <xdr:cNvSpPr/>
            </xdr:nvSpPr>
            <xdr:spPr>
              <a:xfrm>
                <a:off x="6152492" y="2855739"/>
                <a:ext cx="690730" cy="336574"/>
              </a:xfrm>
              <a:prstGeom prst="rect">
                <a:avLst/>
              </a:prstGeom>
              <a:solidFill>
                <a:srgbClr val="C5D9EC"/>
              </a:solidFill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sz="1000">
                    <a:solidFill>
                      <a:schemeClr val="tx1"/>
                    </a:solidFill>
                  </a:rPr>
                  <a:t>RF Chain </a:t>
                </a:r>
                <a14:m>
                  <m:oMath xmlns:m="http://schemas.openxmlformats.org/officeDocument/2006/math">
                    <m:r>
                      <a:rPr lang="en-US" sz="10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𝑴</m:t>
                    </m:r>
                  </m:oMath>
                </a14:m>
                <a:endParaRPr lang="en-US" sz="1000">
                  <a:solidFill>
                    <a:schemeClr val="tx1"/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93" name="Rectangle 92">
                <a:extLst>
                  <a:ext uri="{FF2B5EF4-FFF2-40B4-BE49-F238E27FC236}">
                    <a16:creationId xmlns:a16="http://schemas.microsoft.com/office/drawing/2014/main" id="{7B0F18A8-A350-4AEC-B917-4A9F44D38C12}"/>
                  </a:ext>
                </a:extLst>
              </xdr:cNvPr>
              <xdr:cNvSpPr/>
            </xdr:nvSpPr>
            <xdr:spPr>
              <a:xfrm>
                <a:off x="6152492" y="2855739"/>
                <a:ext cx="690730" cy="336574"/>
              </a:xfrm>
              <a:prstGeom prst="rect">
                <a:avLst/>
              </a:prstGeom>
              <a:solidFill>
                <a:srgbClr val="C5D9EC"/>
              </a:solidFill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sz="1000">
                    <a:solidFill>
                      <a:schemeClr val="tx1"/>
                    </a:solidFill>
                  </a:rPr>
                  <a:t>RF Chain </a:t>
                </a:r>
                <a:r>
                  <a:rPr lang="en-US" sz="1000" b="1" i="0">
                    <a:solidFill>
                      <a:schemeClr val="tx1"/>
                    </a:solidFill>
                    <a:latin typeface="Cambria Math" panose="02040503050406030204" pitchFamily="18" charset="0"/>
                  </a:rPr>
                  <a:t>𝑴</a:t>
                </a:r>
                <a:endParaRPr lang="en-US" sz="1000">
                  <a:solidFill>
                    <a:schemeClr val="tx1"/>
                  </a:solidFill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4" name="Rectangle 93">
                <a:extLst>
                  <a:ext uri="{FF2B5EF4-FFF2-40B4-BE49-F238E27FC236}">
                    <a16:creationId xmlns:a16="http://schemas.microsoft.com/office/drawing/2014/main" id="{669C7675-A51E-49A9-8C8D-55B29FDA5604}"/>
                  </a:ext>
                </a:extLst>
              </xdr:cNvPr>
              <xdr:cNvSpPr/>
            </xdr:nvSpPr>
            <xdr:spPr>
              <a:xfrm>
                <a:off x="6956152" y="2815352"/>
                <a:ext cx="794389" cy="451268"/>
              </a:xfrm>
              <a:prstGeom prst="rect">
                <a:avLst/>
              </a:prstGeom>
              <a:solidFill>
                <a:srgbClr val="C1F8BA"/>
              </a:solidFill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14:m>
                  <m:oMath xmlns:m="http://schemas.openxmlformats.org/officeDocument/2006/math">
                    <m:sSub>
                      <m:sSubPr>
                        <m:ctrlPr>
                          <a:rPr lang="en-US" sz="8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8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𝑵</m:t>
                        </m:r>
                      </m:e>
                      <m:sub>
                        <m:r>
                          <a:rPr lang="en-US" sz="8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𝒔</m:t>
                        </m:r>
                      </m:sub>
                    </m:sSub>
                  </m:oMath>
                </a14:m>
                <a:r>
                  <a:rPr lang="en-US" sz="800">
                    <a:solidFill>
                      <a:schemeClr val="tx1"/>
                    </a:solidFill>
                  </a:rPr>
                  <a:t> Phase/Gain</a:t>
                </a:r>
              </a:p>
            </xdr:txBody>
          </xdr:sp>
        </mc:Choice>
        <mc:Fallback xmlns="">
          <xdr:sp macro="" textlink="">
            <xdr:nvSpPr>
              <xdr:cNvPr id="94" name="Rectangle 93">
                <a:extLst>
                  <a:ext uri="{FF2B5EF4-FFF2-40B4-BE49-F238E27FC236}">
                    <a16:creationId xmlns:a16="http://schemas.microsoft.com/office/drawing/2014/main" id="{669C7675-A51E-49A9-8C8D-55B29FDA5604}"/>
                  </a:ext>
                </a:extLst>
              </xdr:cNvPr>
              <xdr:cNvSpPr/>
            </xdr:nvSpPr>
            <xdr:spPr>
              <a:xfrm>
                <a:off x="6956152" y="2815352"/>
                <a:ext cx="794389" cy="451268"/>
              </a:xfrm>
              <a:prstGeom prst="rect">
                <a:avLst/>
              </a:prstGeom>
              <a:solidFill>
                <a:srgbClr val="C1F8BA"/>
              </a:solidFill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sz="800" b="1" i="0">
                    <a:solidFill>
                      <a:schemeClr val="tx1"/>
                    </a:solidFill>
                    <a:latin typeface="Cambria Math" panose="02040503050406030204" pitchFamily="18" charset="0"/>
                  </a:rPr>
                  <a:t>𝑵_𝒔</a:t>
                </a:r>
                <a:r>
                  <a:rPr lang="en-US" sz="800">
                    <a:solidFill>
                      <a:schemeClr val="tx1"/>
                    </a:solidFill>
                  </a:rPr>
                  <a:t> Phase/Gain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5" name="Rectangle 94">
                <a:extLst>
                  <a:ext uri="{FF2B5EF4-FFF2-40B4-BE49-F238E27FC236}">
                    <a16:creationId xmlns:a16="http://schemas.microsoft.com/office/drawing/2014/main" id="{1EEF9D92-7959-4F56-A1D8-60B8F85D30E4}"/>
                  </a:ext>
                </a:extLst>
              </xdr:cNvPr>
              <xdr:cNvSpPr/>
            </xdr:nvSpPr>
            <xdr:spPr>
              <a:xfrm>
                <a:off x="4821459" y="1913246"/>
                <a:ext cx="495026" cy="253916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05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05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en-US" sz="105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oMath>
                  </m:oMathPara>
                </a14:m>
                <a:endParaRPr lang="en-US" sz="1050" b="0"/>
              </a:p>
            </xdr:txBody>
          </xdr:sp>
        </mc:Choice>
        <mc:Fallback xmlns="">
          <xdr:sp macro="" textlink="">
            <xdr:nvSpPr>
              <xdr:cNvPr id="95" name="Rectangle 94">
                <a:extLst>
                  <a:ext uri="{FF2B5EF4-FFF2-40B4-BE49-F238E27FC236}">
                    <a16:creationId xmlns:a16="http://schemas.microsoft.com/office/drawing/2014/main" id="{1EEF9D92-7959-4F56-A1D8-60B8F85D30E4}"/>
                  </a:ext>
                </a:extLst>
              </xdr:cNvPr>
              <xdr:cNvSpPr/>
            </xdr:nvSpPr>
            <xdr:spPr>
              <a:xfrm>
                <a:off x="4821459" y="1913246"/>
                <a:ext cx="495026" cy="253916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9pPr>
              </a:lstStyle>
              <a:p>
                <a:pPr/>
                <a:r>
                  <a:rPr lang="en-US" sz="1050" b="0" i="0">
                    <a:latin typeface="Cambria Math" panose="02040503050406030204" pitchFamily="18" charset="0"/>
                  </a:rPr>
                  <a:t>𝑆_1</a:t>
                </a:r>
                <a:endParaRPr lang="en-US" sz="105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6" name="Rectangle 95">
                <a:extLst>
                  <a:ext uri="{FF2B5EF4-FFF2-40B4-BE49-F238E27FC236}">
                    <a16:creationId xmlns:a16="http://schemas.microsoft.com/office/drawing/2014/main" id="{D247435D-7FF1-4730-88E1-AB28ECF11E72}"/>
                  </a:ext>
                </a:extLst>
              </xdr:cNvPr>
              <xdr:cNvSpPr/>
            </xdr:nvSpPr>
            <xdr:spPr>
              <a:xfrm>
                <a:off x="4821459" y="2874791"/>
                <a:ext cx="495026" cy="253916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05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05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en-US" sz="1050" b="0" i="1">
                              <a:latin typeface="Cambria Math" panose="02040503050406030204" pitchFamily="18" charset="0"/>
                            </a:rPr>
                            <m:t>𝑀</m:t>
                          </m:r>
                        </m:sub>
                      </m:sSub>
                    </m:oMath>
                  </m:oMathPara>
                </a14:m>
                <a:endParaRPr lang="en-US" sz="1050" b="0"/>
              </a:p>
            </xdr:txBody>
          </xdr:sp>
        </mc:Choice>
        <mc:Fallback xmlns="">
          <xdr:sp macro="" textlink="">
            <xdr:nvSpPr>
              <xdr:cNvPr id="96" name="Rectangle 95">
                <a:extLst>
                  <a:ext uri="{FF2B5EF4-FFF2-40B4-BE49-F238E27FC236}">
                    <a16:creationId xmlns:a16="http://schemas.microsoft.com/office/drawing/2014/main" id="{D247435D-7FF1-4730-88E1-AB28ECF11E72}"/>
                  </a:ext>
                </a:extLst>
              </xdr:cNvPr>
              <xdr:cNvSpPr/>
            </xdr:nvSpPr>
            <xdr:spPr>
              <a:xfrm>
                <a:off x="4821459" y="2874791"/>
                <a:ext cx="495026" cy="253916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9pPr>
              </a:lstStyle>
              <a:p>
                <a:pPr/>
                <a:r>
                  <a:rPr lang="en-US" sz="1050" b="0" i="0">
                    <a:latin typeface="Cambria Math" panose="02040503050406030204" pitchFamily="18" charset="0"/>
                  </a:rPr>
                  <a:t>𝑆_𝑀</a:t>
                </a:r>
                <a:endParaRPr lang="en-US" sz="1050" b="0"/>
              </a:p>
            </xdr:txBody>
          </xdr:sp>
        </mc:Fallback>
      </mc:AlternateContent>
      <xdr:cxnSp macro="">
        <xdr:nvCxnSpPr>
          <xdr:cNvPr id="97" name="Straight Connector 96">
            <a:extLst>
              <a:ext uri="{FF2B5EF4-FFF2-40B4-BE49-F238E27FC236}">
                <a16:creationId xmlns:a16="http://schemas.microsoft.com/office/drawing/2014/main" id="{FE4F735C-6F9B-4A82-999F-04B2433091EC}"/>
              </a:ext>
            </a:extLst>
          </xdr:cNvPr>
          <xdr:cNvCxnSpPr/>
        </xdr:nvCxnSpPr>
        <xdr:spPr>
          <a:xfrm flipV="1">
            <a:off x="8210047" y="2914071"/>
            <a:ext cx="144726" cy="19077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8" name="Rectangle 97">
                <a:extLst>
                  <a:ext uri="{FF2B5EF4-FFF2-40B4-BE49-F238E27FC236}">
                    <a16:creationId xmlns:a16="http://schemas.microsoft.com/office/drawing/2014/main" id="{F75DCC50-AC0A-4030-AC74-6762C8B9B594}"/>
                  </a:ext>
                </a:extLst>
              </xdr:cNvPr>
              <xdr:cNvSpPr/>
            </xdr:nvSpPr>
            <xdr:spPr>
              <a:xfrm>
                <a:off x="8076696" y="2754629"/>
                <a:ext cx="303702" cy="253916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05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050" b="0" i="1">
                              <a:latin typeface="Cambria Math" panose="02040503050406030204" pitchFamily="18" charset="0"/>
                            </a:rPr>
                            <m:t>𝑁</m:t>
                          </m:r>
                        </m:e>
                        <m:sub>
                          <m:r>
                            <a:rPr lang="en-US" sz="1050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sub>
                      </m:sSub>
                    </m:oMath>
                  </m:oMathPara>
                </a14:m>
                <a:endParaRPr lang="en-US" sz="1050" b="0"/>
              </a:p>
            </xdr:txBody>
          </xdr:sp>
        </mc:Choice>
        <mc:Fallback xmlns="">
          <xdr:sp macro="" textlink="">
            <xdr:nvSpPr>
              <xdr:cNvPr id="98" name="Rectangle 97">
                <a:extLst>
                  <a:ext uri="{FF2B5EF4-FFF2-40B4-BE49-F238E27FC236}">
                    <a16:creationId xmlns:a16="http://schemas.microsoft.com/office/drawing/2014/main" id="{F75DCC50-AC0A-4030-AC74-6762C8B9B594}"/>
                  </a:ext>
                </a:extLst>
              </xdr:cNvPr>
              <xdr:cNvSpPr/>
            </xdr:nvSpPr>
            <xdr:spPr>
              <a:xfrm>
                <a:off x="8076696" y="2754629"/>
                <a:ext cx="303702" cy="253916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9pPr>
              </a:lstStyle>
              <a:p>
                <a:pPr/>
                <a:r>
                  <a:rPr lang="en-US" sz="1050" b="0" i="0">
                    <a:latin typeface="Cambria Math" panose="02040503050406030204" pitchFamily="18" charset="0"/>
                  </a:rPr>
                  <a:t>𝑁_𝑠</a:t>
                </a:r>
                <a:endParaRPr lang="en-US" sz="1050" b="0"/>
              </a:p>
            </xdr:txBody>
          </xdr:sp>
        </mc:Fallback>
      </mc:AlternateContent>
      <xdr:sp macro="" textlink="">
        <xdr:nvSpPr>
          <xdr:cNvPr id="99" name="Rectangle 98">
            <a:extLst>
              <a:ext uri="{FF2B5EF4-FFF2-40B4-BE49-F238E27FC236}">
                <a16:creationId xmlns:a16="http://schemas.microsoft.com/office/drawing/2014/main" id="{56B652A1-350C-44EB-8ACE-093D62AB576A}"/>
              </a:ext>
            </a:extLst>
          </xdr:cNvPr>
          <xdr:cNvSpPr/>
        </xdr:nvSpPr>
        <xdr:spPr>
          <a:xfrm>
            <a:off x="7389726" y="1897368"/>
            <a:ext cx="369332" cy="451268"/>
          </a:xfrm>
          <a:prstGeom prst="rect">
            <a:avLst/>
          </a:prstGeom>
        </xdr:spPr>
        <xdr:txBody>
          <a:bodyPr vert="vert"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r>
              <a:rPr lang="en-US" sz="1200" b="0"/>
              <a:t>…</a:t>
            </a:r>
          </a:p>
        </xdr:txBody>
      </xdr:sp>
      <xdr:sp macro="" textlink="">
        <xdr:nvSpPr>
          <xdr:cNvPr id="100" name="Rectangle 99">
            <a:extLst>
              <a:ext uri="{FF2B5EF4-FFF2-40B4-BE49-F238E27FC236}">
                <a16:creationId xmlns:a16="http://schemas.microsoft.com/office/drawing/2014/main" id="{E210BDBE-7457-47FE-8AFB-E9E55BAE438F}"/>
              </a:ext>
            </a:extLst>
          </xdr:cNvPr>
          <xdr:cNvSpPr/>
        </xdr:nvSpPr>
        <xdr:spPr>
          <a:xfrm>
            <a:off x="6474363" y="2390905"/>
            <a:ext cx="369332" cy="451268"/>
          </a:xfrm>
          <a:prstGeom prst="rect">
            <a:avLst/>
          </a:prstGeom>
        </xdr:spPr>
        <xdr:txBody>
          <a:bodyPr vert="vert"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r>
              <a:rPr lang="en-US" sz="1200" b="0"/>
              <a:t>…</a:t>
            </a:r>
          </a:p>
        </xdr:txBody>
      </xdr:sp>
      <xdr:sp macro="" textlink="">
        <xdr:nvSpPr>
          <xdr:cNvPr id="101" name="Rectangle 100">
            <a:extLst>
              <a:ext uri="{FF2B5EF4-FFF2-40B4-BE49-F238E27FC236}">
                <a16:creationId xmlns:a16="http://schemas.microsoft.com/office/drawing/2014/main" id="{AB6C5C32-5CD7-4475-B5F5-60C8A835BBCE}"/>
              </a:ext>
            </a:extLst>
          </xdr:cNvPr>
          <xdr:cNvSpPr/>
        </xdr:nvSpPr>
        <xdr:spPr>
          <a:xfrm>
            <a:off x="7929762" y="2403985"/>
            <a:ext cx="369332" cy="451268"/>
          </a:xfrm>
          <a:prstGeom prst="rect">
            <a:avLst/>
          </a:prstGeom>
        </xdr:spPr>
        <xdr:txBody>
          <a:bodyPr vert="vert"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r>
              <a:rPr lang="en-US" sz="1200" b="0"/>
              <a:t>…</a:t>
            </a:r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828A2391-925D-4F2E-A849-BC738979462A}"/>
              </a:ext>
            </a:extLst>
          </xdr:cNvPr>
          <xdr:cNvSpPr/>
        </xdr:nvSpPr>
        <xdr:spPr>
          <a:xfrm>
            <a:off x="4950087" y="2408137"/>
            <a:ext cx="369332" cy="451268"/>
          </a:xfrm>
          <a:prstGeom prst="rect">
            <a:avLst/>
          </a:prstGeom>
        </xdr:spPr>
        <xdr:txBody>
          <a:bodyPr vert="vert"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r>
              <a:rPr lang="en-US" sz="1200" b="0"/>
              <a:t>…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03" name="Rectangle 102">
                <a:extLst>
                  <a:ext uri="{FF2B5EF4-FFF2-40B4-BE49-F238E27FC236}">
                    <a16:creationId xmlns:a16="http://schemas.microsoft.com/office/drawing/2014/main" id="{649BA51F-51A3-447E-8564-8C4DC35315AB}"/>
                  </a:ext>
                </a:extLst>
              </xdr:cNvPr>
              <xdr:cNvSpPr/>
            </xdr:nvSpPr>
            <xdr:spPr>
              <a:xfrm>
                <a:off x="8285416" y="1514215"/>
                <a:ext cx="820112" cy="415498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9pPr>
              </a:lstStyle>
              <a:p>
                <a:pPr algn="ctr"/>
                <a:r>
                  <a:rPr lang="en-US" sz="1050" b="0"/>
                  <a:t>Array size</a:t>
                </a:r>
              </a:p>
              <a:p>
                <a:pPr algn="ctr"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05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050" b="0" i="1">
                              <a:latin typeface="Cambria Math" panose="02040503050406030204" pitchFamily="18" charset="0"/>
                            </a:rPr>
                            <m:t>𝑁</m:t>
                          </m:r>
                        </m:e>
                        <m:sub>
                          <m:r>
                            <a:rPr lang="en-US" sz="105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en-US" sz="105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sz="1050" b="0" i="1">
                          <a:latin typeface="Cambria Math" panose="02040503050406030204" pitchFamily="18" charset="0"/>
                        </a:rPr>
                        <m:t>𝑀</m:t>
                      </m:r>
                      <m:sSub>
                        <m:sSubPr>
                          <m:ctrlPr>
                            <a:rPr lang="en-US" sz="105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050" b="0" i="1">
                              <a:latin typeface="Cambria Math" panose="02040503050406030204" pitchFamily="18" charset="0"/>
                            </a:rPr>
                            <m:t>𝑁</m:t>
                          </m:r>
                        </m:e>
                        <m:sub>
                          <m:r>
                            <a:rPr lang="en-US" sz="1050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sub>
                      </m:sSub>
                    </m:oMath>
                  </m:oMathPara>
                </a14:m>
                <a:endParaRPr lang="en-US" sz="1050" b="0"/>
              </a:p>
            </xdr:txBody>
          </xdr:sp>
        </mc:Choice>
        <mc:Fallback xmlns="">
          <xdr:sp macro="" textlink="">
            <xdr:nvSpPr>
              <xdr:cNvPr id="103" name="Rectangle 102">
                <a:extLst>
                  <a:ext uri="{FF2B5EF4-FFF2-40B4-BE49-F238E27FC236}">
                    <a16:creationId xmlns:a16="http://schemas.microsoft.com/office/drawing/2014/main" id="{649BA51F-51A3-447E-8564-8C4DC35315AB}"/>
                  </a:ext>
                </a:extLst>
              </xdr:cNvPr>
              <xdr:cNvSpPr/>
            </xdr:nvSpPr>
            <xdr:spPr>
              <a:xfrm>
                <a:off x="8285416" y="1514215"/>
                <a:ext cx="820112" cy="415498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9pPr>
              </a:lstStyle>
              <a:p>
                <a:pPr algn="ctr"/>
                <a:r>
                  <a:rPr lang="en-US" sz="1050" b="0"/>
                  <a:t>Array size</a:t>
                </a:r>
              </a:p>
              <a:p>
                <a:pPr algn="ctr"/>
                <a:r>
                  <a:rPr lang="en-US" sz="1050" b="0" i="0">
                    <a:latin typeface="Cambria Math" panose="02040503050406030204" pitchFamily="18" charset="0"/>
                  </a:rPr>
                  <a:t>𝑁_𝑡=𝑀𝑁_𝑠</a:t>
                </a:r>
                <a:endParaRPr lang="en-US" sz="1050" b="0"/>
              </a:p>
            </xdr:txBody>
          </xdr:sp>
        </mc:Fallback>
      </mc:AlternateContent>
      <xdr:sp macro="" textlink="">
        <xdr:nvSpPr>
          <xdr:cNvPr id="104" name="Rectangle 103">
            <a:extLst>
              <a:ext uri="{FF2B5EF4-FFF2-40B4-BE49-F238E27FC236}">
                <a16:creationId xmlns:a16="http://schemas.microsoft.com/office/drawing/2014/main" id="{68CF246D-ABD7-4DBC-86F3-9D85564F1D21}"/>
              </a:ext>
            </a:extLst>
          </xdr:cNvPr>
          <xdr:cNvSpPr/>
        </xdr:nvSpPr>
        <xdr:spPr>
          <a:xfrm>
            <a:off x="5248411" y="1706672"/>
            <a:ext cx="815171" cy="1628549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solidFill>
                  <a:schemeClr val="tx1"/>
                </a:solidFill>
              </a:rPr>
              <a:t>Digital Precoding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05" name="Rectangle 104">
                <a:extLst>
                  <a:ext uri="{FF2B5EF4-FFF2-40B4-BE49-F238E27FC236}">
                    <a16:creationId xmlns:a16="http://schemas.microsoft.com/office/drawing/2014/main" id="{668E01F6-7BAE-416E-8AA2-5BE5F9B38545}"/>
                  </a:ext>
                </a:extLst>
              </xdr:cNvPr>
              <xdr:cNvSpPr/>
            </xdr:nvSpPr>
            <xdr:spPr>
              <a:xfrm>
                <a:off x="6786435" y="2424522"/>
                <a:ext cx="1104641" cy="230832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9pPr>
              </a:lstStyle>
              <a:p>
                <a:pPr algn="ctr"/>
                <a14:m>
                  <m:oMath xmlns:m="http://schemas.openxmlformats.org/officeDocument/2006/math">
                    <m:sSub>
                      <m:sSubPr>
                        <m:ctrlPr>
                          <a:rPr lang="en-US" sz="9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𝑵</m:t>
                        </m:r>
                      </m:e>
                      <m:sub>
                        <m:r>
                          <a:rPr lang="en-US" sz="9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𝒔</m:t>
                        </m:r>
                      </m:sub>
                    </m:sSub>
                  </m:oMath>
                </a14:m>
                <a:r>
                  <a:rPr lang="en-US" sz="900">
                    <a:solidFill>
                      <a:schemeClr val="tx1"/>
                    </a:solidFill>
                  </a:rPr>
                  <a:t> Phase/Gain</a:t>
                </a:r>
              </a:p>
            </xdr:txBody>
          </xdr:sp>
        </mc:Choice>
        <mc:Fallback xmlns="">
          <xdr:sp macro="" textlink="">
            <xdr:nvSpPr>
              <xdr:cNvPr id="105" name="Rectangle 104">
                <a:extLst>
                  <a:ext uri="{FF2B5EF4-FFF2-40B4-BE49-F238E27FC236}">
                    <a16:creationId xmlns:a16="http://schemas.microsoft.com/office/drawing/2014/main" id="{668E01F6-7BAE-416E-8AA2-5BE5F9B38545}"/>
                  </a:ext>
                </a:extLst>
              </xdr:cNvPr>
              <xdr:cNvSpPr/>
            </xdr:nvSpPr>
            <xdr:spPr>
              <a:xfrm>
                <a:off x="6786435" y="2424522"/>
                <a:ext cx="1104641" cy="230832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9pPr>
              </a:lstStyle>
              <a:p>
                <a:pPr algn="ctr"/>
                <a:r>
                  <a:rPr lang="en-US" sz="900" i="0">
                    <a:solidFill>
                      <a:schemeClr val="tx1"/>
                    </a:solidFill>
                    <a:latin typeface="Cambria Math" panose="02040503050406030204" pitchFamily="18" charset="0"/>
                  </a:rPr>
                  <a:t>𝑵_𝒔</a:t>
                </a:r>
                <a:r>
                  <a:rPr lang="en-US" sz="900">
                    <a:solidFill>
                      <a:schemeClr val="tx1"/>
                    </a:solidFill>
                  </a:rPr>
                  <a:t> Phase/Gain</a:t>
                </a:r>
              </a:p>
            </xdr:txBody>
          </xdr:sp>
        </mc:Fallback>
      </mc:AlternateContent>
      <xdr:sp macro="" textlink="">
        <xdr:nvSpPr>
          <xdr:cNvPr id="106" name="Rectangle 105">
            <a:extLst>
              <a:ext uri="{FF2B5EF4-FFF2-40B4-BE49-F238E27FC236}">
                <a16:creationId xmlns:a16="http://schemas.microsoft.com/office/drawing/2014/main" id="{C804B465-A796-43BE-9039-FA21EBF01C04}"/>
              </a:ext>
            </a:extLst>
          </xdr:cNvPr>
          <xdr:cNvSpPr/>
        </xdr:nvSpPr>
        <xdr:spPr>
          <a:xfrm>
            <a:off x="6980742" y="1897368"/>
            <a:ext cx="369332" cy="451268"/>
          </a:xfrm>
          <a:prstGeom prst="rect">
            <a:avLst/>
          </a:prstGeom>
          <a:ln w="19050">
            <a:noFill/>
          </a:ln>
        </xdr:spPr>
        <xdr:txBody>
          <a:bodyPr vert="vert"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r>
              <a:rPr lang="en-US" sz="1200" b="0"/>
              <a:t>…</a:t>
            </a:r>
          </a:p>
        </xdr:txBody>
      </xdr:sp>
      <xdr:cxnSp macro="">
        <xdr:nvCxnSpPr>
          <xdr:cNvPr id="107" name="Straight Connector 106">
            <a:extLst>
              <a:ext uri="{FF2B5EF4-FFF2-40B4-BE49-F238E27FC236}">
                <a16:creationId xmlns:a16="http://schemas.microsoft.com/office/drawing/2014/main" id="{73DF6407-322F-42D9-BEBC-4E58BA0378C4}"/>
              </a:ext>
            </a:extLst>
          </xdr:cNvPr>
          <xdr:cNvCxnSpPr>
            <a:cxnSpLocks/>
          </xdr:cNvCxnSpPr>
        </xdr:nvCxnSpPr>
        <xdr:spPr>
          <a:xfrm>
            <a:off x="6956152" y="1742220"/>
            <a:ext cx="1424246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" name="Straight Connector 107">
            <a:extLst>
              <a:ext uri="{FF2B5EF4-FFF2-40B4-BE49-F238E27FC236}">
                <a16:creationId xmlns:a16="http://schemas.microsoft.com/office/drawing/2014/main" id="{40547120-3B3E-4C59-A57F-10E91C0C4703}"/>
              </a:ext>
            </a:extLst>
          </xdr:cNvPr>
          <xdr:cNvCxnSpPr>
            <a:cxnSpLocks/>
          </xdr:cNvCxnSpPr>
        </xdr:nvCxnSpPr>
        <xdr:spPr>
          <a:xfrm>
            <a:off x="6956152" y="1742220"/>
            <a:ext cx="0" cy="55806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9" name="Oval 108">
            <a:extLst>
              <a:ext uri="{FF2B5EF4-FFF2-40B4-BE49-F238E27FC236}">
                <a16:creationId xmlns:a16="http://schemas.microsoft.com/office/drawing/2014/main" id="{E765E798-BAFF-472F-9030-E43E2E8067B5}"/>
              </a:ext>
            </a:extLst>
          </xdr:cNvPr>
          <xdr:cNvSpPr/>
        </xdr:nvSpPr>
        <xdr:spPr>
          <a:xfrm>
            <a:off x="7015222" y="1607942"/>
            <a:ext cx="237308" cy="251467"/>
          </a:xfrm>
          <a:prstGeom prst="ellipse">
            <a:avLst/>
          </a:prstGeom>
          <a:solidFill>
            <a:schemeClr val="bg1"/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110" name="Straight Connector 109">
            <a:extLst>
              <a:ext uri="{FF2B5EF4-FFF2-40B4-BE49-F238E27FC236}">
                <a16:creationId xmlns:a16="http://schemas.microsoft.com/office/drawing/2014/main" id="{72BE82BD-C11B-4516-B728-E98370617D4A}"/>
              </a:ext>
            </a:extLst>
          </xdr:cNvPr>
          <xdr:cNvCxnSpPr>
            <a:cxnSpLocks/>
          </xdr:cNvCxnSpPr>
        </xdr:nvCxnSpPr>
        <xdr:spPr>
          <a:xfrm flipV="1">
            <a:off x="7060786" y="1627197"/>
            <a:ext cx="163169" cy="201283"/>
          </a:xfrm>
          <a:prstGeom prst="line">
            <a:avLst/>
          </a:prstGeom>
          <a:ln w="19050">
            <a:solidFill>
              <a:schemeClr val="accent1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" name="Isosceles Triangle 110">
            <a:extLst>
              <a:ext uri="{FF2B5EF4-FFF2-40B4-BE49-F238E27FC236}">
                <a16:creationId xmlns:a16="http://schemas.microsoft.com/office/drawing/2014/main" id="{C29FC772-46D4-48D1-9496-51001B44CC05}"/>
              </a:ext>
            </a:extLst>
          </xdr:cNvPr>
          <xdr:cNvSpPr/>
        </xdr:nvSpPr>
        <xdr:spPr>
          <a:xfrm rot="5400000">
            <a:off x="7440544" y="1649047"/>
            <a:ext cx="225860" cy="186693"/>
          </a:xfrm>
          <a:prstGeom prst="triangle">
            <a:avLst/>
          </a:prstGeom>
          <a:solidFill>
            <a:schemeClr val="bg1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112" name="Straight Arrow Connector 111">
            <a:extLst>
              <a:ext uri="{FF2B5EF4-FFF2-40B4-BE49-F238E27FC236}">
                <a16:creationId xmlns:a16="http://schemas.microsoft.com/office/drawing/2014/main" id="{6A8A5ED2-E5AB-44DA-A2AC-820EE79CCF05}"/>
              </a:ext>
            </a:extLst>
          </xdr:cNvPr>
          <xdr:cNvCxnSpPr>
            <a:cxnSpLocks/>
          </xdr:cNvCxnSpPr>
        </xdr:nvCxnSpPr>
        <xdr:spPr>
          <a:xfrm flipV="1">
            <a:off x="7353652" y="1627196"/>
            <a:ext cx="300038" cy="235636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Straight Connector 112">
            <a:extLst>
              <a:ext uri="{FF2B5EF4-FFF2-40B4-BE49-F238E27FC236}">
                <a16:creationId xmlns:a16="http://schemas.microsoft.com/office/drawing/2014/main" id="{E52E64D2-BA3E-47D6-912D-1AFA61106913}"/>
              </a:ext>
            </a:extLst>
          </xdr:cNvPr>
          <xdr:cNvCxnSpPr>
            <a:cxnSpLocks/>
          </xdr:cNvCxnSpPr>
        </xdr:nvCxnSpPr>
        <xdr:spPr>
          <a:xfrm>
            <a:off x="6956152" y="2300288"/>
            <a:ext cx="1424246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4" name="Oval 113">
            <a:extLst>
              <a:ext uri="{FF2B5EF4-FFF2-40B4-BE49-F238E27FC236}">
                <a16:creationId xmlns:a16="http://schemas.microsoft.com/office/drawing/2014/main" id="{4996E688-5D20-45FA-9B91-5A182E1EEDB4}"/>
              </a:ext>
            </a:extLst>
          </xdr:cNvPr>
          <xdr:cNvSpPr/>
        </xdr:nvSpPr>
        <xdr:spPr>
          <a:xfrm>
            <a:off x="7012835" y="2167162"/>
            <a:ext cx="237308" cy="251467"/>
          </a:xfrm>
          <a:prstGeom prst="ellipse">
            <a:avLst/>
          </a:prstGeom>
          <a:solidFill>
            <a:schemeClr val="bg1"/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115" name="Straight Connector 114">
            <a:extLst>
              <a:ext uri="{FF2B5EF4-FFF2-40B4-BE49-F238E27FC236}">
                <a16:creationId xmlns:a16="http://schemas.microsoft.com/office/drawing/2014/main" id="{E46D829F-E7F7-4765-8486-F4ACA47C0DD4}"/>
              </a:ext>
            </a:extLst>
          </xdr:cNvPr>
          <xdr:cNvCxnSpPr>
            <a:cxnSpLocks/>
          </xdr:cNvCxnSpPr>
        </xdr:nvCxnSpPr>
        <xdr:spPr>
          <a:xfrm flipV="1">
            <a:off x="7058399" y="2186417"/>
            <a:ext cx="163169" cy="201283"/>
          </a:xfrm>
          <a:prstGeom prst="line">
            <a:avLst/>
          </a:prstGeom>
          <a:ln w="19050">
            <a:solidFill>
              <a:schemeClr val="accent1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Isosceles Triangle 115">
            <a:extLst>
              <a:ext uri="{FF2B5EF4-FFF2-40B4-BE49-F238E27FC236}">
                <a16:creationId xmlns:a16="http://schemas.microsoft.com/office/drawing/2014/main" id="{47DFBC26-1AC5-4FC5-A0E2-F58E86C58D02}"/>
              </a:ext>
            </a:extLst>
          </xdr:cNvPr>
          <xdr:cNvSpPr/>
        </xdr:nvSpPr>
        <xdr:spPr>
          <a:xfrm rot="5400000">
            <a:off x="7441436" y="2200946"/>
            <a:ext cx="225860" cy="186693"/>
          </a:xfrm>
          <a:prstGeom prst="triangle">
            <a:avLst/>
          </a:prstGeom>
          <a:solidFill>
            <a:schemeClr val="bg1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117" name="Straight Arrow Connector 116">
            <a:extLst>
              <a:ext uri="{FF2B5EF4-FFF2-40B4-BE49-F238E27FC236}">
                <a16:creationId xmlns:a16="http://schemas.microsoft.com/office/drawing/2014/main" id="{CCEDB09E-B2C7-4F71-80A5-DEA3BE9BB4D2}"/>
              </a:ext>
            </a:extLst>
          </xdr:cNvPr>
          <xdr:cNvCxnSpPr>
            <a:cxnSpLocks/>
          </xdr:cNvCxnSpPr>
        </xdr:nvCxnSpPr>
        <xdr:spPr>
          <a:xfrm flipV="1">
            <a:off x="7354544" y="2179095"/>
            <a:ext cx="300038" cy="235636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Isosceles Triangle 117">
            <a:extLst>
              <a:ext uri="{FF2B5EF4-FFF2-40B4-BE49-F238E27FC236}">
                <a16:creationId xmlns:a16="http://schemas.microsoft.com/office/drawing/2014/main" id="{1115978A-157E-4F53-8C50-72F1E050833E}"/>
              </a:ext>
            </a:extLst>
          </xdr:cNvPr>
          <xdr:cNvSpPr/>
        </xdr:nvSpPr>
        <xdr:spPr>
          <a:xfrm rot="5400000">
            <a:off x="7810474" y="1617380"/>
            <a:ext cx="230094" cy="250396"/>
          </a:xfrm>
          <a:prstGeom prst="triangl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19" name="Isosceles Triangle 118">
            <a:extLst>
              <a:ext uri="{FF2B5EF4-FFF2-40B4-BE49-F238E27FC236}">
                <a16:creationId xmlns:a16="http://schemas.microsoft.com/office/drawing/2014/main" id="{3B04FE2C-75F4-4B76-B2F2-291531601FF4}"/>
              </a:ext>
            </a:extLst>
          </xdr:cNvPr>
          <xdr:cNvSpPr/>
        </xdr:nvSpPr>
        <xdr:spPr>
          <a:xfrm rot="5400000">
            <a:off x="7901227" y="1617380"/>
            <a:ext cx="230094" cy="250396"/>
          </a:xfrm>
          <a:prstGeom prst="triangl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20" name="Isosceles Triangle 119">
            <a:extLst>
              <a:ext uri="{FF2B5EF4-FFF2-40B4-BE49-F238E27FC236}">
                <a16:creationId xmlns:a16="http://schemas.microsoft.com/office/drawing/2014/main" id="{11E0939C-A8D0-4B65-9A10-7A7C9DF3A198}"/>
              </a:ext>
            </a:extLst>
          </xdr:cNvPr>
          <xdr:cNvSpPr/>
        </xdr:nvSpPr>
        <xdr:spPr>
          <a:xfrm rot="5400000">
            <a:off x="7813902" y="2174628"/>
            <a:ext cx="230094" cy="250396"/>
          </a:xfrm>
          <a:prstGeom prst="triangl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21" name="Isosceles Triangle 120">
            <a:extLst>
              <a:ext uri="{FF2B5EF4-FFF2-40B4-BE49-F238E27FC236}">
                <a16:creationId xmlns:a16="http://schemas.microsoft.com/office/drawing/2014/main" id="{796B4190-CD33-46C9-BBC5-ACA372F17770}"/>
              </a:ext>
            </a:extLst>
          </xdr:cNvPr>
          <xdr:cNvSpPr/>
        </xdr:nvSpPr>
        <xdr:spPr>
          <a:xfrm rot="5400000">
            <a:off x="7904655" y="2174628"/>
            <a:ext cx="230094" cy="250396"/>
          </a:xfrm>
          <a:prstGeom prst="triangl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22" name="Rectangle 121">
            <a:extLst>
              <a:ext uri="{FF2B5EF4-FFF2-40B4-BE49-F238E27FC236}">
                <a16:creationId xmlns:a16="http://schemas.microsoft.com/office/drawing/2014/main" id="{EC5CB178-AE41-40A9-B139-46DA718553AB}"/>
              </a:ext>
            </a:extLst>
          </xdr:cNvPr>
          <xdr:cNvSpPr/>
        </xdr:nvSpPr>
        <xdr:spPr>
          <a:xfrm>
            <a:off x="7944749" y="1906374"/>
            <a:ext cx="369332" cy="451268"/>
          </a:xfrm>
          <a:prstGeom prst="rect">
            <a:avLst/>
          </a:prstGeom>
        </xdr:spPr>
        <xdr:txBody>
          <a:bodyPr vert="vert"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r>
              <a:rPr lang="en-US" sz="1200" b="0"/>
              <a:t>…</a:t>
            </a:r>
          </a:p>
        </xdr:txBody>
      </xdr:sp>
      <xdr:sp macro="" textlink="">
        <xdr:nvSpPr>
          <xdr:cNvPr id="123" name="Isosceles Triangle 122">
            <a:extLst>
              <a:ext uri="{FF2B5EF4-FFF2-40B4-BE49-F238E27FC236}">
                <a16:creationId xmlns:a16="http://schemas.microsoft.com/office/drawing/2014/main" id="{08EA2C4C-5D66-4EBF-93FD-31A732AD16A5}"/>
              </a:ext>
            </a:extLst>
          </xdr:cNvPr>
          <xdr:cNvSpPr/>
        </xdr:nvSpPr>
        <xdr:spPr>
          <a:xfrm rot="5400000">
            <a:off x="7833067" y="2895427"/>
            <a:ext cx="230094" cy="250396"/>
          </a:xfrm>
          <a:prstGeom prst="triangl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24" name="Isosceles Triangle 123">
            <a:extLst>
              <a:ext uri="{FF2B5EF4-FFF2-40B4-BE49-F238E27FC236}">
                <a16:creationId xmlns:a16="http://schemas.microsoft.com/office/drawing/2014/main" id="{C22AC183-3589-4F24-A3DA-AE57BFAC0C75}"/>
              </a:ext>
            </a:extLst>
          </xdr:cNvPr>
          <xdr:cNvSpPr/>
        </xdr:nvSpPr>
        <xdr:spPr>
          <a:xfrm rot="5400000">
            <a:off x="7923820" y="2895427"/>
            <a:ext cx="230094" cy="250396"/>
          </a:xfrm>
          <a:prstGeom prst="triangl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25" name="Rectangle 124">
            <a:extLst>
              <a:ext uri="{FF2B5EF4-FFF2-40B4-BE49-F238E27FC236}">
                <a16:creationId xmlns:a16="http://schemas.microsoft.com/office/drawing/2014/main" id="{21195BBC-68EB-487D-84D9-DF5D8D12CE9C}"/>
              </a:ext>
            </a:extLst>
          </xdr:cNvPr>
          <xdr:cNvSpPr/>
        </xdr:nvSpPr>
        <xdr:spPr>
          <a:xfrm>
            <a:off x="7947757" y="1777803"/>
            <a:ext cx="387429" cy="230832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 algn="ctr"/>
            <a:r>
              <a:rPr lang="en-US" sz="900" b="0"/>
              <a:t>PA</a:t>
            </a:r>
            <a:endParaRPr lang="en-US" sz="1050" b="0"/>
          </a:p>
        </xdr:txBody>
      </xdr:sp>
      <xdr:sp macro="" textlink="">
        <xdr:nvSpPr>
          <xdr:cNvPr id="126" name="Rectangle 125">
            <a:extLst>
              <a:ext uri="{FF2B5EF4-FFF2-40B4-BE49-F238E27FC236}">
                <a16:creationId xmlns:a16="http://schemas.microsoft.com/office/drawing/2014/main" id="{5BA855F9-ECCC-400E-942F-816A05C00C82}"/>
              </a:ext>
            </a:extLst>
          </xdr:cNvPr>
          <xdr:cNvSpPr/>
        </xdr:nvSpPr>
        <xdr:spPr>
          <a:xfrm>
            <a:off x="7091091" y="1788617"/>
            <a:ext cx="387429" cy="230832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 algn="ctr"/>
            <a:r>
              <a:rPr lang="en-US" sz="900" b="0"/>
              <a:t>PS</a:t>
            </a:r>
          </a:p>
        </xdr:txBody>
      </xdr:sp>
      <xdr:sp macro="" textlink="">
        <xdr:nvSpPr>
          <xdr:cNvPr id="127" name="Rectangle 126">
            <a:extLst>
              <a:ext uri="{FF2B5EF4-FFF2-40B4-BE49-F238E27FC236}">
                <a16:creationId xmlns:a16="http://schemas.microsoft.com/office/drawing/2014/main" id="{A8116433-A5B8-4AA2-B3D0-956F41EA2F5E}"/>
              </a:ext>
            </a:extLst>
          </xdr:cNvPr>
          <xdr:cNvSpPr/>
        </xdr:nvSpPr>
        <xdr:spPr>
          <a:xfrm>
            <a:off x="7407955" y="1787550"/>
            <a:ext cx="506186" cy="230832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 algn="ctr"/>
            <a:r>
              <a:rPr lang="en-US" sz="900" b="0"/>
              <a:t>VGA</a:t>
            </a:r>
          </a:p>
        </xdr:txBody>
      </xdr:sp>
    </xdr:grpSp>
    <xdr:clientData/>
  </xdr:twoCellAnchor>
  <xdr:twoCellAnchor>
    <xdr:from>
      <xdr:col>0</xdr:col>
      <xdr:colOff>171450</xdr:colOff>
      <xdr:row>17</xdr:row>
      <xdr:rowOff>57150</xdr:rowOff>
    </xdr:from>
    <xdr:to>
      <xdr:col>8</xdr:col>
      <xdr:colOff>115649</xdr:colOff>
      <xdr:row>28</xdr:row>
      <xdr:rowOff>180025</xdr:rowOff>
    </xdr:to>
    <xdr:grpSp>
      <xdr:nvGrpSpPr>
        <xdr:cNvPr id="128" name="Group 127">
          <a:extLst>
            <a:ext uri="{FF2B5EF4-FFF2-40B4-BE49-F238E27FC236}">
              <a16:creationId xmlns:a16="http://schemas.microsoft.com/office/drawing/2014/main" id="{05C336AF-C42C-42E2-A410-7A5C2DF78B51}"/>
            </a:ext>
          </a:extLst>
        </xdr:cNvPr>
        <xdr:cNvGrpSpPr/>
      </xdr:nvGrpSpPr>
      <xdr:grpSpPr>
        <a:xfrm>
          <a:off x="171450" y="3295650"/>
          <a:ext cx="4820999" cy="2218375"/>
          <a:chOff x="191596" y="3898434"/>
          <a:chExt cx="4820999" cy="2218375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29" name="Rectangle 128">
                <a:extLst>
                  <a:ext uri="{FF2B5EF4-FFF2-40B4-BE49-F238E27FC236}">
                    <a16:creationId xmlns:a16="http://schemas.microsoft.com/office/drawing/2014/main" id="{992D523E-4721-4F76-A797-4E4CFD704D3E}"/>
                  </a:ext>
                </a:extLst>
              </xdr:cNvPr>
              <xdr:cNvSpPr/>
            </xdr:nvSpPr>
            <xdr:spPr>
              <a:xfrm>
                <a:off x="3327309" y="4578194"/>
                <a:ext cx="905632" cy="1417621"/>
              </a:xfrm>
              <a:prstGeom prst="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14:m>
                  <m:oMath xmlns:m="http://schemas.openxmlformats.org/officeDocument/2006/math">
                    <m:r>
                      <a:rPr lang="en-US" sz="10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𝑴</m:t>
                    </m:r>
                    <m:r>
                      <a:rPr lang="en-US" sz="10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sz="10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𝑵</m:t>
                        </m:r>
                      </m:e>
                      <m:sub>
                        <m:r>
                          <a:rPr lang="en-US" sz="10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</m:oMath>
                </a14:m>
                <a:r>
                  <a:rPr lang="en-US" sz="1000">
                    <a:solidFill>
                      <a:schemeClr val="tx1"/>
                    </a:solidFill>
                  </a:rPr>
                  <a:t> </a:t>
                </a:r>
              </a:p>
              <a:p>
                <a:pPr algn="ctr"/>
                <a:r>
                  <a:rPr lang="en-US" sz="1000">
                    <a:solidFill>
                      <a:schemeClr val="tx1"/>
                    </a:solidFill>
                  </a:rPr>
                  <a:t>RF Combiners</a:t>
                </a:r>
              </a:p>
            </xdr:txBody>
          </xdr:sp>
        </mc:Choice>
        <mc:Fallback xmlns="">
          <xdr:sp macro="" textlink="">
            <xdr:nvSpPr>
              <xdr:cNvPr id="129" name="Rectangle 128">
                <a:extLst>
                  <a:ext uri="{FF2B5EF4-FFF2-40B4-BE49-F238E27FC236}">
                    <a16:creationId xmlns:a16="http://schemas.microsoft.com/office/drawing/2014/main" id="{992D523E-4721-4F76-A797-4E4CFD704D3E}"/>
                  </a:ext>
                </a:extLst>
              </xdr:cNvPr>
              <xdr:cNvSpPr/>
            </xdr:nvSpPr>
            <xdr:spPr>
              <a:xfrm>
                <a:off x="3327309" y="4578194"/>
                <a:ext cx="905632" cy="1417621"/>
              </a:xfrm>
              <a:prstGeom prst="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sz="1000" b="1" i="0">
                    <a:solidFill>
                      <a:schemeClr val="tx1"/>
                    </a:solidFill>
                    <a:latin typeface="Cambria Math" panose="02040503050406030204" pitchFamily="18" charset="0"/>
                  </a:rPr>
                  <a:t>𝑴×𝑵_𝒕</a:t>
                </a:r>
                <a:r>
                  <a:rPr lang="en-US" sz="1000">
                    <a:solidFill>
                      <a:schemeClr val="tx1"/>
                    </a:solidFill>
                  </a:rPr>
                  <a:t> </a:t>
                </a:r>
              </a:p>
              <a:p>
                <a:pPr algn="ctr"/>
                <a:r>
                  <a:rPr lang="en-US" sz="1000">
                    <a:solidFill>
                      <a:schemeClr val="tx1"/>
                    </a:solidFill>
                  </a:rPr>
                  <a:t>RF Combiners</a:t>
                </a:r>
              </a:p>
            </xdr:txBody>
          </xdr:sp>
        </mc:Fallback>
      </mc:AlternateContent>
      <xdr:cxnSp macro="">
        <xdr:nvCxnSpPr>
          <xdr:cNvPr id="130" name="Straight Connector 129">
            <a:extLst>
              <a:ext uri="{FF2B5EF4-FFF2-40B4-BE49-F238E27FC236}">
                <a16:creationId xmlns:a16="http://schemas.microsoft.com/office/drawing/2014/main" id="{7A8E7752-2120-4CEB-8816-EFCB3EC245A0}"/>
              </a:ext>
            </a:extLst>
          </xdr:cNvPr>
          <xdr:cNvCxnSpPr>
            <a:cxnSpLocks/>
          </xdr:cNvCxnSpPr>
        </xdr:nvCxnSpPr>
        <xdr:spPr>
          <a:xfrm>
            <a:off x="549023" y="5806135"/>
            <a:ext cx="3221307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Straight Connector 130">
            <a:extLst>
              <a:ext uri="{FF2B5EF4-FFF2-40B4-BE49-F238E27FC236}">
                <a16:creationId xmlns:a16="http://schemas.microsoft.com/office/drawing/2014/main" id="{6DBD87A6-4EBD-46AE-8686-E2275E18AEC9}"/>
              </a:ext>
            </a:extLst>
          </xdr:cNvPr>
          <xdr:cNvCxnSpPr>
            <a:cxnSpLocks/>
          </xdr:cNvCxnSpPr>
        </xdr:nvCxnSpPr>
        <xdr:spPr>
          <a:xfrm>
            <a:off x="549023" y="4836916"/>
            <a:ext cx="3221307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2" name="TextBox 6">
            <a:extLst>
              <a:ext uri="{FF2B5EF4-FFF2-40B4-BE49-F238E27FC236}">
                <a16:creationId xmlns:a16="http://schemas.microsoft.com/office/drawing/2014/main" id="{67D17C8B-B66E-4A88-8BCB-F5648C34F0EE}"/>
              </a:ext>
            </a:extLst>
          </xdr:cNvPr>
          <xdr:cNvSpPr txBox="1"/>
        </xdr:nvSpPr>
        <xdr:spPr>
          <a:xfrm>
            <a:off x="456973" y="3898434"/>
            <a:ext cx="3698172" cy="338554"/>
          </a:xfrm>
          <a:prstGeom prst="rect">
            <a:avLst/>
          </a:prstGeom>
          <a:solidFill>
            <a:schemeClr val="bg2">
              <a:lumMod val="40000"/>
              <a:lumOff val="60000"/>
            </a:schemeClr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pPr algn="ctr"/>
            <a:r>
              <a:rPr lang="en-US" sz="1600"/>
              <a:t>Fully Connected Hybrid Array</a:t>
            </a:r>
          </a:p>
        </xdr:txBody>
      </xdr:sp>
      <xdr:sp macro="" textlink="">
        <xdr:nvSpPr>
          <xdr:cNvPr id="133" name="Rectangle 132">
            <a:extLst>
              <a:ext uri="{FF2B5EF4-FFF2-40B4-BE49-F238E27FC236}">
                <a16:creationId xmlns:a16="http://schemas.microsoft.com/office/drawing/2014/main" id="{626689B9-51C7-4B0A-9EE2-7244B275D3F5}"/>
              </a:ext>
            </a:extLst>
          </xdr:cNvPr>
          <xdr:cNvSpPr/>
        </xdr:nvSpPr>
        <xdr:spPr>
          <a:xfrm>
            <a:off x="1516051" y="4616380"/>
            <a:ext cx="690731" cy="332370"/>
          </a:xfrm>
          <a:prstGeom prst="rect">
            <a:avLst/>
          </a:prstGeom>
          <a:solidFill>
            <a:srgbClr val="C5D9EC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solidFill>
                  <a:schemeClr val="tx1"/>
                </a:solidFill>
              </a:rPr>
              <a:t>RF Chain 1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34" name="Rectangle 133">
                <a:extLst>
                  <a:ext uri="{FF2B5EF4-FFF2-40B4-BE49-F238E27FC236}">
                    <a16:creationId xmlns:a16="http://schemas.microsoft.com/office/drawing/2014/main" id="{E95B25E0-1C63-491A-8C58-6675D4BB65B2}"/>
                  </a:ext>
                </a:extLst>
              </xdr:cNvPr>
              <xdr:cNvSpPr/>
            </xdr:nvSpPr>
            <xdr:spPr>
              <a:xfrm>
                <a:off x="1516051" y="5656651"/>
                <a:ext cx="690730" cy="286534"/>
              </a:xfrm>
              <a:prstGeom prst="rect">
                <a:avLst/>
              </a:prstGeom>
              <a:solidFill>
                <a:srgbClr val="C5D9EC"/>
              </a:solidFill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sz="1000">
                    <a:solidFill>
                      <a:schemeClr val="tx1"/>
                    </a:solidFill>
                  </a:rPr>
                  <a:t>RF Chain </a:t>
                </a:r>
                <a14:m>
                  <m:oMath xmlns:m="http://schemas.openxmlformats.org/officeDocument/2006/math">
                    <m:r>
                      <a:rPr lang="en-US" sz="10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𝑴</m:t>
                    </m:r>
                  </m:oMath>
                </a14:m>
                <a:endParaRPr lang="en-US" sz="1000">
                  <a:solidFill>
                    <a:schemeClr val="tx1"/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134" name="Rectangle 133">
                <a:extLst>
                  <a:ext uri="{FF2B5EF4-FFF2-40B4-BE49-F238E27FC236}">
                    <a16:creationId xmlns:a16="http://schemas.microsoft.com/office/drawing/2014/main" id="{E95B25E0-1C63-491A-8C58-6675D4BB65B2}"/>
                  </a:ext>
                </a:extLst>
              </xdr:cNvPr>
              <xdr:cNvSpPr/>
            </xdr:nvSpPr>
            <xdr:spPr>
              <a:xfrm>
                <a:off x="1516051" y="5656651"/>
                <a:ext cx="690730" cy="286534"/>
              </a:xfrm>
              <a:prstGeom prst="rect">
                <a:avLst/>
              </a:prstGeom>
              <a:solidFill>
                <a:srgbClr val="C5D9EC"/>
              </a:solidFill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sz="1000">
                    <a:solidFill>
                      <a:schemeClr val="tx1"/>
                    </a:solidFill>
                  </a:rPr>
                  <a:t>RF Chain </a:t>
                </a:r>
                <a:r>
                  <a:rPr lang="en-US" sz="1000" b="1" i="0">
                    <a:solidFill>
                      <a:schemeClr val="tx1"/>
                    </a:solidFill>
                    <a:latin typeface="Cambria Math" panose="02040503050406030204" pitchFamily="18" charset="0"/>
                  </a:rPr>
                  <a:t>𝑴</a:t>
                </a:r>
                <a:endParaRPr lang="en-US" sz="1000">
                  <a:solidFill>
                    <a:schemeClr val="tx1"/>
                  </a:solidFill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35" name="Rectangle 134">
                <a:extLst>
                  <a:ext uri="{FF2B5EF4-FFF2-40B4-BE49-F238E27FC236}">
                    <a16:creationId xmlns:a16="http://schemas.microsoft.com/office/drawing/2014/main" id="{F776980E-50C0-4DE9-9C3C-E52F517C547E}"/>
                  </a:ext>
                </a:extLst>
              </xdr:cNvPr>
              <xdr:cNvSpPr/>
            </xdr:nvSpPr>
            <xdr:spPr>
              <a:xfrm>
                <a:off x="2319712" y="4578194"/>
                <a:ext cx="663322" cy="456075"/>
              </a:xfrm>
              <a:prstGeom prst="rect">
                <a:avLst/>
              </a:prstGeom>
              <a:solidFill>
                <a:srgbClr val="C1F8BA"/>
              </a:solidFill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14:m>
                  <m:oMath xmlns:m="http://schemas.openxmlformats.org/officeDocument/2006/math">
                    <m:sSub>
                      <m:sSubPr>
                        <m:ctrlPr>
                          <a:rPr lang="en-US" sz="10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𝑵</m:t>
                        </m:r>
                      </m:e>
                      <m:sub>
                        <m:r>
                          <a:rPr lang="en-US" sz="10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</m:oMath>
                </a14:m>
                <a:r>
                  <a:rPr lang="en-US" sz="1000">
                    <a:solidFill>
                      <a:schemeClr val="tx1"/>
                    </a:solidFill>
                  </a:rPr>
                  <a:t> Phase/Gain</a:t>
                </a:r>
              </a:p>
            </xdr:txBody>
          </xdr:sp>
        </mc:Choice>
        <mc:Fallback xmlns="">
          <xdr:sp macro="" textlink="">
            <xdr:nvSpPr>
              <xdr:cNvPr id="135" name="Rectangle 134">
                <a:extLst>
                  <a:ext uri="{FF2B5EF4-FFF2-40B4-BE49-F238E27FC236}">
                    <a16:creationId xmlns:a16="http://schemas.microsoft.com/office/drawing/2014/main" id="{F776980E-50C0-4DE9-9C3C-E52F517C547E}"/>
                  </a:ext>
                </a:extLst>
              </xdr:cNvPr>
              <xdr:cNvSpPr/>
            </xdr:nvSpPr>
            <xdr:spPr>
              <a:xfrm>
                <a:off x="2319712" y="4578194"/>
                <a:ext cx="663322" cy="456075"/>
              </a:xfrm>
              <a:prstGeom prst="rect">
                <a:avLst/>
              </a:prstGeom>
              <a:solidFill>
                <a:srgbClr val="C1F8BA"/>
              </a:solidFill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sz="1000" b="1" i="0">
                    <a:solidFill>
                      <a:schemeClr val="tx1"/>
                    </a:solidFill>
                    <a:latin typeface="Cambria Math" panose="02040503050406030204" pitchFamily="18" charset="0"/>
                  </a:rPr>
                  <a:t>𝑵_𝒕</a:t>
                </a:r>
                <a:r>
                  <a:rPr lang="en-US" sz="1000">
                    <a:solidFill>
                      <a:schemeClr val="tx1"/>
                    </a:solidFill>
                  </a:rPr>
                  <a:t> Phase/Gain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36" name="Rectangle 135">
                <a:extLst>
                  <a:ext uri="{FF2B5EF4-FFF2-40B4-BE49-F238E27FC236}">
                    <a16:creationId xmlns:a16="http://schemas.microsoft.com/office/drawing/2014/main" id="{ACA334E2-600E-40A1-914A-29B519AC581A}"/>
                  </a:ext>
                </a:extLst>
              </xdr:cNvPr>
              <xdr:cNvSpPr/>
            </xdr:nvSpPr>
            <xdr:spPr>
              <a:xfrm>
                <a:off x="2319711" y="5544547"/>
                <a:ext cx="663323" cy="451268"/>
              </a:xfrm>
              <a:prstGeom prst="rect">
                <a:avLst/>
              </a:prstGeom>
              <a:solidFill>
                <a:srgbClr val="C1F8BA"/>
              </a:solidFill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14:m>
                  <m:oMath xmlns:m="http://schemas.openxmlformats.org/officeDocument/2006/math">
                    <m:sSub>
                      <m:sSubPr>
                        <m:ctrlPr>
                          <a:rPr lang="en-US" sz="10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𝑵</m:t>
                        </m:r>
                      </m:e>
                      <m:sub>
                        <m:r>
                          <a:rPr lang="en-US" sz="10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</m:oMath>
                </a14:m>
                <a:r>
                  <a:rPr lang="en-US" sz="1000">
                    <a:solidFill>
                      <a:schemeClr val="tx1"/>
                    </a:solidFill>
                  </a:rPr>
                  <a:t> Phase/Gain</a:t>
                </a:r>
              </a:p>
            </xdr:txBody>
          </xdr:sp>
        </mc:Choice>
        <mc:Fallback xmlns="">
          <xdr:sp macro="" textlink="">
            <xdr:nvSpPr>
              <xdr:cNvPr id="136" name="Rectangle 135">
                <a:extLst>
                  <a:ext uri="{FF2B5EF4-FFF2-40B4-BE49-F238E27FC236}">
                    <a16:creationId xmlns:a16="http://schemas.microsoft.com/office/drawing/2014/main" id="{ACA334E2-600E-40A1-914A-29B519AC581A}"/>
                  </a:ext>
                </a:extLst>
              </xdr:cNvPr>
              <xdr:cNvSpPr/>
            </xdr:nvSpPr>
            <xdr:spPr>
              <a:xfrm>
                <a:off x="2319711" y="5544547"/>
                <a:ext cx="663323" cy="451268"/>
              </a:xfrm>
              <a:prstGeom prst="rect">
                <a:avLst/>
              </a:prstGeom>
              <a:solidFill>
                <a:srgbClr val="C1F8BA"/>
              </a:solidFill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sz="1000" b="1" i="0">
                    <a:solidFill>
                      <a:schemeClr val="tx1"/>
                    </a:solidFill>
                    <a:latin typeface="Cambria Math" panose="02040503050406030204" pitchFamily="18" charset="0"/>
                  </a:rPr>
                  <a:t>𝑵_𝒕</a:t>
                </a:r>
                <a:r>
                  <a:rPr lang="en-US" sz="1000">
                    <a:solidFill>
                      <a:schemeClr val="tx1"/>
                    </a:solidFill>
                  </a:rPr>
                  <a:t> Phase/Gain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37" name="Rectangle 136">
                <a:extLst>
                  <a:ext uri="{FF2B5EF4-FFF2-40B4-BE49-F238E27FC236}">
                    <a16:creationId xmlns:a16="http://schemas.microsoft.com/office/drawing/2014/main" id="{65CCC438-1EF4-4D37-BB9F-07F7A2B73F29}"/>
                  </a:ext>
                </a:extLst>
              </xdr:cNvPr>
              <xdr:cNvSpPr/>
            </xdr:nvSpPr>
            <xdr:spPr>
              <a:xfrm>
                <a:off x="191596" y="4694834"/>
                <a:ext cx="495026" cy="253916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05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05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en-US" sz="105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oMath>
                  </m:oMathPara>
                </a14:m>
                <a:endParaRPr lang="en-US" sz="1050" b="0"/>
              </a:p>
            </xdr:txBody>
          </xdr:sp>
        </mc:Choice>
        <mc:Fallback xmlns="">
          <xdr:sp macro="" textlink="">
            <xdr:nvSpPr>
              <xdr:cNvPr id="137" name="Rectangle 136">
                <a:extLst>
                  <a:ext uri="{FF2B5EF4-FFF2-40B4-BE49-F238E27FC236}">
                    <a16:creationId xmlns:a16="http://schemas.microsoft.com/office/drawing/2014/main" id="{65CCC438-1EF4-4D37-BB9F-07F7A2B73F29}"/>
                  </a:ext>
                </a:extLst>
              </xdr:cNvPr>
              <xdr:cNvSpPr/>
            </xdr:nvSpPr>
            <xdr:spPr>
              <a:xfrm>
                <a:off x="191596" y="4694834"/>
                <a:ext cx="495026" cy="253916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9pPr>
              </a:lstStyle>
              <a:p>
                <a:pPr/>
                <a:r>
                  <a:rPr lang="en-US" sz="1050" b="0" i="0">
                    <a:latin typeface="Cambria Math" panose="02040503050406030204" pitchFamily="18" charset="0"/>
                  </a:rPr>
                  <a:t>𝑆_1</a:t>
                </a:r>
                <a:endParaRPr lang="en-US" sz="105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38" name="Rectangle 137">
                <a:extLst>
                  <a:ext uri="{FF2B5EF4-FFF2-40B4-BE49-F238E27FC236}">
                    <a16:creationId xmlns:a16="http://schemas.microsoft.com/office/drawing/2014/main" id="{DB6120B4-05E8-4F62-9D0F-A62C750EC4FA}"/>
                  </a:ext>
                </a:extLst>
              </xdr:cNvPr>
              <xdr:cNvSpPr/>
            </xdr:nvSpPr>
            <xdr:spPr>
              <a:xfrm>
                <a:off x="191596" y="5656379"/>
                <a:ext cx="495026" cy="253916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05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05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en-US" sz="1050" b="0" i="1">
                              <a:latin typeface="Cambria Math" panose="02040503050406030204" pitchFamily="18" charset="0"/>
                            </a:rPr>
                            <m:t>𝑀</m:t>
                          </m:r>
                        </m:sub>
                      </m:sSub>
                    </m:oMath>
                  </m:oMathPara>
                </a14:m>
                <a:endParaRPr lang="en-US" sz="1050" b="0"/>
              </a:p>
            </xdr:txBody>
          </xdr:sp>
        </mc:Choice>
        <mc:Fallback xmlns="">
          <xdr:sp macro="" textlink="">
            <xdr:nvSpPr>
              <xdr:cNvPr id="138" name="Rectangle 137">
                <a:extLst>
                  <a:ext uri="{FF2B5EF4-FFF2-40B4-BE49-F238E27FC236}">
                    <a16:creationId xmlns:a16="http://schemas.microsoft.com/office/drawing/2014/main" id="{DB6120B4-05E8-4F62-9D0F-A62C750EC4FA}"/>
                  </a:ext>
                </a:extLst>
              </xdr:cNvPr>
              <xdr:cNvSpPr/>
            </xdr:nvSpPr>
            <xdr:spPr>
              <a:xfrm>
                <a:off x="191596" y="5656379"/>
                <a:ext cx="495026" cy="253916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9pPr>
              </a:lstStyle>
              <a:p>
                <a:pPr/>
                <a:r>
                  <a:rPr lang="en-US" sz="1050" b="0" i="0">
                    <a:latin typeface="Cambria Math" panose="02040503050406030204" pitchFamily="18" charset="0"/>
                  </a:rPr>
                  <a:t>𝑆_𝑀</a:t>
                </a:r>
                <a:endParaRPr lang="en-US" sz="1050" b="0"/>
              </a:p>
            </xdr:txBody>
          </xdr:sp>
        </mc:Fallback>
      </mc:AlternateContent>
      <xdr:cxnSp macro="">
        <xdr:nvCxnSpPr>
          <xdr:cNvPr id="139" name="Straight Connector 138">
            <a:extLst>
              <a:ext uri="{FF2B5EF4-FFF2-40B4-BE49-F238E27FC236}">
                <a16:creationId xmlns:a16="http://schemas.microsoft.com/office/drawing/2014/main" id="{BBFEB4C5-DCFF-42CF-ACBB-D1B9C1AEBE3E}"/>
              </a:ext>
            </a:extLst>
          </xdr:cNvPr>
          <xdr:cNvCxnSpPr/>
        </xdr:nvCxnSpPr>
        <xdr:spPr>
          <a:xfrm flipV="1">
            <a:off x="3110492" y="4757976"/>
            <a:ext cx="144726" cy="19077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0" name="Straight Connector 139">
            <a:extLst>
              <a:ext uri="{FF2B5EF4-FFF2-40B4-BE49-F238E27FC236}">
                <a16:creationId xmlns:a16="http://schemas.microsoft.com/office/drawing/2014/main" id="{67CB517F-46D3-4621-BD25-0EEF55195F98}"/>
              </a:ext>
            </a:extLst>
          </xdr:cNvPr>
          <xdr:cNvCxnSpPr/>
        </xdr:nvCxnSpPr>
        <xdr:spPr>
          <a:xfrm flipV="1">
            <a:off x="3110491" y="5686629"/>
            <a:ext cx="144726" cy="19077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41" name="Rectangle 140">
                <a:extLst>
                  <a:ext uri="{FF2B5EF4-FFF2-40B4-BE49-F238E27FC236}">
                    <a16:creationId xmlns:a16="http://schemas.microsoft.com/office/drawing/2014/main" id="{A8071062-82EF-4488-A2E7-511D5B758178}"/>
                  </a:ext>
                </a:extLst>
              </xdr:cNvPr>
              <xdr:cNvSpPr/>
            </xdr:nvSpPr>
            <xdr:spPr>
              <a:xfrm>
                <a:off x="2998660" y="4535405"/>
                <a:ext cx="303702" cy="253916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05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050" b="0" i="1">
                              <a:latin typeface="Cambria Math" panose="02040503050406030204" pitchFamily="18" charset="0"/>
                            </a:rPr>
                            <m:t>𝑁</m:t>
                          </m:r>
                        </m:e>
                        <m:sub>
                          <m:r>
                            <a:rPr lang="en-US" sz="105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</m:oMath>
                  </m:oMathPara>
                </a14:m>
                <a:endParaRPr lang="en-US" sz="1050" b="0"/>
              </a:p>
            </xdr:txBody>
          </xdr:sp>
        </mc:Choice>
        <mc:Fallback xmlns="">
          <xdr:sp macro="" textlink="">
            <xdr:nvSpPr>
              <xdr:cNvPr id="141" name="Rectangle 140">
                <a:extLst>
                  <a:ext uri="{FF2B5EF4-FFF2-40B4-BE49-F238E27FC236}">
                    <a16:creationId xmlns:a16="http://schemas.microsoft.com/office/drawing/2014/main" id="{A8071062-82EF-4488-A2E7-511D5B758178}"/>
                  </a:ext>
                </a:extLst>
              </xdr:cNvPr>
              <xdr:cNvSpPr/>
            </xdr:nvSpPr>
            <xdr:spPr>
              <a:xfrm>
                <a:off x="2998660" y="4535405"/>
                <a:ext cx="303702" cy="253916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9pPr>
              </a:lstStyle>
              <a:p>
                <a:pPr/>
                <a:r>
                  <a:rPr lang="en-US" sz="1050" b="0" i="0">
                    <a:latin typeface="Cambria Math" panose="02040503050406030204" pitchFamily="18" charset="0"/>
                  </a:rPr>
                  <a:t>𝑁_𝑡</a:t>
                </a:r>
                <a:endParaRPr lang="en-US" sz="105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42" name="Rectangle 141">
                <a:extLst>
                  <a:ext uri="{FF2B5EF4-FFF2-40B4-BE49-F238E27FC236}">
                    <a16:creationId xmlns:a16="http://schemas.microsoft.com/office/drawing/2014/main" id="{6E808C4A-E4BD-4475-BAEC-47CF8E41A593}"/>
                  </a:ext>
                </a:extLst>
              </xdr:cNvPr>
              <xdr:cNvSpPr/>
            </xdr:nvSpPr>
            <xdr:spPr>
              <a:xfrm>
                <a:off x="2985502" y="5440386"/>
                <a:ext cx="303702" cy="253916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05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050" b="0" i="1">
                              <a:latin typeface="Cambria Math" panose="02040503050406030204" pitchFamily="18" charset="0"/>
                            </a:rPr>
                            <m:t>𝑁</m:t>
                          </m:r>
                        </m:e>
                        <m:sub>
                          <m:r>
                            <a:rPr lang="en-US" sz="105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</m:oMath>
                  </m:oMathPara>
                </a14:m>
                <a:endParaRPr lang="en-US" sz="1050" b="0"/>
              </a:p>
            </xdr:txBody>
          </xdr:sp>
        </mc:Choice>
        <mc:Fallback xmlns="">
          <xdr:sp macro="" textlink="">
            <xdr:nvSpPr>
              <xdr:cNvPr id="142" name="Rectangle 141">
                <a:extLst>
                  <a:ext uri="{FF2B5EF4-FFF2-40B4-BE49-F238E27FC236}">
                    <a16:creationId xmlns:a16="http://schemas.microsoft.com/office/drawing/2014/main" id="{6E808C4A-E4BD-4475-BAEC-47CF8E41A593}"/>
                  </a:ext>
                </a:extLst>
              </xdr:cNvPr>
              <xdr:cNvSpPr/>
            </xdr:nvSpPr>
            <xdr:spPr>
              <a:xfrm>
                <a:off x="2985502" y="5440386"/>
                <a:ext cx="303702" cy="253916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9pPr>
              </a:lstStyle>
              <a:p>
                <a:pPr/>
                <a:r>
                  <a:rPr lang="en-US" sz="1050" b="0" i="0">
                    <a:latin typeface="Cambria Math" panose="02040503050406030204" pitchFamily="18" charset="0"/>
                  </a:rPr>
                  <a:t>𝑁_𝑡</a:t>
                </a:r>
                <a:endParaRPr lang="en-US" sz="1050" b="0"/>
              </a:p>
            </xdr:txBody>
          </xdr:sp>
        </mc:Fallback>
      </mc:AlternateContent>
      <xdr:sp macro="" textlink="">
        <xdr:nvSpPr>
          <xdr:cNvPr id="143" name="Rectangle 142">
            <a:extLst>
              <a:ext uri="{FF2B5EF4-FFF2-40B4-BE49-F238E27FC236}">
                <a16:creationId xmlns:a16="http://schemas.microsoft.com/office/drawing/2014/main" id="{6ACBD74F-BACA-47D6-9EDB-CBB4C5B8C07C}"/>
              </a:ext>
            </a:extLst>
          </xdr:cNvPr>
          <xdr:cNvSpPr/>
        </xdr:nvSpPr>
        <xdr:spPr>
          <a:xfrm>
            <a:off x="2720132" y="5178123"/>
            <a:ext cx="369332" cy="451268"/>
          </a:xfrm>
          <a:prstGeom prst="rect">
            <a:avLst/>
          </a:prstGeom>
        </xdr:spPr>
        <xdr:txBody>
          <a:bodyPr vert="vert"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r>
              <a:rPr lang="en-US" sz="1200" b="0"/>
              <a:t>…</a:t>
            </a:r>
          </a:p>
        </xdr:txBody>
      </xdr:sp>
      <xdr:sp macro="" textlink="">
        <xdr:nvSpPr>
          <xdr:cNvPr id="144" name="Rectangle 143">
            <a:extLst>
              <a:ext uri="{FF2B5EF4-FFF2-40B4-BE49-F238E27FC236}">
                <a16:creationId xmlns:a16="http://schemas.microsoft.com/office/drawing/2014/main" id="{90129034-17AF-4352-9AAC-E828EDDAEEB8}"/>
              </a:ext>
            </a:extLst>
          </xdr:cNvPr>
          <xdr:cNvSpPr/>
        </xdr:nvSpPr>
        <xdr:spPr>
          <a:xfrm>
            <a:off x="1837922" y="5172493"/>
            <a:ext cx="369332" cy="451268"/>
          </a:xfrm>
          <a:prstGeom prst="rect">
            <a:avLst/>
          </a:prstGeom>
        </xdr:spPr>
        <xdr:txBody>
          <a:bodyPr vert="vert"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r>
              <a:rPr lang="en-US" sz="1200" b="0"/>
              <a:t>…</a:t>
            </a:r>
          </a:p>
        </xdr:txBody>
      </xdr:sp>
      <xdr:sp macro="" textlink="">
        <xdr:nvSpPr>
          <xdr:cNvPr id="145" name="Rectangle 144">
            <a:extLst>
              <a:ext uri="{FF2B5EF4-FFF2-40B4-BE49-F238E27FC236}">
                <a16:creationId xmlns:a16="http://schemas.microsoft.com/office/drawing/2014/main" id="{28B131B1-3661-4C42-ACE5-AFE4B35A61D7}"/>
              </a:ext>
            </a:extLst>
          </xdr:cNvPr>
          <xdr:cNvSpPr/>
        </xdr:nvSpPr>
        <xdr:spPr>
          <a:xfrm>
            <a:off x="4233837" y="5189725"/>
            <a:ext cx="369332" cy="451268"/>
          </a:xfrm>
          <a:prstGeom prst="rect">
            <a:avLst/>
          </a:prstGeom>
        </xdr:spPr>
        <xdr:txBody>
          <a:bodyPr vert="vert"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r>
              <a:rPr lang="en-US" sz="1200" b="0"/>
              <a:t>…</a:t>
            </a:r>
          </a:p>
        </xdr:txBody>
      </xdr:sp>
      <xdr:sp macro="" textlink="">
        <xdr:nvSpPr>
          <xdr:cNvPr id="146" name="Rectangle 145">
            <a:extLst>
              <a:ext uri="{FF2B5EF4-FFF2-40B4-BE49-F238E27FC236}">
                <a16:creationId xmlns:a16="http://schemas.microsoft.com/office/drawing/2014/main" id="{FDA8D268-D4D3-43E8-870D-D58644F43001}"/>
              </a:ext>
            </a:extLst>
          </xdr:cNvPr>
          <xdr:cNvSpPr/>
        </xdr:nvSpPr>
        <xdr:spPr>
          <a:xfrm>
            <a:off x="313646" y="5189725"/>
            <a:ext cx="369332" cy="451268"/>
          </a:xfrm>
          <a:prstGeom prst="rect">
            <a:avLst/>
          </a:prstGeom>
        </xdr:spPr>
        <xdr:txBody>
          <a:bodyPr vert="vert" wrap="square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2"/>
                </a:solidFill>
                <a:latin typeface="Arial" charset="0"/>
                <a:ea typeface="+mn-ea"/>
                <a:cs typeface="Arial" charset="0"/>
              </a:defRPr>
            </a:lvl9pPr>
          </a:lstStyle>
          <a:p>
            <a:r>
              <a:rPr lang="en-US" sz="1200" b="0"/>
              <a:t>…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47" name="Rectangle 146">
                <a:extLst>
                  <a:ext uri="{FF2B5EF4-FFF2-40B4-BE49-F238E27FC236}">
                    <a16:creationId xmlns:a16="http://schemas.microsoft.com/office/drawing/2014/main" id="{6C2466D0-CD1D-419D-94E0-8EB8AE7D0986}"/>
                  </a:ext>
                </a:extLst>
              </xdr:cNvPr>
              <xdr:cNvSpPr/>
            </xdr:nvSpPr>
            <xdr:spPr>
              <a:xfrm>
                <a:off x="4192483" y="4401615"/>
                <a:ext cx="820112" cy="415498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9pPr>
              </a:lstStyle>
              <a:p>
                <a:pPr algn="ctr"/>
                <a:r>
                  <a:rPr lang="en-US" sz="1050" b="0"/>
                  <a:t>Array size</a:t>
                </a:r>
              </a:p>
              <a:p>
                <a:pPr algn="ctr"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sz="105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050" b="0" i="1">
                              <a:latin typeface="Cambria Math" panose="02040503050406030204" pitchFamily="18" charset="0"/>
                            </a:rPr>
                            <m:t>𝑁</m:t>
                          </m:r>
                        </m:e>
                        <m:sub>
                          <m:r>
                            <a:rPr lang="en-US" sz="105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</m:oMath>
                  </m:oMathPara>
                </a14:m>
                <a:endParaRPr lang="en-US" sz="1050" b="0"/>
              </a:p>
            </xdr:txBody>
          </xdr:sp>
        </mc:Choice>
        <mc:Fallback xmlns="">
          <xdr:sp macro="" textlink="">
            <xdr:nvSpPr>
              <xdr:cNvPr id="147" name="Rectangle 146">
                <a:extLst>
                  <a:ext uri="{FF2B5EF4-FFF2-40B4-BE49-F238E27FC236}">
                    <a16:creationId xmlns:a16="http://schemas.microsoft.com/office/drawing/2014/main" id="{6C2466D0-CD1D-419D-94E0-8EB8AE7D0986}"/>
                  </a:ext>
                </a:extLst>
              </xdr:cNvPr>
              <xdr:cNvSpPr/>
            </xdr:nvSpPr>
            <xdr:spPr>
              <a:xfrm>
                <a:off x="4192483" y="4401615"/>
                <a:ext cx="820112" cy="415498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5pPr>
                <a:lvl6pPr marL="22860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6pPr>
                <a:lvl7pPr marL="27432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7pPr>
                <a:lvl8pPr marL="32004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8pPr>
                <a:lvl9pPr marL="3657600" algn="l" defTabSz="914400" rtl="0" eaLnBrk="1" latinLnBrk="0" hangingPunct="1">
                  <a:defRPr b="1" kern="1200">
                    <a:solidFill>
                      <a:schemeClr val="tx2"/>
                    </a:solidFill>
                    <a:latin typeface="Arial" charset="0"/>
                    <a:ea typeface="+mn-ea"/>
                    <a:cs typeface="Arial" charset="0"/>
                  </a:defRPr>
                </a:lvl9pPr>
              </a:lstStyle>
              <a:p>
                <a:pPr algn="ctr"/>
                <a:r>
                  <a:rPr lang="en-US" sz="1050" b="0"/>
                  <a:t>Array size</a:t>
                </a:r>
              </a:p>
              <a:p>
                <a:pPr algn="ctr"/>
                <a:r>
                  <a:rPr lang="en-US" sz="1050" b="0" i="0">
                    <a:latin typeface="Cambria Math" panose="02040503050406030204" pitchFamily="18" charset="0"/>
                  </a:rPr>
                  <a:t>𝑁_𝑡</a:t>
                </a:r>
                <a:endParaRPr lang="en-US" sz="1050" b="0"/>
              </a:p>
            </xdr:txBody>
          </xdr:sp>
        </mc:Fallback>
      </mc:AlternateContent>
      <xdr:sp macro="" textlink="">
        <xdr:nvSpPr>
          <xdr:cNvPr id="148" name="Rectangle 147">
            <a:extLst>
              <a:ext uri="{FF2B5EF4-FFF2-40B4-BE49-F238E27FC236}">
                <a16:creationId xmlns:a16="http://schemas.microsoft.com/office/drawing/2014/main" id="{04EA762E-E559-4AC4-84EB-D727F47B2A71}"/>
              </a:ext>
            </a:extLst>
          </xdr:cNvPr>
          <xdr:cNvSpPr/>
        </xdr:nvSpPr>
        <xdr:spPr>
          <a:xfrm>
            <a:off x="611970" y="4488260"/>
            <a:ext cx="815171" cy="1628549"/>
          </a:xfrm>
          <a:prstGeom prst="rect">
            <a:avLst/>
          </a:prstGeom>
          <a:solidFill>
            <a:schemeClr val="bg1">
              <a:lumMod val="95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00">
                <a:solidFill>
                  <a:schemeClr val="tx1"/>
                </a:solidFill>
              </a:rPr>
              <a:t>Digital Precoding</a:t>
            </a:r>
          </a:p>
        </xdr:txBody>
      </xdr:sp>
      <xdr:cxnSp macro="">
        <xdr:nvCxnSpPr>
          <xdr:cNvPr id="149" name="Straight Connector 148">
            <a:extLst>
              <a:ext uri="{FF2B5EF4-FFF2-40B4-BE49-F238E27FC236}">
                <a16:creationId xmlns:a16="http://schemas.microsoft.com/office/drawing/2014/main" id="{C57F699F-2BC1-4070-9486-F8A420256F41}"/>
              </a:ext>
            </a:extLst>
          </xdr:cNvPr>
          <xdr:cNvCxnSpPr>
            <a:cxnSpLocks/>
          </xdr:cNvCxnSpPr>
        </xdr:nvCxnSpPr>
        <xdr:spPr>
          <a:xfrm flipV="1">
            <a:off x="3421542" y="4919452"/>
            <a:ext cx="0" cy="88344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" name="Straight Connector 149">
            <a:extLst>
              <a:ext uri="{FF2B5EF4-FFF2-40B4-BE49-F238E27FC236}">
                <a16:creationId xmlns:a16="http://schemas.microsoft.com/office/drawing/2014/main" id="{7E4FC549-D815-438D-97EC-763C2F435AC8}"/>
              </a:ext>
            </a:extLst>
          </xdr:cNvPr>
          <xdr:cNvCxnSpPr>
            <a:cxnSpLocks/>
          </xdr:cNvCxnSpPr>
        </xdr:nvCxnSpPr>
        <xdr:spPr>
          <a:xfrm>
            <a:off x="3421542" y="4919452"/>
            <a:ext cx="304076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1" name="Oval 150">
            <a:extLst>
              <a:ext uri="{FF2B5EF4-FFF2-40B4-BE49-F238E27FC236}">
                <a16:creationId xmlns:a16="http://schemas.microsoft.com/office/drawing/2014/main" id="{507526F4-8781-4129-81B7-F97F083F162C}"/>
              </a:ext>
            </a:extLst>
          </xdr:cNvPr>
          <xdr:cNvSpPr/>
        </xdr:nvSpPr>
        <xdr:spPr>
          <a:xfrm>
            <a:off x="3687638" y="4761816"/>
            <a:ext cx="264369" cy="247038"/>
          </a:xfrm>
          <a:prstGeom prst="ellipse">
            <a:avLst/>
          </a:prstGeom>
          <a:solidFill>
            <a:schemeClr val="bg1"/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400">
                <a:solidFill>
                  <a:schemeClr val="accent1"/>
                </a:solidFill>
              </a:rPr>
              <a:t>+</a:t>
            </a:r>
          </a:p>
        </xdr:txBody>
      </xdr:sp>
      <xdr:cxnSp macro="">
        <xdr:nvCxnSpPr>
          <xdr:cNvPr id="152" name="Straight Connector 151">
            <a:extLst>
              <a:ext uri="{FF2B5EF4-FFF2-40B4-BE49-F238E27FC236}">
                <a16:creationId xmlns:a16="http://schemas.microsoft.com/office/drawing/2014/main" id="{8500DAD8-C2A3-4013-B830-7B2F072FBB68}"/>
              </a:ext>
            </a:extLst>
          </xdr:cNvPr>
          <xdr:cNvCxnSpPr>
            <a:cxnSpLocks/>
          </xdr:cNvCxnSpPr>
        </xdr:nvCxnSpPr>
        <xdr:spPr>
          <a:xfrm>
            <a:off x="3952007" y="4885335"/>
            <a:ext cx="76286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3" name="Oval 152">
            <a:extLst>
              <a:ext uri="{FF2B5EF4-FFF2-40B4-BE49-F238E27FC236}">
                <a16:creationId xmlns:a16="http://schemas.microsoft.com/office/drawing/2014/main" id="{2CFB3E99-7C41-4B52-BE53-9FE34E7F8D6A}"/>
              </a:ext>
            </a:extLst>
          </xdr:cNvPr>
          <xdr:cNvSpPr/>
        </xdr:nvSpPr>
        <xdr:spPr>
          <a:xfrm>
            <a:off x="3402593" y="5780037"/>
            <a:ext cx="45719" cy="45719"/>
          </a:xfrm>
          <a:prstGeom prst="ellipse">
            <a:avLst/>
          </a:prstGeom>
          <a:solidFill>
            <a:schemeClr val="tx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154" name="Oval 153">
            <a:extLst>
              <a:ext uri="{FF2B5EF4-FFF2-40B4-BE49-F238E27FC236}">
                <a16:creationId xmlns:a16="http://schemas.microsoft.com/office/drawing/2014/main" id="{1962B203-EDC9-4E4C-A38A-0AC6700202C0}"/>
              </a:ext>
            </a:extLst>
          </xdr:cNvPr>
          <xdr:cNvSpPr/>
        </xdr:nvSpPr>
        <xdr:spPr>
          <a:xfrm>
            <a:off x="3347898" y="4812806"/>
            <a:ext cx="45719" cy="45719"/>
          </a:xfrm>
          <a:prstGeom prst="ellipse">
            <a:avLst/>
          </a:prstGeom>
          <a:solidFill>
            <a:schemeClr val="tx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tx1"/>
              </a:solidFill>
            </a:endParaRPr>
          </a:p>
        </xdr:txBody>
      </xdr:sp>
      <xdr:cxnSp macro="">
        <xdr:nvCxnSpPr>
          <xdr:cNvPr id="155" name="Straight Connector 154">
            <a:extLst>
              <a:ext uri="{FF2B5EF4-FFF2-40B4-BE49-F238E27FC236}">
                <a16:creationId xmlns:a16="http://schemas.microsoft.com/office/drawing/2014/main" id="{D0A011DB-C92A-49DB-B71B-CFE9FC9BE350}"/>
              </a:ext>
            </a:extLst>
          </xdr:cNvPr>
          <xdr:cNvCxnSpPr>
            <a:cxnSpLocks/>
          </xdr:cNvCxnSpPr>
        </xdr:nvCxnSpPr>
        <xdr:spPr>
          <a:xfrm flipV="1">
            <a:off x="3365083" y="4835665"/>
            <a:ext cx="0" cy="88344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" name="Straight Connector 155">
            <a:extLst>
              <a:ext uri="{FF2B5EF4-FFF2-40B4-BE49-F238E27FC236}">
                <a16:creationId xmlns:a16="http://schemas.microsoft.com/office/drawing/2014/main" id="{872250D4-A253-4699-B6C8-F28644C5EC45}"/>
              </a:ext>
            </a:extLst>
          </xdr:cNvPr>
          <xdr:cNvCxnSpPr>
            <a:cxnSpLocks/>
          </xdr:cNvCxnSpPr>
        </xdr:nvCxnSpPr>
        <xdr:spPr>
          <a:xfrm>
            <a:off x="3360635" y="5726042"/>
            <a:ext cx="364983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7" name="Oval 156">
            <a:extLst>
              <a:ext uri="{FF2B5EF4-FFF2-40B4-BE49-F238E27FC236}">
                <a16:creationId xmlns:a16="http://schemas.microsoft.com/office/drawing/2014/main" id="{C0531235-06C5-41C0-AC4C-40D730574C5A}"/>
              </a:ext>
            </a:extLst>
          </xdr:cNvPr>
          <xdr:cNvSpPr/>
        </xdr:nvSpPr>
        <xdr:spPr>
          <a:xfrm>
            <a:off x="3682601" y="5630365"/>
            <a:ext cx="264369" cy="247038"/>
          </a:xfrm>
          <a:prstGeom prst="ellipse">
            <a:avLst/>
          </a:prstGeom>
          <a:solidFill>
            <a:schemeClr val="bg1"/>
          </a:solidFill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2400">
                <a:solidFill>
                  <a:schemeClr val="accent1"/>
                </a:solidFill>
              </a:rPr>
              <a:t>+</a:t>
            </a:r>
          </a:p>
        </xdr:txBody>
      </xdr:sp>
      <xdr:cxnSp macro="">
        <xdr:nvCxnSpPr>
          <xdr:cNvPr id="158" name="Straight Connector 157">
            <a:extLst>
              <a:ext uri="{FF2B5EF4-FFF2-40B4-BE49-F238E27FC236}">
                <a16:creationId xmlns:a16="http://schemas.microsoft.com/office/drawing/2014/main" id="{185B26D9-D2B2-4878-AB39-A52DF37FA0D4}"/>
              </a:ext>
            </a:extLst>
          </xdr:cNvPr>
          <xdr:cNvCxnSpPr>
            <a:cxnSpLocks/>
          </xdr:cNvCxnSpPr>
        </xdr:nvCxnSpPr>
        <xdr:spPr>
          <a:xfrm>
            <a:off x="3946970" y="5753884"/>
            <a:ext cx="79171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9" name="Isosceles Triangle 158">
            <a:extLst>
              <a:ext uri="{FF2B5EF4-FFF2-40B4-BE49-F238E27FC236}">
                <a16:creationId xmlns:a16="http://schemas.microsoft.com/office/drawing/2014/main" id="{1E731299-DF69-4A9A-A348-FDFC130F937A}"/>
              </a:ext>
            </a:extLst>
          </xdr:cNvPr>
          <xdr:cNvSpPr/>
        </xdr:nvSpPr>
        <xdr:spPr>
          <a:xfrm rot="5400000">
            <a:off x="4293236" y="4762845"/>
            <a:ext cx="230094" cy="250396"/>
          </a:xfrm>
          <a:prstGeom prst="triangl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60" name="Isosceles Triangle 159">
            <a:extLst>
              <a:ext uri="{FF2B5EF4-FFF2-40B4-BE49-F238E27FC236}">
                <a16:creationId xmlns:a16="http://schemas.microsoft.com/office/drawing/2014/main" id="{11D3A15A-0221-4FFC-B8D4-FF3666D7C1CD}"/>
              </a:ext>
            </a:extLst>
          </xdr:cNvPr>
          <xdr:cNvSpPr/>
        </xdr:nvSpPr>
        <xdr:spPr>
          <a:xfrm rot="5400000">
            <a:off x="4383989" y="4762845"/>
            <a:ext cx="230094" cy="250396"/>
          </a:xfrm>
          <a:prstGeom prst="triangl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61" name="Isosceles Triangle 160">
            <a:extLst>
              <a:ext uri="{FF2B5EF4-FFF2-40B4-BE49-F238E27FC236}">
                <a16:creationId xmlns:a16="http://schemas.microsoft.com/office/drawing/2014/main" id="{A36449F2-3D34-4902-8743-3E485EF325A4}"/>
              </a:ext>
            </a:extLst>
          </xdr:cNvPr>
          <xdr:cNvSpPr/>
        </xdr:nvSpPr>
        <xdr:spPr>
          <a:xfrm rot="5400000">
            <a:off x="4294687" y="5634500"/>
            <a:ext cx="230094" cy="250396"/>
          </a:xfrm>
          <a:prstGeom prst="triangl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62" name="Isosceles Triangle 161">
            <a:extLst>
              <a:ext uri="{FF2B5EF4-FFF2-40B4-BE49-F238E27FC236}">
                <a16:creationId xmlns:a16="http://schemas.microsoft.com/office/drawing/2014/main" id="{73CCC745-7681-4072-B2B0-17F3BB16B998}"/>
              </a:ext>
            </a:extLst>
          </xdr:cNvPr>
          <xdr:cNvSpPr/>
        </xdr:nvSpPr>
        <xdr:spPr>
          <a:xfrm rot="5400000">
            <a:off x="4385440" y="5634500"/>
            <a:ext cx="230094" cy="250396"/>
          </a:xfrm>
          <a:prstGeom prst="triangl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100</xdr:row>
      <xdr:rowOff>152400</xdr:rowOff>
    </xdr:from>
    <xdr:to>
      <xdr:col>8</xdr:col>
      <xdr:colOff>647699</xdr:colOff>
      <xdr:row>118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679D2-4464-46DD-B834-58771213F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100</xdr:row>
      <xdr:rowOff>180975</xdr:rowOff>
    </xdr:from>
    <xdr:to>
      <xdr:col>23</xdr:col>
      <xdr:colOff>447675</xdr:colOff>
      <xdr:row>119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9E58FB-C7DB-47FB-BE37-05C6063F8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120</xdr:row>
      <xdr:rowOff>28575</xdr:rowOff>
    </xdr:from>
    <xdr:to>
      <xdr:col>8</xdr:col>
      <xdr:colOff>619124</xdr:colOff>
      <xdr:row>138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BA79C9-2A16-47D7-8775-C730964D4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285750</xdr:colOff>
      <xdr:row>101</xdr:row>
      <xdr:rowOff>85725</xdr:rowOff>
    </xdr:from>
    <xdr:to>
      <xdr:col>14</xdr:col>
      <xdr:colOff>581025</xdr:colOff>
      <xdr:row>115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749F32-ADE3-4157-9814-CD0E78BF2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102</xdr:row>
      <xdr:rowOff>142875</xdr:rowOff>
    </xdr:from>
    <xdr:to>
      <xdr:col>8</xdr:col>
      <xdr:colOff>457200</xdr:colOff>
      <xdr:row>119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B3AE1C-FAA5-4895-9A13-F8397613B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102</xdr:row>
      <xdr:rowOff>142875</xdr:rowOff>
    </xdr:from>
    <xdr:to>
      <xdr:col>19</xdr:col>
      <xdr:colOff>142875</xdr:colOff>
      <xdr:row>119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3F20C7-51A8-4FD6-A29C-0E16F61BB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781049</xdr:colOff>
      <xdr:row>102</xdr:row>
      <xdr:rowOff>171449</xdr:rowOff>
    </xdr:from>
    <xdr:to>
      <xdr:col>26</xdr:col>
      <xdr:colOff>552449</xdr:colOff>
      <xdr:row>120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EE4A2E-2CFC-47EE-87A3-3767C27B7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176211</xdr:colOff>
      <xdr:row>121</xdr:row>
      <xdr:rowOff>104775</xdr:rowOff>
    </xdr:from>
    <xdr:to>
      <xdr:col>8</xdr:col>
      <xdr:colOff>514349</xdr:colOff>
      <xdr:row>138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233503-0777-475E-9E03-99C9DABA1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328611</xdr:colOff>
      <xdr:row>121</xdr:row>
      <xdr:rowOff>114299</xdr:rowOff>
    </xdr:from>
    <xdr:to>
      <xdr:col>19</xdr:col>
      <xdr:colOff>161924</xdr:colOff>
      <xdr:row>138</xdr:row>
      <xdr:rowOff>85724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27FCF4-C4E9-40C2-87BB-80091A357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395287</xdr:colOff>
      <xdr:row>139</xdr:row>
      <xdr:rowOff>133350</xdr:rowOff>
    </xdr:from>
    <xdr:to>
      <xdr:col>19</xdr:col>
      <xdr:colOff>104775</xdr:colOff>
      <xdr:row>154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D1E2B3-C8DB-4562-AB99-B058BCFB2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400049</xdr:colOff>
      <xdr:row>52</xdr:row>
      <xdr:rowOff>171450</xdr:rowOff>
    </xdr:from>
    <xdr:to>
      <xdr:col>19</xdr:col>
      <xdr:colOff>323849</xdr:colOff>
      <xdr:row>74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972524-298F-49FA-97F4-014F6A770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75</xdr:row>
      <xdr:rowOff>85725</xdr:rowOff>
    </xdr:from>
    <xdr:to>
      <xdr:col>20</xdr:col>
      <xdr:colOff>9525</xdr:colOff>
      <xdr:row>94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124097-B92D-4630-9800-5528436A4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352425</xdr:colOff>
      <xdr:row>95</xdr:row>
      <xdr:rowOff>57150</xdr:rowOff>
    </xdr:from>
    <xdr:to>
      <xdr:col>20</xdr:col>
      <xdr:colOff>76199</xdr:colOff>
      <xdr:row>116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1889EE-622D-450D-ABCA-30BFA40D6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56</xdr:row>
      <xdr:rowOff>66675</xdr:rowOff>
    </xdr:from>
    <xdr:to>
      <xdr:col>23</xdr:col>
      <xdr:colOff>28574</xdr:colOff>
      <xdr:row>75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B30F2-F9E0-48FB-B507-6897189F5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428625</xdr:colOff>
      <xdr:row>75</xdr:row>
      <xdr:rowOff>19050</xdr:rowOff>
    </xdr:from>
    <xdr:to>
      <xdr:col>23</xdr:col>
      <xdr:colOff>0</xdr:colOff>
      <xdr:row>91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D4DFC-6F65-4BC8-905C-78B781483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419100</xdr:colOff>
      <xdr:row>92</xdr:row>
      <xdr:rowOff>133350</xdr:rowOff>
    </xdr:from>
    <xdr:to>
      <xdr:col>23</xdr:col>
      <xdr:colOff>28575</xdr:colOff>
      <xdr:row>112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28B10B-4BAC-49C6-A95B-9C90CAECF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171449</xdr:colOff>
      <xdr:row>65</xdr:row>
      <xdr:rowOff>9525</xdr:rowOff>
    </xdr:from>
    <xdr:to>
      <xdr:col>23</xdr:col>
      <xdr:colOff>561974</xdr:colOff>
      <xdr:row>82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5E621-4005-4031-BA12-403E67A19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82</xdr:row>
      <xdr:rowOff>28575</xdr:rowOff>
    </xdr:from>
    <xdr:to>
      <xdr:col>24</xdr:col>
      <xdr:colOff>57150</xdr:colOff>
      <xdr:row>100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B73DCD-29C3-483C-8F08-C2C935555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114300</xdr:colOff>
      <xdr:row>102</xdr:row>
      <xdr:rowOff>33336</xdr:rowOff>
    </xdr:from>
    <xdr:to>
      <xdr:col>24</xdr:col>
      <xdr:colOff>95250</xdr:colOff>
      <xdr:row>120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1ECECF-5FA6-47C0-BE76-BB833D0A2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328612</xdr:colOff>
      <xdr:row>0</xdr:row>
      <xdr:rowOff>176212</xdr:rowOff>
    </xdr:from>
    <xdr:to>
      <xdr:col>19</xdr:col>
      <xdr:colOff>23812</xdr:colOff>
      <xdr:row>14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0CC306-69C6-4030-8AC7-751401BCC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328612</xdr:colOff>
      <xdr:row>15</xdr:row>
      <xdr:rowOff>100012</xdr:rowOff>
    </xdr:from>
    <xdr:to>
      <xdr:col>19</xdr:col>
      <xdr:colOff>23812</xdr:colOff>
      <xdr:row>28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CEDE03-CF1E-4B87-8C65-0A267937B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328612</xdr:colOff>
      <xdr:row>29</xdr:row>
      <xdr:rowOff>176212</xdr:rowOff>
    </xdr:from>
    <xdr:to>
      <xdr:col>19</xdr:col>
      <xdr:colOff>23812</xdr:colOff>
      <xdr:row>42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DE3B89-8ED9-478A-9CCF-6999B4B20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9523</xdr:colOff>
      <xdr:row>1</xdr:row>
      <xdr:rowOff>19050</xdr:rowOff>
    </xdr:from>
    <xdr:to>
      <xdr:col>19</xdr:col>
      <xdr:colOff>161924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C23EF-C2A8-4C47-9645-E6F8AA8F0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17</xdr:row>
      <xdr:rowOff>185736</xdr:rowOff>
    </xdr:from>
    <xdr:to>
      <xdr:col>19</xdr:col>
      <xdr:colOff>171450</xdr:colOff>
      <xdr:row>41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8ADE9-E708-4ACA-9ABA-165B647E4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</xdr:colOff>
      <xdr:row>41</xdr:row>
      <xdr:rowOff>71436</xdr:rowOff>
    </xdr:from>
    <xdr:to>
      <xdr:col>19</xdr:col>
      <xdr:colOff>180975</xdr:colOff>
      <xdr:row>59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4EB2B4-F53E-4ADA-B900-6B3EC8C02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400049</xdr:colOff>
      <xdr:row>53</xdr:row>
      <xdr:rowOff>171450</xdr:rowOff>
    </xdr:from>
    <xdr:to>
      <xdr:col>22</xdr:col>
      <xdr:colOff>590550</xdr:colOff>
      <xdr:row>75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8D496-BC9D-4957-9C20-0EDC669BD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76</xdr:row>
      <xdr:rowOff>85725</xdr:rowOff>
    </xdr:from>
    <xdr:to>
      <xdr:col>23</xdr:col>
      <xdr:colOff>0</xdr:colOff>
      <xdr:row>95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05603D-3CB4-4A93-B57D-153DF1418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352425</xdr:colOff>
      <xdr:row>96</xdr:row>
      <xdr:rowOff>57150</xdr:rowOff>
    </xdr:from>
    <xdr:to>
      <xdr:col>23</xdr:col>
      <xdr:colOff>0</xdr:colOff>
      <xdr:row>117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75068C-C434-43F9-98C7-E91AD1923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118</xdr:row>
      <xdr:rowOff>152400</xdr:rowOff>
    </xdr:from>
    <xdr:to>
      <xdr:col>23</xdr:col>
      <xdr:colOff>0</xdr:colOff>
      <xdr:row>136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33A5E0-77C7-467A-B38F-2D995C1F9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952500</xdr:colOff>
      <xdr:row>107</xdr:row>
      <xdr:rowOff>85725</xdr:rowOff>
    </xdr:from>
    <xdr:to>
      <xdr:col>6</xdr:col>
      <xdr:colOff>638175</xdr:colOff>
      <xdr:row>125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F8AC6A-0933-4ADA-AEFE-DBF0DFAC7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75</xdr:row>
      <xdr:rowOff>19050</xdr:rowOff>
    </xdr:from>
    <xdr:to>
      <xdr:col>18</xdr:col>
      <xdr:colOff>0</xdr:colOff>
      <xdr:row>91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B561ED-7733-4098-BB34-4372DD10B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92</xdr:row>
      <xdr:rowOff>133350</xdr:rowOff>
    </xdr:from>
    <xdr:to>
      <xdr:col>18</xdr:col>
      <xdr:colOff>28575</xdr:colOff>
      <xdr:row>112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226FD0-6792-4532-8EB3-3C87C6CF3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381000</xdr:colOff>
      <xdr:row>60</xdr:row>
      <xdr:rowOff>147637</xdr:rowOff>
    </xdr:from>
    <xdr:to>
      <xdr:col>19</xdr:col>
      <xdr:colOff>581025</xdr:colOff>
      <xdr:row>75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246872-C0C7-4705-8F8C-7EE7E594C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676275</xdr:colOff>
      <xdr:row>110</xdr:row>
      <xdr:rowOff>80962</xdr:rowOff>
    </xdr:from>
    <xdr:to>
      <xdr:col>6</xdr:col>
      <xdr:colOff>771525</xdr:colOff>
      <xdr:row>124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3DFE51-C609-4BD8-ACB8-AFF28D286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89</xdr:row>
      <xdr:rowOff>85725</xdr:rowOff>
    </xdr:from>
    <xdr:to>
      <xdr:col>7</xdr:col>
      <xdr:colOff>209549</xdr:colOff>
      <xdr:row>110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CEF78-9F02-4512-A34B-C7DB31D98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89</xdr:row>
      <xdr:rowOff>66674</xdr:rowOff>
    </xdr:from>
    <xdr:to>
      <xdr:col>16</xdr:col>
      <xdr:colOff>352425</xdr:colOff>
      <xdr:row>110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45D639-FE32-43AB-A5B2-C7D7EBAF5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609600</xdr:colOff>
      <xdr:row>89</xdr:row>
      <xdr:rowOff>66675</xdr:rowOff>
    </xdr:from>
    <xdr:to>
      <xdr:col>31</xdr:col>
      <xdr:colOff>438149</xdr:colOff>
      <xdr:row>110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5196A7-C453-45C4-8C5D-CCC7C64F8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204787</xdr:colOff>
      <xdr:row>113</xdr:row>
      <xdr:rowOff>38100</xdr:rowOff>
    </xdr:from>
    <xdr:to>
      <xdr:col>7</xdr:col>
      <xdr:colOff>228600</xdr:colOff>
      <xdr:row>129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F12D2B-03BB-451F-831A-162F5C11C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214311</xdr:colOff>
      <xdr:row>130</xdr:row>
      <xdr:rowOff>76199</xdr:rowOff>
    </xdr:from>
    <xdr:to>
      <xdr:col>7</xdr:col>
      <xdr:colOff>247649</xdr:colOff>
      <xdr:row>148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294114-A250-4FE0-935D-C0FCD8A41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609600</xdr:colOff>
      <xdr:row>111</xdr:row>
      <xdr:rowOff>190499</xdr:rowOff>
    </xdr:from>
    <xdr:to>
      <xdr:col>16</xdr:col>
      <xdr:colOff>381000</xdr:colOff>
      <xdr:row>129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7EF5A2-E4A0-449A-AB77-99B45C6DF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552449</xdr:colOff>
      <xdr:row>130</xdr:row>
      <xdr:rowOff>123824</xdr:rowOff>
    </xdr:from>
    <xdr:to>
      <xdr:col>16</xdr:col>
      <xdr:colOff>409574</xdr:colOff>
      <xdr:row>148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13A3DA-6EFB-4BF8-8A2F-A702A9520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I22" totalsRowShown="0" headerRowDxfId="330" dataDxfId="329">
  <autoFilter ref="A1:I22" xr:uid="{00000000-0009-0000-0100-000004000000}"/>
  <tableColumns count="9">
    <tableColumn id="1" xr3:uid="{00000000-0010-0000-0000-000001000000}" name="Case Number" dataDxfId="328"/>
    <tableColumn id="2" xr3:uid="{00000000-0010-0000-0000-000002000000}" name="1" dataDxfId="327"/>
    <tableColumn id="3" xr3:uid="{00000000-0010-0000-0000-000003000000}" name="2" dataDxfId="326"/>
    <tableColumn id="4" xr3:uid="{00000000-0010-0000-0000-000004000000}" name="3" dataDxfId="325"/>
    <tableColumn id="5" xr3:uid="{00000000-0010-0000-0000-000005000000}" name="4" dataDxfId="324"/>
    <tableColumn id="6" xr3:uid="{00000000-0010-0000-0000-000006000000}" name="5" dataDxfId="323"/>
    <tableColumn id="7" xr3:uid="{00000000-0010-0000-0000-000007000000}" name="6" dataDxfId="322"/>
    <tableColumn id="8" xr3:uid="{00000000-0010-0000-0000-000008000000}" name="7" dataDxfId="321"/>
    <tableColumn id="9" xr3:uid="{00000000-0010-0000-0000-000009000000}" name="8" dataDxfId="32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5" displayName="Table5" ref="A1:U57" totalsRowShown="0" headerRowDxfId="202" dataDxfId="201">
  <autoFilter ref="A1:U57" xr:uid="{00000000-0009-0000-0100-000005000000}"/>
  <tableColumns count="21">
    <tableColumn id="1" xr3:uid="{00000000-0010-0000-0700-000001000000}" name="Items" dataDxfId="200"/>
    <tableColumn id="6" xr3:uid="{00000000-0010-0000-0700-000006000000}" name="type" dataDxfId="199"/>
    <tableColumn id="21" xr3:uid="{7E9F4906-AEBF-4AB3-8E1F-BD5C3CF23762}" name="HW Area" dataDxfId="198"/>
    <tableColumn id="20" xr3:uid="{DFCEB453-4FAB-4BDD-BC66-1BF1CBA15E17}" name="HW Area2" dataDxfId="197"/>
    <tableColumn id="16" xr3:uid="{AC9729F5-E413-4B5B-8776-ACAC19891633}" name="HW Area3" dataDxfId="196"/>
    <tableColumn id="2" xr3:uid="{00000000-0010-0000-0700-000002000000}" name="HW Area4" dataDxfId="195"/>
    <tableColumn id="3" xr3:uid="{00000000-0010-0000-0700-000003000000}" name="Case 1a" dataDxfId="194"/>
    <tableColumn id="4" xr3:uid="{00000000-0010-0000-0700-000004000000}" name="Case 1b" dataDxfId="193"/>
    <tableColumn id="5" xr3:uid="{00000000-0010-0000-0700-000005000000}" name="Case 1c" dataDxfId="192"/>
    <tableColumn id="18" xr3:uid="{13FB0F73-922E-46F6-A1FC-2FA5456BA8EE}" name="Case 1d" dataDxfId="191"/>
    <tableColumn id="7" xr3:uid="{AD39E23C-F969-4FC6-BB93-70D8D2BB341D}" name="Case 1e" dataDxfId="190"/>
    <tableColumn id="8" xr3:uid="{F4FBB04B-8C22-41DB-A2BF-EC0DECD5D9DA}" name="Case 2a" dataDxfId="189"/>
    <tableColumn id="9" xr3:uid="{DC4E8447-026B-4BB2-AB21-87347378FC31}" name="Case 2b" dataDxfId="188"/>
    <tableColumn id="10" xr3:uid="{0CEF71FE-EEEB-45EE-914B-58AF74304822}" name="Case 2c" dataDxfId="187"/>
    <tableColumn id="17" xr3:uid="{C1F57ED0-FFD3-46B2-A751-C275BA9FF2BD}" name="Case 2d" dataDxfId="186"/>
    <tableColumn id="11" xr3:uid="{2E52C48D-4DB4-4E49-8163-53E0AB9DEA24}" name="Case 2e" dataDxfId="185"/>
    <tableColumn id="12" xr3:uid="{791DA76B-A462-40EC-BF8A-C8E6CEB64ABA}" name="Case 3a" dataDxfId="184"/>
    <tableColumn id="13" xr3:uid="{63951EAB-0B5A-4F85-A6F3-91C2934613FB}" name="Case 3b" dataDxfId="183"/>
    <tableColumn id="14" xr3:uid="{1700C260-E8D0-4F09-90F2-F272E2D3CFEB}" name="Case 3c" dataDxfId="182"/>
    <tableColumn id="19" xr3:uid="{F88CCAD1-4A20-4454-93A9-381CCB022EDF}" name="Case 3d" dataDxfId="181"/>
    <tableColumn id="15" xr3:uid="{931F2119-E868-4C07-82F4-DC7B9F77FF9C}" name="Case 3e" dataDxfId="18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1:R64" totalsRowShown="0" headerRowDxfId="179" dataDxfId="178" tableBorderDxfId="177">
  <autoFilter ref="A1:R64" xr:uid="{00000000-0009-0000-0100-000009000000}"/>
  <tableColumns count="18">
    <tableColumn id="1" xr3:uid="{00000000-0010-0000-0800-000001000000}" name="Items" dataDxfId="176"/>
    <tableColumn id="2" xr3:uid="{00000000-0010-0000-0800-000002000000}" name="type" dataDxfId="175"/>
    <tableColumn id="18" xr3:uid="{E58EA9C0-3C83-4B06-8B57-D170BFD3A23D}" name="HW Area" dataDxfId="174"/>
    <tableColumn id="17" xr3:uid="{BBB37C07-41B3-479F-AE83-183C3AFB4835}" name="HW Area2" dataDxfId="173"/>
    <tableColumn id="16" xr3:uid="{CE7FC066-FE92-436C-A244-6ED188ACC459}" name="HW Area3" dataDxfId="172"/>
    <tableColumn id="3" xr3:uid="{00000000-0010-0000-0800-000003000000}" name="HW Area4" dataDxfId="171"/>
    <tableColumn id="4" xr3:uid="{00000000-0010-0000-0800-000004000000}" name="Case 1a" dataDxfId="170"/>
    <tableColumn id="5" xr3:uid="{00000000-0010-0000-0800-000005000000}" name="Case 1b" dataDxfId="169"/>
    <tableColumn id="6" xr3:uid="{00000000-0010-0000-0800-000006000000}" name="Case 1c" dataDxfId="168"/>
    <tableColumn id="7" xr3:uid="{A5FDAE92-B81F-4305-BFD2-1E1EFCE3B9B4}" name="Case 1d" dataDxfId="167"/>
    <tableColumn id="8" xr3:uid="{2F728B3B-7EA7-4D2B-A835-31292F41C850}" name="Case 2a" dataDxfId="166"/>
    <tableColumn id="9" xr3:uid="{4170D37A-B153-4177-A431-E4BB55D8E6DB}" name="Case 2b" dataDxfId="165"/>
    <tableColumn id="10" xr3:uid="{77D46D19-2ED0-49EF-AF92-9909AB4FB80E}" name="Case 2c" dataDxfId="164"/>
    <tableColumn id="11" xr3:uid="{9E814F87-A22F-43DD-95BC-EC1FD96EE162}" name="Case 2d" dataDxfId="163"/>
    <tableColumn id="12" xr3:uid="{6FA95C30-AAB6-4284-8375-185B8AB60EEB}" name="Case 3a" dataDxfId="162"/>
    <tableColumn id="13" xr3:uid="{4BE5C912-7DCA-4590-AF9B-D58FACA2BBA2}" name="Case 3b" dataDxfId="161"/>
    <tableColumn id="14" xr3:uid="{275186F7-44B3-41C4-B30B-A9BF281E6B61}" name="Case 3c" dataDxfId="160"/>
    <tableColumn id="15" xr3:uid="{71FC791F-E202-4244-842F-2E765DADFE70}" name="Case 3d" dataDxfId="159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FF98379-B9C5-469D-94D3-05F4549E561E}" name="Table5714" displayName="Table5714" ref="A1:S49" totalsRowShown="0" headerRowDxfId="158" dataDxfId="157">
  <autoFilter ref="A1:S49" xr:uid="{C9C6F856-9242-43DF-9772-F187A2514990}"/>
  <tableColumns count="19">
    <tableColumn id="1" xr3:uid="{D61823C7-DFAA-4BBF-80FB-03BF37EA5D58}" name="Items" dataDxfId="156"/>
    <tableColumn id="7" xr3:uid="{CDEEA67C-4EB6-4B75-B922-C740057247F1}" name="type" dataDxfId="155"/>
    <tableColumn id="2" xr3:uid="{58F1649B-A42A-4577-B0EE-A1D097C720FE}" name="HW Area4" dataDxfId="154"/>
    <tableColumn id="4" xr3:uid="{B99BC514-DB36-4B10-BBC3-60B4D30AA09C}" name="Case 1a" dataDxfId="153"/>
    <tableColumn id="3" xr3:uid="{CD8AB232-A17D-4E68-B6BA-513230A9C056}" name="Case 1b" dataDxfId="152"/>
    <tableColumn id="5" xr3:uid="{3C8F68A4-A936-4A11-8E44-3B8244DF8556}" name="Case 1c" dataDxfId="151"/>
    <tableColumn id="6" xr3:uid="{03E9ED97-FFC4-40A2-B717-5E2F3454993A}" name="Case 1d" dataDxfId="150"/>
    <tableColumn id="8" xr3:uid="{64A71577-0269-4130-BE2D-0111EE656202}" name="Case 2a" dataDxfId="149"/>
    <tableColumn id="9" xr3:uid="{75A91EAD-DD68-4DEE-8845-9E62D1894631}" name="Case 2b" dataDxfId="148"/>
    <tableColumn id="10" xr3:uid="{69FC4D88-C618-4F16-842E-6249FE56671B}" name="Case 2c" dataDxfId="147"/>
    <tableColumn id="11" xr3:uid="{A8000402-801A-4B16-8EFF-13F67D1F6E4A}" name="Case 2d" dataDxfId="146"/>
    <tableColumn id="12" xr3:uid="{7250CB8D-3E5F-461C-9393-EBEB4C83F468}" name="Case 3a" dataDxfId="145"/>
    <tableColumn id="13" xr3:uid="{0DD6004D-AA67-4728-A0F2-2EBEBEE0E466}" name="Case 3b" dataDxfId="144"/>
    <tableColumn id="14" xr3:uid="{407F87A2-B15C-4985-8595-6C54685A4160}" name="Case 3c" dataDxfId="143"/>
    <tableColumn id="15" xr3:uid="{6C2F13BA-AE4A-43B8-BFAB-3586457C41AE}" name="Case 3d" dataDxfId="142"/>
    <tableColumn id="16" xr3:uid="{F780025B-AEB7-47FD-BDE2-14E4680264B7}" name="Case 4a" dataDxfId="141"/>
    <tableColumn id="17" xr3:uid="{EC378025-148C-4E80-8C11-1DA90FDD6E9F}" name="Case 4b" dataDxfId="140"/>
    <tableColumn id="18" xr3:uid="{773A34A7-F1A7-46ED-B89B-51D00ED07143}" name="Case 4c" dataDxfId="139"/>
    <tableColumn id="19" xr3:uid="{11E9AD64-C23E-4CCA-B3A0-3EA1BA87F842}" name="Case 4d" dataDxfId="138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AA91463-45F2-448C-8638-9F05470925E6}" name="Table515" displayName="Table515" ref="A1:P57" totalsRowShown="0" headerRowDxfId="137" dataDxfId="136">
  <autoFilter ref="A1:P57" xr:uid="{9E56A2D6-A04E-48AB-8722-6916A75E3764}"/>
  <tableColumns count="16">
    <tableColumn id="1" xr3:uid="{1F450D90-1369-44F6-9CD8-578F2D62C0BA}" name="Items" dataDxfId="135"/>
    <tableColumn id="6" xr3:uid="{3AC1229A-0865-4405-8C6F-0161CE15B190}" name="type" dataDxfId="134"/>
    <tableColumn id="2" xr3:uid="{50E8CFD7-190C-4D07-A56F-5227B8C17792}" name="HW Area4" dataDxfId="133"/>
    <tableColumn id="3" xr3:uid="{56467F00-43BB-489E-8B74-49FCD402F827}" name="Case 1a" dataDxfId="132"/>
    <tableColumn id="4" xr3:uid="{760D76F0-D576-432F-BE6D-E2FF21BC1512}" name="Case 1b" dataDxfId="131"/>
    <tableColumn id="5" xr3:uid="{2E81BB05-6732-4413-8B49-FD227553EDD5}" name="Case 1c" dataDxfId="130"/>
    <tableColumn id="18" xr3:uid="{9A33697F-5EE2-4199-8FCC-D4AF4E4B8226}" name="Case 1d" dataDxfId="129"/>
    <tableColumn id="7" xr3:uid="{C79CFEAD-E3BF-44CF-A8A0-18CC63E7A097}" name="Case 1e" dataDxfId="128"/>
    <tableColumn id="8" xr3:uid="{06FE9CDB-EFFE-42F4-AFC1-2184137C64D6}" name="Case 2a" dataDxfId="127"/>
    <tableColumn id="9" xr3:uid="{2C4E0CEF-39B9-4F94-A6F4-DB402592823B}" name="Case 2b" dataDxfId="126"/>
    <tableColumn id="10" xr3:uid="{95DB3694-53E0-452C-AF4F-E4865FABDA16}" name="Case 2c" dataDxfId="125"/>
    <tableColumn id="17" xr3:uid="{3F5CDF55-3D8E-40AA-A090-7A4469DAB8B6}" name="Case 2d" dataDxfId="124"/>
    <tableColumn id="12" xr3:uid="{5B0F1E5C-EB0F-4E04-AC9F-27CD57577745}" name="Case 3a" dataDxfId="123"/>
    <tableColumn id="13" xr3:uid="{DA5A8990-EAA3-4AEB-8DC2-6EB007890F0B}" name="Case 3b" dataDxfId="122"/>
    <tableColumn id="14" xr3:uid="{B802ACD5-AC55-41A4-A824-C8FC797F99D6}" name="Case 3c" dataDxfId="121"/>
    <tableColumn id="19" xr3:uid="{946072C8-F6FA-4BCA-AA17-E5FDE2899872}" name="Case 3d" dataDxfId="12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908DF43-BE51-4E70-BEB5-9929EC1A0742}" name="Table5716" displayName="Table5716" ref="A1:AI51" totalsRowShown="0" headerRowDxfId="119" dataDxfId="118">
  <autoFilter ref="A1:AI51" xr:uid="{5759A589-5B7C-443A-A076-5773B21A2649}"/>
  <tableColumns count="35">
    <tableColumn id="1" xr3:uid="{50BCA3D8-341D-470E-A991-DEFF29250298}" name="Items" dataDxfId="117"/>
    <tableColumn id="7" xr3:uid="{2CB1BBC1-C87E-4FEE-9157-40776AF03BBD}" name="type" dataDxfId="116"/>
    <tableColumn id="18" xr3:uid="{2B6BE155-577F-4223-AD2E-401D543BD68C}" name="HW Area" dataDxfId="115"/>
    <tableColumn id="16" xr3:uid="{3D5496D0-D85B-4FFA-87CB-BC012A9CBC02}" name="HW Area3" dataDxfId="114"/>
    <tableColumn id="2" xr3:uid="{F252916A-E194-4F8A-A76F-201159EE5B47}" name="HW Area4" dataDxfId="113"/>
    <tableColumn id="4" xr3:uid="{ACCF3511-C89B-45F6-B079-DB3A7F9C2335}" name="Case 1a" dataDxfId="112"/>
    <tableColumn id="3" xr3:uid="{9DD0F8ED-E3E6-42E0-BB46-9D00BA28FDB4}" name="Case 1b" dataDxfId="111"/>
    <tableColumn id="5" xr3:uid="{AF133230-5568-4807-B931-17280C4C682E}" name="Case 1c" dataDxfId="110"/>
    <tableColumn id="6" xr3:uid="{E00DD7F2-CFDB-41A4-B0E1-3808CCEA0018}" name="Case 1d" dataDxfId="109"/>
    <tableColumn id="17" xr3:uid="{0CE33EC0-85DC-41CE-905B-905C619CC61E}" name="Column5" dataDxfId="108"/>
    <tableColumn id="22" xr3:uid="{AE1E9D11-ECDE-4E3C-B1A0-4B55CF2A853F}" name="case 1aa" dataDxfId="107"/>
    <tableColumn id="21" xr3:uid="{A50925EC-2AD0-4F17-9440-B7F9CDA64076}" name="case 1ba" dataDxfId="106"/>
    <tableColumn id="20" xr3:uid="{8193E39E-DBD1-45E2-B30C-590E37C1E9CF}" name="case 1ca" dataDxfId="105"/>
    <tableColumn id="19" xr3:uid="{DB9DC337-4382-49BF-B388-7450C15A071A}" name="case 1da" dataDxfId="104"/>
    <tableColumn id="35" xr3:uid="{25CB92E4-B270-4E47-9EBE-9648920983D7}" name="Column6" dataDxfId="103"/>
    <tableColumn id="26" xr3:uid="{58124EAC-9674-4F4C-ACF4-C43E756A9865}" name="case 1ac" dataDxfId="102"/>
    <tableColumn id="25" xr3:uid="{A8065175-A098-43A8-BA1E-A9EDDDCB2BC8}" name="case 1bc" dataDxfId="101"/>
    <tableColumn id="24" xr3:uid="{CB886941-DB70-4428-A6B9-FDD1B7A775F8}" name="case 1cc" dataDxfId="100"/>
    <tableColumn id="23" xr3:uid="{120C50B6-C3A0-46E4-A4A5-C336C8F864EF}" name="case 1dc" dataDxfId="99"/>
    <tableColumn id="8" xr3:uid="{AE9BB1F2-3144-4541-A55C-41DDE3C6BCC7}" name="Case 2a" dataDxfId="98"/>
    <tableColumn id="9" xr3:uid="{C630E3B4-8F29-42A4-A617-6816CD8432FA}" name="Case 2b" dataDxfId="97"/>
    <tableColumn id="10" xr3:uid="{971A7058-753F-4859-907B-435D2173D0E9}" name="Case 2c" dataDxfId="96"/>
    <tableColumn id="11" xr3:uid="{21E42A04-E797-461D-A1EF-4209827DAD45}" name="Case 2d" dataDxfId="95"/>
    <tableColumn id="30" xr3:uid="{85856DEC-1233-4CD1-B9F9-20A99CBD7960}" name="case 2e" dataDxfId="94"/>
    <tableColumn id="29" xr3:uid="{F447B048-B20E-4DB2-9A5A-972CC0E89097}" name="case 2f" dataDxfId="93"/>
    <tableColumn id="28" xr3:uid="{87CED023-896C-4904-A03C-7E46B04CF87F}" name="case 2g" dataDxfId="92"/>
    <tableColumn id="27" xr3:uid="{20F0F333-485C-456E-8839-F281FDEE8CD9}" name="case 2h" dataDxfId="91"/>
    <tableColumn id="34" xr3:uid="{FF918D60-221E-40D0-B2A6-24D24A773BDA}" name="Column4" dataDxfId="90"/>
    <tableColumn id="33" xr3:uid="{3B4840B0-B62E-4A0A-BB58-9780A0D1957E}" name="Column3" dataDxfId="89"/>
    <tableColumn id="32" xr3:uid="{86227ECC-B854-4A16-9E4E-BC30AC90860A}" name="Column2" dataDxfId="88"/>
    <tableColumn id="31" xr3:uid="{80ADFA6D-D00A-4FC1-8961-4E16C83B29FE}" name="Column1" dataDxfId="87"/>
    <tableColumn id="12" xr3:uid="{AA112146-3EC4-4F77-8140-F41E23C2BDEB}" name="Case 3a" dataDxfId="86"/>
    <tableColumn id="13" xr3:uid="{9BCAB7CE-A1CD-43C0-A36E-6A3CDBCADB97}" name="Case 3b" dataDxfId="85"/>
    <tableColumn id="14" xr3:uid="{5C66B004-714A-4349-963F-9D5F8FBBAAC7}" name="Case 3c" dataDxfId="84"/>
    <tableColumn id="15" xr3:uid="{AFB4F444-1C72-4660-817C-C09994AD7B00}" name="Case 3d" dataDxfId="83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F24B19D-49B8-4A22-A22F-9B10C8540B21}" name="Table517" displayName="Table517" ref="A1:AJ59" totalsRowShown="0" headerRowDxfId="82" dataDxfId="81">
  <autoFilter ref="A1:AJ59" xr:uid="{C7CF36EE-C136-4AF1-8439-87EE3CD3F6E2}"/>
  <tableColumns count="36">
    <tableColumn id="1" xr3:uid="{C1782A19-AA1F-4B87-BB5B-B82E93300277}" name="Items" dataDxfId="80"/>
    <tableColumn id="6" xr3:uid="{B06759EA-DF2D-406B-8AA9-D3571FA44B9E}" name="type" dataDxfId="79"/>
    <tableColumn id="21" xr3:uid="{73A5E8FF-1649-4DD0-B917-2AA9FBD2155C}" name="HW Area" dataDxfId="78"/>
    <tableColumn id="20" xr3:uid="{A4F9D41E-75F5-4A54-B409-A01167AD8463}" name="HW Area2" dataDxfId="77"/>
    <tableColumn id="16" xr3:uid="{E5466EA4-175B-4ACD-873D-5C8A47295440}" name="HW Area3" dataDxfId="76"/>
    <tableColumn id="2" xr3:uid="{02E26508-C5F2-4DA3-BFD5-738E68FDA1B1}" name="HW Area4" dataDxfId="75"/>
    <tableColumn id="3" xr3:uid="{EC7E1F0B-0C0B-4D03-8EB6-4E0B86745557}" name="Case 1a" dataDxfId="74"/>
    <tableColumn id="4" xr3:uid="{27560D26-A780-4C92-AE47-EAF32F796C4D}" name="Case 1b" dataDxfId="73"/>
    <tableColumn id="5" xr3:uid="{84B8E0B9-37A4-4659-ACF6-3BE254B21840}" name="Case 1c" dataDxfId="72"/>
    <tableColumn id="18" xr3:uid="{A6BD5115-0A61-4111-82E4-C39C84D92248}" name="Case 1d" dataDxfId="71"/>
    <tableColumn id="7" xr3:uid="{3F1DAEAB-4516-471C-B0A5-31C98A0F4B20}" name="Case 1e" dataDxfId="70"/>
    <tableColumn id="25" xr3:uid="{3231B34A-579C-47C9-B788-9CF638834F2C}" name="Column4" dataDxfId="69"/>
    <tableColumn id="24" xr3:uid="{EFAB9346-609A-412E-9691-BB9A1FE50ADC}" name="Column3" dataDxfId="68"/>
    <tableColumn id="23" xr3:uid="{97E047A8-F505-4785-AA4E-A5CE473EE97E}" name="Column2" dataDxfId="67"/>
    <tableColumn id="26" xr3:uid="{E3C175DF-7BBF-4C10-BEAF-100747FA04F8}" name="Column22" dataDxfId="66"/>
    <tableColumn id="22" xr3:uid="{88605F7A-DC94-4BFE-809F-C2DA2117BE97}" name="Column1" dataDxfId="65"/>
    <tableColumn id="40" xr3:uid="{D6A6A55C-20C0-4568-9734-D26F5A883702}" name="Column15" dataDxfId="64"/>
    <tableColumn id="39" xr3:uid="{785594FF-1F17-4CE8-8E2D-636BBF28B313}" name="Column14" dataDxfId="63"/>
    <tableColumn id="38" xr3:uid="{FA98A4DC-1D32-45EA-8E67-827759B7CFD5}" name="Column13" dataDxfId="62"/>
    <tableColumn id="37" xr3:uid="{96FEE5EB-C596-40A5-8B96-A5EC17E584FE}" name="Column12" dataDxfId="61"/>
    <tableColumn id="8" xr3:uid="{09EBBFCC-82CB-419A-89F6-1C8F692D222C}" name="Case 2a" dataDxfId="60"/>
    <tableColumn id="10" xr3:uid="{CB5F391A-D298-4DE6-8DF0-E5E177C62FB8}" name="Case 2c" dataDxfId="59"/>
    <tableColumn id="17" xr3:uid="{7F1BF9AE-5A39-493A-8D4D-E78742FCADE5}" name="Case 2d" dataDxfId="58"/>
    <tableColumn id="11" xr3:uid="{3A402753-3778-4B8F-997D-B6D241CBF217}" name="Case 2e" dataDxfId="57"/>
    <tableColumn id="31" xr3:uid="{0E596705-93DA-43B1-A757-F6FDF139D60A}" name="Column9" dataDxfId="56"/>
    <tableColumn id="29" xr3:uid="{1DCCDCF8-69FF-466A-AD11-58A01F9AD0F2}" name="Column7" dataDxfId="55"/>
    <tableColumn id="28" xr3:uid="{DB28B0A3-D635-40EA-9FC8-DFE2F75F6D6B}" name="Column6" dataDxfId="54"/>
    <tableColumn id="27" xr3:uid="{935724A4-2757-4025-8808-024AB0745073}" name="Column5" dataDxfId="53"/>
    <tableColumn id="35" xr3:uid="{CA83F24E-990C-4181-B535-D1F18E68D2F9}" name="Column55" dataDxfId="52"/>
    <tableColumn id="34" xr3:uid="{BC397583-9FBE-4914-9597-5963B11073C9}" name="Column54" dataDxfId="51"/>
    <tableColumn id="33" xr3:uid="{0E8D5C71-78BA-4AD7-833A-AF22863DAFA7}" name="Column53" dataDxfId="50"/>
    <tableColumn id="32" xr3:uid="{608E32D8-4997-4E5A-B00E-AC0F87A3BE05}" name="Column52" dataDxfId="49"/>
    <tableColumn id="12" xr3:uid="{DDCA6E3E-9DC9-4ED2-AFC2-9363391A81F8}" name="Case 3a" dataDxfId="48"/>
    <tableColumn id="13" xr3:uid="{F665DC0F-2FBA-44D4-BA5C-CE51B1EF3324}" name="Case 3b" dataDxfId="47"/>
    <tableColumn id="14" xr3:uid="{85208D15-129F-4C66-A756-1E9F5FAE4FF1}" name="Case 3c" dataDxfId="46"/>
    <tableColumn id="19" xr3:uid="{D9B9E41F-3DC0-4884-BBED-176102F49FE8}" name="Case 3d" dataDxfId="45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92CC844-C8A8-4703-A58D-946D0B60D8C5}" name="Table919" displayName="Table919" ref="A1:AH66" totalsRowShown="0" headerRowDxfId="44" dataDxfId="43" tableBorderDxfId="42">
  <autoFilter ref="A1:AH66" xr:uid="{A2B3CC72-E31C-4B16-8477-60E942B25583}">
    <filterColumn colId="1">
      <filters>
        <filter val="tot area"/>
      </filters>
    </filterColumn>
  </autoFilter>
  <tableColumns count="34">
    <tableColumn id="1" xr3:uid="{BB0384B2-56C7-4795-8D53-422C54188E4B}" name="Items" dataDxfId="41"/>
    <tableColumn id="2" xr3:uid="{CE3D14E6-B450-414A-BEE1-88392E67A9C1}" name="type" dataDxfId="40"/>
    <tableColumn id="18" xr3:uid="{750A77F1-3991-44DA-9638-CC29623A8E1A}" name="HW Area" dataDxfId="39"/>
    <tableColumn id="17" xr3:uid="{9E98C3D1-78A5-45C6-85AB-26655AB6C724}" name="HW Area2" dataDxfId="38"/>
    <tableColumn id="16" xr3:uid="{944A7E0B-13DC-4457-ADE0-FAC9C5E2814D}" name="HW Area3" dataDxfId="37"/>
    <tableColumn id="3" xr3:uid="{F5C5369F-A9EB-4D20-A348-90ED940C7D2E}" name="HW Area4" dataDxfId="36"/>
    <tableColumn id="4" xr3:uid="{AB61A683-8B6C-4E18-99A0-479CBC075354}" name="Case 1a" dataDxfId="35"/>
    <tableColumn id="5" xr3:uid="{4ED8500A-75E6-4A3A-96FE-6E3E29211DEA}" name="Case 1b" dataDxfId="34"/>
    <tableColumn id="6" xr3:uid="{51398DD9-DAE5-412B-96A3-854DFD3C1A75}" name="Case 1c" dataDxfId="33"/>
    <tableColumn id="7" xr3:uid="{781F6251-FD69-4A89-ABC9-E55D2DAEA8C3}" name="Case 1d" dataDxfId="32"/>
    <tableColumn id="22" xr3:uid="{9629874D-73EC-4682-9776-97FA3BA447B3}" name="Column4" dataDxfId="31"/>
    <tableColumn id="21" xr3:uid="{DDAC54CF-829C-4F3F-B3A7-32A2E7C63CE4}" name="Column3" dataDxfId="30"/>
    <tableColumn id="20" xr3:uid="{4C51B376-E683-4B48-9C68-EBC26B057421}" name="Column2" dataDxfId="29"/>
    <tableColumn id="19" xr3:uid="{B8750F83-C5E4-490F-8C7F-8194A9650965}" name="Column1" dataDxfId="28"/>
    <tableColumn id="34" xr3:uid="{D1CD94CB-9017-49DA-BB70-8F8DF92C65C2}" name="Column15" dataDxfId="27"/>
    <tableColumn id="33" xr3:uid="{8BA4D6C8-3622-4789-8BBC-5985EA7F903B}" name="Column14" dataDxfId="26"/>
    <tableColumn id="32" xr3:uid="{4CF026BA-A6DE-4345-B55E-7D760A54F156}" name="Column13" dataDxfId="25"/>
    <tableColumn id="31" xr3:uid="{8C289919-19ED-4F86-99D5-2F8986E83E76}" name="Column12" dataDxfId="24"/>
    <tableColumn id="8" xr3:uid="{E8D22B27-C1F6-4444-B685-BB5C04545BBB}" name="Case 2a" dataDxfId="23"/>
    <tableColumn id="9" xr3:uid="{D3D367FA-64FA-48BD-B868-8A1B58FDADE9}" name="Case 2b" dataDxfId="22"/>
    <tableColumn id="10" xr3:uid="{2C0216BB-B9E2-4010-828F-95AF1CF00F14}" name="Case 2c" dataDxfId="21"/>
    <tableColumn id="11" xr3:uid="{0F2B0F45-A1E1-49E8-82F1-3400555ACB7E}" name="Case 2d" dataDxfId="20"/>
    <tableColumn id="26" xr3:uid="{E6D3A437-C453-4FE3-8F37-3260F3831C26}" name="case 2e" dataDxfId="19"/>
    <tableColumn id="25" xr3:uid="{2EE5EFAE-5F44-4889-A85B-0A0A60A5464C}" name="case 2f" dataDxfId="18"/>
    <tableColumn id="24" xr3:uid="{133543CB-92D7-4FC8-84C0-CEE22EA93206}" name="case 2g" dataDxfId="17"/>
    <tableColumn id="23" xr3:uid="{8AA14B1D-4723-486D-A3B0-6DC31F1F0721}" name="case 2h" dataDxfId="16"/>
    <tableColumn id="30" xr3:uid="{CD3222B7-F39C-4A05-9EE3-D74A3DB4E54B}" name="Column8" dataDxfId="15"/>
    <tableColumn id="29" xr3:uid="{0F5E5886-D504-4B47-956B-78BDA9E59304}" name="Column7" dataDxfId="14"/>
    <tableColumn id="28" xr3:uid="{9622313A-C605-47F9-A39D-C5E848E484CC}" name="Column6" dataDxfId="13"/>
    <tableColumn id="27" xr3:uid="{E84BF33C-28DC-4038-9E96-A3AA13D06EDC}" name="Column5" dataDxfId="12"/>
    <tableColumn id="12" xr3:uid="{ABF86753-B3C3-47A5-B35B-78D501119595}" name="Case 3a" dataDxfId="11"/>
    <tableColumn id="13" xr3:uid="{0F38F748-10A5-4192-B3A1-92CE4D1C965F}" name="Case 3b" dataDxfId="10"/>
    <tableColumn id="14" xr3:uid="{07245463-A2A5-4907-BCFF-84BF9BC988A1}" name="Case 3c" dataDxfId="9"/>
    <tableColumn id="15" xr3:uid="{400072FF-5046-4912-B943-130327131F0B}" name="Case 3d" dataDxfId="8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9000000}" name="Table58" displayName="Table58" ref="A1:F37" totalsRowShown="0" headerRowDxfId="7" dataDxfId="6">
  <autoFilter ref="A1:F37" xr:uid="{00000000-0009-0000-0100-000007000000}"/>
  <tableColumns count="6">
    <tableColumn id="1" xr3:uid="{00000000-0010-0000-0900-000001000000}" name="Case" dataDxfId="5"/>
    <tableColumn id="6" xr3:uid="{00000000-0010-0000-0900-000006000000}" name="type" dataDxfId="4"/>
    <tableColumn id="2" xr3:uid="{00000000-0010-0000-0900-000002000000}" name="HW" dataDxfId="3"/>
    <tableColumn id="3" xr3:uid="{00000000-0010-0000-0900-000003000000}" name="1" dataDxfId="2"/>
    <tableColumn id="4" xr3:uid="{00000000-0010-0000-0900-000004000000}" name="2" dataDxfId="1"/>
    <tableColumn id="5" xr3:uid="{00000000-0010-0000-0900-000005000000}" name="3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e411" displayName="Table411" ref="A1:D24" totalsRowShown="0" headerRowDxfId="319" dataDxfId="318">
  <autoFilter ref="A1:D24" xr:uid="{00000000-0009-0000-0100-00000A000000}"/>
  <tableColumns count="4">
    <tableColumn id="1" xr3:uid="{00000000-0010-0000-0100-000001000000}" name="Case Number" dataDxfId="317"/>
    <tableColumn id="2" xr3:uid="{00000000-0010-0000-0100-000002000000}" name="1" dataDxfId="316"/>
    <tableColumn id="4" xr3:uid="{00000000-0010-0000-0100-000004000000}" name="2" dataDxfId="315"/>
    <tableColumn id="7" xr3:uid="{00000000-0010-0000-0100-000007000000}" name="3" dataDxfId="31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8" displayName="Table8" ref="A1:H17" totalsRowShown="0" headerRowDxfId="313" dataDxfId="312">
  <autoFilter ref="A1:H17" xr:uid="{00000000-0009-0000-0100-000008000000}"/>
  <tableColumns count="8">
    <tableColumn id="1" xr3:uid="{00000000-0010-0000-0200-000001000000}" name="Prototype" dataDxfId="311"/>
    <tableColumn id="2" xr3:uid="{00000000-0010-0000-0200-000002000000}" name="AWMF-0129" dataDxfId="310"/>
    <tableColumn id="3" xr3:uid="{00000000-0010-0000-0200-000003000000}" name="[1]" dataDxfId="309"/>
    <tableColumn id="4" xr3:uid="{00000000-0010-0000-0200-000004000000}" name="[2]" dataDxfId="308"/>
    <tableColumn id="6" xr3:uid="{00000000-0010-0000-0200-000006000000}" name="[3]" dataDxfId="307"/>
    <tableColumn id="7" xr3:uid="{00000000-0010-0000-0200-000007000000}" name="[4]" dataDxfId="306"/>
    <tableColumn id="8" xr3:uid="{00000000-0010-0000-0200-000008000000}" name="[5]" dataDxfId="305"/>
    <tableColumn id="9" xr3:uid="{00000000-0010-0000-0200-000009000000}" name="[6]" dataDxfId="30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24" displayName="Table24" ref="A1:H17" totalsRowShown="0" headerRowDxfId="303" dataDxfId="302">
  <autoFilter ref="A1:H17" xr:uid="{00000000-0009-0000-0100-000003000000}"/>
  <tableColumns count="8">
    <tableColumn id="1" xr3:uid="{00000000-0010-0000-0300-000001000000}" name="Chip" dataDxfId="301"/>
    <tableColumn id="2" xr3:uid="{00000000-0010-0000-0300-000002000000}" name="Modj" dataDxfId="300"/>
    <tableColumn id="4" xr3:uid="{00000000-0010-0000-0300-000004000000}" name="[1]" dataDxfId="299"/>
    <tableColumn id="5" xr3:uid="{00000000-0010-0000-0300-000005000000}" name="[2]" dataDxfId="298"/>
    <tableColumn id="6" xr3:uid="{00000000-0010-0000-0300-000006000000}" name="[3]" dataDxfId="297"/>
    <tableColumn id="7" xr3:uid="{00000000-0010-0000-0300-000007000000}" name="[4]" dataDxfId="296"/>
    <tableColumn id="8" xr3:uid="{00000000-0010-0000-0300-000008000000}" name="[5]" dataDxfId="295"/>
    <tableColumn id="13" xr3:uid="{00000000-0010-0000-0300-00000D000000}" name="Typical" dataDxfId="29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2" displayName="Table2" ref="A1:N21" totalsRowShown="0" headerRowDxfId="293" dataDxfId="292">
  <autoFilter ref="A1:N21" xr:uid="{00000000-0009-0000-0100-000002000000}"/>
  <tableColumns count="14">
    <tableColumn id="1" xr3:uid="{00000000-0010-0000-0400-000001000000}" name="Chip" dataDxfId="291"/>
    <tableColumn id="2" xr3:uid="{00000000-0010-0000-0400-000002000000}" name="AWMF-0108" dataDxfId="290"/>
    <tableColumn id="3" xr3:uid="{00000000-0010-0000-0400-000003000000}" name=" AWMF-0123/5" dataDxfId="289"/>
    <tableColumn id="4" xr3:uid="{00000000-0010-0000-0400-000004000000}" name="[1]" dataDxfId="288"/>
    <tableColumn id="5" xr3:uid="{00000000-0010-0000-0400-000005000000}" name="[2]" dataDxfId="287"/>
    <tableColumn id="6" xr3:uid="{00000000-0010-0000-0400-000006000000}" name="[3]" dataDxfId="286"/>
    <tableColumn id="7" xr3:uid="{00000000-0010-0000-0400-000007000000}" name="[4]" dataDxfId="285"/>
    <tableColumn id="8" xr3:uid="{00000000-0010-0000-0400-000008000000}" name="[5]" dataDxfId="284"/>
    <tableColumn id="9" xr3:uid="{00000000-0010-0000-0400-000009000000}" name="[6]" dataDxfId="283"/>
    <tableColumn id="10" xr3:uid="{00000000-0010-0000-0400-00000A000000}" name="[7]" dataDxfId="282"/>
    <tableColumn id="11" xr3:uid="{00000000-0010-0000-0400-00000B000000}" name="[8]" dataDxfId="281"/>
    <tableColumn id="12" xr3:uid="{00000000-0010-0000-0400-00000C000000}" name="[9]" dataDxfId="280"/>
    <tableColumn id="13" xr3:uid="{00000000-0010-0000-0400-00000D000000}" name="[10]" dataDxfId="279"/>
    <tableColumn id="14" xr3:uid="{FA1AA159-0AAC-4485-8137-D01FC2D696D5}" name="Typical" dataDxfId="27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1" displayName="Table1" ref="A1:N16" totalsRowShown="0" headerRowDxfId="277" dataDxfId="276">
  <autoFilter ref="A1:N16" xr:uid="{00000000-0009-0000-0100-000001000000}"/>
  <tableColumns count="14">
    <tableColumn id="1" xr3:uid="{00000000-0010-0000-0500-000001000000}" name="Column1" dataDxfId="275"/>
    <tableColumn id="2" xr3:uid="{00000000-0010-0000-0500-000002000000}" name="TGA4544-SM" dataDxfId="274"/>
    <tableColumn id="3" xr3:uid="{00000000-0010-0000-0500-000003000000}" name="[1]" dataDxfId="273"/>
    <tableColumn id="4" xr3:uid="{00000000-0010-0000-0500-000004000000}" name="[2]" dataDxfId="272"/>
    <tableColumn id="5" xr3:uid="{00000000-0010-0000-0500-000005000000}" name="[3]" dataDxfId="271"/>
    <tableColumn id="6" xr3:uid="{00000000-0010-0000-0500-000006000000}" name="[4]" dataDxfId="270"/>
    <tableColumn id="7" xr3:uid="{00000000-0010-0000-0500-000007000000}" name="[5]" dataDxfId="269"/>
    <tableColumn id="8" xr3:uid="{00000000-0010-0000-0500-000008000000}" name="[6]" dataDxfId="268"/>
    <tableColumn id="9" xr3:uid="{00000000-0010-0000-0500-000009000000}" name="[7]" dataDxfId="267"/>
    <tableColumn id="10" xr3:uid="{00000000-0010-0000-0500-00000A000000}" name="[8]" dataDxfId="266"/>
    <tableColumn id="11" xr3:uid="{00000000-0010-0000-0500-00000B000000}" name="[9]" dataDxfId="265"/>
    <tableColumn id="12" xr3:uid="{00000000-0010-0000-0500-00000C000000}" name="[10]" dataDxfId="264"/>
    <tableColumn id="13" xr3:uid="{00000000-0010-0000-0500-00000D000000}" name="[11]" dataDxfId="263"/>
    <tableColumn id="14" xr3:uid="{00000000-0010-0000-0500-00000E000000}" name="Typical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A1BB8F2-FE3A-4068-9A1C-DC84826B5073}" name="Table112" displayName="Table112" ref="A1:R16" totalsRowShown="0" headerRowDxfId="262" dataDxfId="261">
  <autoFilter ref="A1:R16" xr:uid="{518873B3-D264-4F96-8E71-D4FF37FE8BA9}">
    <filterColumn colId="0">
      <filters>
        <filter val="Affiliation"/>
        <filter val="Devc. or Syst."/>
        <filter val="Freq (GHz)"/>
        <filter val="Gain (dB)"/>
        <filter val="note"/>
        <filter val="PAE max (%)"/>
        <filter val="Psat"/>
        <filter val="technique"/>
        <filter val="year"/>
      </filters>
    </filterColumn>
  </autoFilter>
  <tableColumns count="18">
    <tableColumn id="1" xr3:uid="{83803751-1D5C-4E04-8E22-26E4F372794B}" name="Column1" dataDxfId="260"/>
    <tableColumn id="2" xr3:uid="{9FAEEC53-A9E0-4992-9B4B-3E73E904FB47}" name="TGA4544-SM" dataDxfId="259"/>
    <tableColumn id="3" xr3:uid="{0F84B34E-570E-45E9-B72B-11F2D0630E8E}" name="[1]" dataDxfId="258"/>
    <tableColumn id="4" xr3:uid="{3DE1A500-F8EF-4B3E-B4E3-141620AE35B4}" name="[2]" dataDxfId="257"/>
    <tableColumn id="5" xr3:uid="{CE8CB654-25E0-4D53-96AE-B1D4F5F76938}" name="[3]" dataDxfId="256"/>
    <tableColumn id="6" xr3:uid="{3F80D1B6-8778-4443-9DA2-E25BD4E5B94F}" name="[4]" dataDxfId="255"/>
    <tableColumn id="7" xr3:uid="{A28349A2-5A5E-4EA1-B955-D544D47FFD58}" name="[5]" dataDxfId="254"/>
    <tableColumn id="8" xr3:uid="{DDE49CBB-DA35-46C0-A789-A4F0F13037F0}" name="[6]" dataDxfId="253"/>
    <tableColumn id="9" xr3:uid="{92427495-8AFA-4DD5-85CF-297DB26AE8C3}" name="[7]" dataDxfId="252"/>
    <tableColumn id="10" xr3:uid="{16389839-C566-4EA3-834B-4A18EADFF5D7}" name="[8]" dataDxfId="251"/>
    <tableColumn id="11" xr3:uid="{A0FD49A3-1129-4C82-A54D-932FAB1F8F0A}" name="[9]" dataDxfId="250"/>
    <tableColumn id="12" xr3:uid="{68063CB1-D784-42DB-8600-C894E9623E41}" name="[10]" dataDxfId="249"/>
    <tableColumn id="13" xr3:uid="{E434E057-C6FA-4142-957D-CFA4F15D5D4B}" name="[11]" dataDxfId="248"/>
    <tableColumn id="14" xr3:uid="{E3038AA8-BBBA-43CB-9539-D2F26C054127}" name="[12]" dataDxfId="247"/>
    <tableColumn id="15" xr3:uid="{513412B0-AB22-4173-A7E4-1EE87513C306}" name="[13]" dataDxfId="246"/>
    <tableColumn id="16" xr3:uid="{3B99ED17-B670-4868-B95C-7CCA219338F5}" name="[14]" dataDxfId="245"/>
    <tableColumn id="17" xr3:uid="{07D4D7EF-85A1-4434-A673-22CBC3628AB4}" name="[15]" dataDxfId="244"/>
    <tableColumn id="18" xr3:uid="{2AAC1DD0-78D2-4C5B-8E35-8F3ACE9F9D6B}" name="[16]" dataDxfId="243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23AD4FA-F646-4F2A-B299-779186011AAC}" name="Table12" displayName="Table12" ref="A1:S17" totalsRowShown="0" headerRowDxfId="242" dataDxfId="241">
  <autoFilter ref="A1:S17" xr:uid="{90AC2FBB-C579-4DF9-8309-965F358B1927}">
    <filterColumn colId="16">
      <filters>
        <filter val="1"/>
      </filters>
    </filterColumn>
  </autoFilter>
  <sortState ref="A2:S17">
    <sortCondition ref="E1:E17"/>
  </sortState>
  <tableColumns count="19">
    <tableColumn id="1" xr3:uid="{F156438D-22BB-48DB-B5CE-E81472EA0E4E}" name="Column1" dataDxfId="240"/>
    <tableColumn id="2" xr3:uid="{E9067C33-E2D3-46E7-BA86-9F7EC5F4D33B}" name="Affiliation" dataDxfId="239"/>
    <tableColumn id="3" xr3:uid="{DA70F708-2C45-4EA6-9FC2-E23FA3D62AE2}" name="Devc/Sys" dataDxfId="238"/>
    <tableColumn id="4" xr3:uid="{10E2E5F9-D805-4388-BCB6-5B274C624B88}" name="year" dataDxfId="237"/>
    <tableColumn id="5" xr3:uid="{A0E640BE-D270-4240-9C38-E3FB6F62CF15}" name="material" dataDxfId="236"/>
    <tableColumn id="6" xr3:uid="{D3D39792-CEAE-4B4D-8A20-6CC4E0B2C93D}" name="technique" dataDxfId="235"/>
    <tableColumn id="7" xr3:uid="{F4DA08B2-18A5-4A4E-A3EF-D29DD701D820}" name="Freq (GHz)" dataDxfId="234"/>
    <tableColumn id="8" xr3:uid="{8301E43A-29F1-4333-BE6D-59ED2763773D}" name="Stage Num." dataDxfId="233"/>
    <tableColumn id="9" xr3:uid="{B92AB06E-963F-4E01-8328-44DDD1E464EE}" name="Gain (dB)" dataDxfId="232"/>
    <tableColumn id="10" xr3:uid="{401C15D5-8C88-4994-B35B-592FBBE25351}" name="Psat" dataDxfId="231"/>
    <tableColumn id="11" xr3:uid="{C5EE97DB-DD93-4651-80E3-00C69A4DCEEB}" name="P1dB (dBm)" dataDxfId="230"/>
    <tableColumn id="12" xr3:uid="{3CA05B01-88FE-4CEC-9AA9-10862C065020}" name="Power (mW)" dataDxfId="229"/>
    <tableColumn id="13" xr3:uid="{FB6CEBE4-BAF9-4045-B47A-5ABC18014CDA}" name="PAE max (%)" dataDxfId="228"/>
    <tableColumn id="14" xr3:uid="{EC1FA2C4-BF59-49D7-B306-6836CFAC16CD}" name="PAE 1dB (%)" dataDxfId="227"/>
    <tableColumn id="15" xr3:uid="{08685DC2-712F-47C8-A3C6-BA877C67CDBD}" name="Total Area (mm2)" dataDxfId="226"/>
    <tableColumn id="16" xr3:uid="{D456519E-17BB-4015-AA3F-F09BDD0E6573}" name="Per PA Area (mm2)" dataDxfId="225"/>
    <tableColumn id="19" xr3:uid="{D3C6B360-6BAB-4B11-AE68-67105824BA57}" name="Select" dataDxfId="224"/>
    <tableColumn id="17" xr3:uid="{27B30487-9D4D-40A6-8198-DA81FF738D59}" name="note" dataDxfId="223"/>
    <tableColumn id="18" xr3:uid="{E6D18663-D633-4F0E-A89D-B12D55EEA0A8}" name="Reference" dataDxfId="222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57" displayName="Table57" ref="A1:Q49" totalsRowShown="0" headerRowDxfId="221" dataDxfId="220">
  <autoFilter ref="A1:Q49" xr:uid="{00000000-0009-0000-0100-000006000000}"/>
  <tableColumns count="17">
    <tableColumn id="1" xr3:uid="{00000000-0010-0000-0600-000001000000}" name="Items" dataDxfId="219"/>
    <tableColumn id="7" xr3:uid="{00000000-0010-0000-0600-000007000000}" name="type" dataDxfId="218"/>
    <tableColumn id="18" xr3:uid="{3D487716-BA5F-4FFE-A421-ABC4ED0D6D60}" name="HW Area" dataDxfId="217"/>
    <tableColumn id="16" xr3:uid="{AF6CF835-09E7-4945-BA30-2D9C8B0E95B3}" name="HW Area3" dataDxfId="216"/>
    <tableColumn id="2" xr3:uid="{00000000-0010-0000-0600-000002000000}" name="HW Area4" dataDxfId="215"/>
    <tableColumn id="4" xr3:uid="{00000000-0010-0000-0600-000004000000}" name="Case 1a" dataDxfId="214"/>
    <tableColumn id="3" xr3:uid="{00000000-0010-0000-0600-000003000000}" name="Case 1b" dataDxfId="213"/>
    <tableColumn id="5" xr3:uid="{00000000-0010-0000-0600-000005000000}" name="Case 1c" dataDxfId="212"/>
    <tableColumn id="6" xr3:uid="{8E0C8F34-B510-481D-AB68-DE8D77D8D85D}" name="Case 1d" dataDxfId="211"/>
    <tableColumn id="8" xr3:uid="{3D3FF7F4-2F96-493F-A3B3-753382646119}" name="Case 2a" dataDxfId="210"/>
    <tableColumn id="9" xr3:uid="{BEE26357-CA87-474E-9995-B4F79F6EC999}" name="Case 2b" dataDxfId="209"/>
    <tableColumn id="10" xr3:uid="{0EFCA3F6-2C86-4E98-97D0-664E7DA4660C}" name="Case 2c" dataDxfId="208"/>
    <tableColumn id="11" xr3:uid="{B273AFB8-7293-44BC-AFA6-3A706E33C223}" name="Case 2d" dataDxfId="207"/>
    <tableColumn id="12" xr3:uid="{612B8EA5-7825-4520-B62C-4ED6E587836E}" name="Case 3a" dataDxfId="206"/>
    <tableColumn id="13" xr3:uid="{3D536004-ACFA-478C-9A67-90178C503928}" name="Case 3b" dataDxfId="205"/>
    <tableColumn id="14" xr3:uid="{D5556BF5-148B-4856-BAE8-AF166A988C9C}" name="Case 3c" dataDxfId="204"/>
    <tableColumn id="15" xr3:uid="{5894D5DB-0AE7-4C77-9D54-4C64CED1A60E}" name="Case 3d" dataDxfId="20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J23" sqref="J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86"/>
  <sheetViews>
    <sheetView workbookViewId="0">
      <selection activeCell="F8" sqref="F8"/>
    </sheetView>
  </sheetViews>
  <sheetFormatPr defaultRowHeight="15" x14ac:dyDescent="0.25"/>
  <cols>
    <col min="1" max="1" width="31.140625" customWidth="1"/>
    <col min="2" max="2" width="13.5703125" customWidth="1"/>
    <col min="3" max="4" width="13.5703125" hidden="1" customWidth="1"/>
    <col min="5" max="5" width="13.28515625" customWidth="1"/>
    <col min="6" max="6" width="11.5703125" customWidth="1"/>
    <col min="7" max="7" width="12" customWidth="1"/>
    <col min="8" max="8" width="12.28515625" customWidth="1"/>
    <col min="9" max="9" width="12.7109375" customWidth="1"/>
    <col min="10" max="10" width="11.85546875" customWidth="1"/>
    <col min="11" max="11" width="12" customWidth="1"/>
    <col min="12" max="12" width="12.28515625" customWidth="1"/>
    <col min="13" max="13" width="14.5703125" customWidth="1"/>
    <col min="14" max="14" width="11.85546875" customWidth="1"/>
    <col min="15" max="16" width="12.140625" customWidth="1"/>
    <col min="17" max="17" width="12.28515625" customWidth="1"/>
  </cols>
  <sheetData>
    <row r="1" spans="1:17" x14ac:dyDescent="0.25">
      <c r="A1" s="14" t="s">
        <v>343</v>
      </c>
      <c r="B1" s="14" t="s">
        <v>326</v>
      </c>
      <c r="C1" s="2" t="s">
        <v>335</v>
      </c>
      <c r="D1" s="2" t="s">
        <v>480</v>
      </c>
      <c r="E1" s="2" t="s">
        <v>481</v>
      </c>
      <c r="F1" s="2" t="s">
        <v>449</v>
      </c>
      <c r="G1" s="2" t="s">
        <v>448</v>
      </c>
      <c r="H1" s="2" t="s">
        <v>450</v>
      </c>
      <c r="I1" s="2" t="s">
        <v>451</v>
      </c>
      <c r="J1" s="2" t="s">
        <v>452</v>
      </c>
      <c r="K1" s="2" t="s">
        <v>453</v>
      </c>
      <c r="L1" s="2" t="s">
        <v>454</v>
      </c>
      <c r="M1" s="2" t="s">
        <v>455</v>
      </c>
      <c r="N1" s="101" t="s">
        <v>457</v>
      </c>
      <c r="O1" s="101" t="s">
        <v>456</v>
      </c>
      <c r="P1" s="101" t="s">
        <v>458</v>
      </c>
      <c r="Q1" s="102" t="s">
        <v>459</v>
      </c>
    </row>
    <row r="2" spans="1:17" x14ac:dyDescent="0.25">
      <c r="A2" s="62" t="s">
        <v>8</v>
      </c>
      <c r="B2" s="14" t="s">
        <v>330</v>
      </c>
      <c r="C2" s="29">
        <v>128</v>
      </c>
      <c r="D2" s="29">
        <v>256</v>
      </c>
      <c r="E2" s="29">
        <v>384</v>
      </c>
      <c r="F2" s="29">
        <v>64</v>
      </c>
      <c r="G2" s="29">
        <v>128</v>
      </c>
      <c r="H2" s="29">
        <v>192</v>
      </c>
      <c r="I2" s="29">
        <v>256</v>
      </c>
      <c r="J2" s="29">
        <v>256</v>
      </c>
      <c r="K2" s="29">
        <v>384</v>
      </c>
      <c r="L2" s="105">
        <v>512</v>
      </c>
      <c r="M2" s="105">
        <v>768</v>
      </c>
      <c r="N2" s="42">
        <v>128</v>
      </c>
      <c r="O2" s="42">
        <v>256</v>
      </c>
      <c r="P2" s="42">
        <v>384</v>
      </c>
      <c r="Q2" s="42">
        <v>512</v>
      </c>
    </row>
    <row r="3" spans="1:17" x14ac:dyDescent="0.25">
      <c r="A3" s="62" t="s">
        <v>355</v>
      </c>
      <c r="B3" s="14" t="s">
        <v>330</v>
      </c>
      <c r="C3" s="29">
        <f>C2</f>
        <v>128</v>
      </c>
      <c r="D3" s="29">
        <v>256</v>
      </c>
      <c r="E3" s="29">
        <f>E2</f>
        <v>384</v>
      </c>
      <c r="F3" s="29">
        <f t="shared" ref="F3:Q3" si="0">F2</f>
        <v>64</v>
      </c>
      <c r="G3" s="29">
        <f t="shared" si="0"/>
        <v>128</v>
      </c>
      <c r="H3" s="29">
        <f t="shared" si="0"/>
        <v>192</v>
      </c>
      <c r="I3" s="29">
        <f t="shared" si="0"/>
        <v>256</v>
      </c>
      <c r="J3" s="29">
        <f t="shared" si="0"/>
        <v>256</v>
      </c>
      <c r="K3" s="29">
        <f t="shared" si="0"/>
        <v>384</v>
      </c>
      <c r="L3" s="105">
        <f t="shared" si="0"/>
        <v>512</v>
      </c>
      <c r="M3" s="105">
        <f t="shared" si="0"/>
        <v>768</v>
      </c>
      <c r="N3" s="31">
        <f t="shared" si="0"/>
        <v>128</v>
      </c>
      <c r="O3" s="31">
        <f t="shared" si="0"/>
        <v>256</v>
      </c>
      <c r="P3" s="31">
        <f t="shared" si="0"/>
        <v>384</v>
      </c>
      <c r="Q3" s="31">
        <f t="shared" si="0"/>
        <v>512</v>
      </c>
    </row>
    <row r="4" spans="1:17" x14ac:dyDescent="0.25">
      <c r="A4" s="62" t="s">
        <v>263</v>
      </c>
      <c r="B4" s="14" t="s">
        <v>330</v>
      </c>
      <c r="C4" s="29">
        <f t="shared" ref="C4:D4" si="1">C2/C3</f>
        <v>1</v>
      </c>
      <c r="D4" s="29">
        <f t="shared" si="1"/>
        <v>1</v>
      </c>
      <c r="E4" s="29">
        <f t="shared" ref="E4:Q4" si="2">E2/E3</f>
        <v>1</v>
      </c>
      <c r="F4" s="29">
        <f t="shared" si="2"/>
        <v>1</v>
      </c>
      <c r="G4" s="29">
        <f t="shared" si="2"/>
        <v>1</v>
      </c>
      <c r="H4" s="29">
        <f t="shared" si="2"/>
        <v>1</v>
      </c>
      <c r="I4" s="29">
        <f t="shared" si="2"/>
        <v>1</v>
      </c>
      <c r="J4" s="29">
        <f t="shared" si="2"/>
        <v>1</v>
      </c>
      <c r="K4" s="29">
        <f t="shared" si="2"/>
        <v>1</v>
      </c>
      <c r="L4" s="105">
        <f t="shared" si="2"/>
        <v>1</v>
      </c>
      <c r="M4" s="105">
        <f t="shared" si="2"/>
        <v>1</v>
      </c>
      <c r="N4" s="31">
        <f t="shared" si="2"/>
        <v>1</v>
      </c>
      <c r="O4" s="31">
        <f t="shared" si="2"/>
        <v>1</v>
      </c>
      <c r="P4" s="31">
        <f t="shared" si="2"/>
        <v>1</v>
      </c>
      <c r="Q4" s="31">
        <f t="shared" si="2"/>
        <v>1</v>
      </c>
    </row>
    <row r="5" spans="1:17" x14ac:dyDescent="0.25">
      <c r="A5" s="62" t="s">
        <v>464</v>
      </c>
      <c r="B5" s="33" t="s">
        <v>342</v>
      </c>
      <c r="C5" s="25" t="s">
        <v>20</v>
      </c>
      <c r="D5" s="25" t="s">
        <v>20</v>
      </c>
      <c r="E5" s="25" t="s">
        <v>20</v>
      </c>
      <c r="F5" s="29">
        <v>8</v>
      </c>
      <c r="G5" s="112">
        <v>8</v>
      </c>
      <c r="H5" s="112">
        <v>8</v>
      </c>
      <c r="I5" s="29">
        <v>8</v>
      </c>
      <c r="J5" s="29">
        <v>2</v>
      </c>
      <c r="K5" s="112">
        <v>2</v>
      </c>
      <c r="L5" s="112">
        <v>2</v>
      </c>
      <c r="M5" s="112">
        <v>2</v>
      </c>
      <c r="N5" s="39">
        <v>1</v>
      </c>
      <c r="O5" s="39">
        <v>1</v>
      </c>
      <c r="P5" s="39">
        <v>1</v>
      </c>
      <c r="Q5" s="39">
        <v>1</v>
      </c>
    </row>
    <row r="6" spans="1:17" x14ac:dyDescent="0.25">
      <c r="A6" s="62" t="s">
        <v>262</v>
      </c>
      <c r="B6" s="14" t="s">
        <v>330</v>
      </c>
      <c r="C6" s="29">
        <f>C3</f>
        <v>128</v>
      </c>
      <c r="D6" s="29">
        <f>D3</f>
        <v>256</v>
      </c>
      <c r="E6" s="29">
        <f>E3</f>
        <v>384</v>
      </c>
      <c r="F6" s="29">
        <f t="shared" ref="F6:G6" si="3">F3</f>
        <v>64</v>
      </c>
      <c r="G6" s="29">
        <f t="shared" si="3"/>
        <v>128</v>
      </c>
      <c r="H6" s="29">
        <f t="shared" ref="H6:I6" si="4">H3</f>
        <v>192</v>
      </c>
      <c r="I6" s="29">
        <f t="shared" si="4"/>
        <v>256</v>
      </c>
      <c r="J6" s="29">
        <f t="shared" ref="J6:Q6" si="5">J3</f>
        <v>256</v>
      </c>
      <c r="K6" s="29">
        <f t="shared" si="5"/>
        <v>384</v>
      </c>
      <c r="L6" s="105">
        <f t="shared" si="5"/>
        <v>512</v>
      </c>
      <c r="M6" s="105">
        <f t="shared" si="5"/>
        <v>768</v>
      </c>
      <c r="N6" s="31">
        <f t="shared" si="5"/>
        <v>128</v>
      </c>
      <c r="O6" s="31">
        <f t="shared" si="5"/>
        <v>256</v>
      </c>
      <c r="P6" s="31">
        <f t="shared" si="5"/>
        <v>384</v>
      </c>
      <c r="Q6" s="31">
        <f t="shared" si="5"/>
        <v>512</v>
      </c>
    </row>
    <row r="7" spans="1:17" x14ac:dyDescent="0.25">
      <c r="A7" s="62" t="s">
        <v>491</v>
      </c>
      <c r="B7" s="14" t="s">
        <v>342</v>
      </c>
      <c r="C7" s="43">
        <f t="shared" ref="C7:D7" si="6">C9*5</f>
        <v>4.25</v>
      </c>
      <c r="D7" s="43">
        <f t="shared" si="6"/>
        <v>4.25</v>
      </c>
      <c r="E7" s="43">
        <f>E9*2</f>
        <v>1.7</v>
      </c>
      <c r="F7" s="43">
        <f t="shared" ref="F7:Q7" si="7">F9*2</f>
        <v>1.7</v>
      </c>
      <c r="G7" s="43">
        <f t="shared" si="7"/>
        <v>1.7</v>
      </c>
      <c r="H7" s="43">
        <f t="shared" si="7"/>
        <v>1.7</v>
      </c>
      <c r="I7" s="43">
        <f t="shared" si="7"/>
        <v>1.7</v>
      </c>
      <c r="J7" s="43">
        <f t="shared" si="7"/>
        <v>1.7</v>
      </c>
      <c r="K7" s="43">
        <f t="shared" si="7"/>
        <v>1.7</v>
      </c>
      <c r="L7" s="43">
        <f t="shared" si="7"/>
        <v>1.7</v>
      </c>
      <c r="M7" s="43">
        <f t="shared" si="7"/>
        <v>1.7</v>
      </c>
      <c r="N7" s="43">
        <f t="shared" si="7"/>
        <v>1.7</v>
      </c>
      <c r="O7" s="43">
        <f t="shared" si="7"/>
        <v>1.7</v>
      </c>
      <c r="P7" s="43">
        <f t="shared" si="7"/>
        <v>1.7</v>
      </c>
      <c r="Q7" s="43">
        <f t="shared" si="7"/>
        <v>1.7</v>
      </c>
    </row>
    <row r="8" spans="1:17" x14ac:dyDescent="0.25">
      <c r="A8" s="62" t="s">
        <v>492</v>
      </c>
      <c r="B8" s="14" t="s">
        <v>342</v>
      </c>
      <c r="C8" s="25">
        <v>6</v>
      </c>
      <c r="D8" s="25">
        <v>6</v>
      </c>
      <c r="E8" s="25">
        <v>6</v>
      </c>
      <c r="F8" s="110">
        <f>(10+10-1.76+F10+F39)/6</f>
        <v>5.4105916643220171</v>
      </c>
      <c r="G8" s="110">
        <f>(10+10-1.76+G10+G39)/6</f>
        <v>4.8139249976553504</v>
      </c>
      <c r="H8" s="110">
        <f>(10+10-1.76+H10+H39)/6</f>
        <v>4.4855916643220173</v>
      </c>
      <c r="I8" s="110">
        <f>(10+10-1.76+I10+I39)/6</f>
        <v>4.2605916643220176</v>
      </c>
      <c r="J8" s="110">
        <f t="shared" ref="J8:Q8" si="8">MAX((10+10-1.76+J10+J39)/6,4)</f>
        <v>4</v>
      </c>
      <c r="K8" s="110">
        <f t="shared" si="8"/>
        <v>4</v>
      </c>
      <c r="L8" s="110">
        <f t="shared" si="8"/>
        <v>4</v>
      </c>
      <c r="M8" s="110">
        <f t="shared" si="8"/>
        <v>4</v>
      </c>
      <c r="N8" s="110">
        <f t="shared" si="8"/>
        <v>5.4449999999999994</v>
      </c>
      <c r="O8" s="110">
        <f t="shared" si="8"/>
        <v>4.9449999999999994</v>
      </c>
      <c r="P8" s="110">
        <f t="shared" si="8"/>
        <v>4.6499999999999995</v>
      </c>
      <c r="Q8" s="110">
        <f t="shared" si="8"/>
        <v>4.4416666666666655</v>
      </c>
    </row>
    <row r="9" spans="1:17" x14ac:dyDescent="0.25">
      <c r="A9" s="62" t="s">
        <v>493</v>
      </c>
      <c r="B9" s="14" t="s">
        <v>342</v>
      </c>
      <c r="C9" s="43">
        <v>0.85</v>
      </c>
      <c r="D9" s="43">
        <v>0.85</v>
      </c>
      <c r="E9" s="43">
        <v>0.85</v>
      </c>
      <c r="F9" s="43">
        <v>0.85</v>
      </c>
      <c r="G9" s="43">
        <v>0.85</v>
      </c>
      <c r="H9" s="43">
        <v>0.85</v>
      </c>
      <c r="I9" s="43">
        <v>0.85</v>
      </c>
      <c r="J9" s="43">
        <v>0.85</v>
      </c>
      <c r="K9" s="43">
        <v>0.85</v>
      </c>
      <c r="L9" s="105">
        <v>0.85</v>
      </c>
      <c r="M9" s="105">
        <v>0.85</v>
      </c>
      <c r="N9" s="31">
        <v>0.85</v>
      </c>
      <c r="O9" s="31">
        <v>0.85</v>
      </c>
      <c r="P9" s="31">
        <v>0.85</v>
      </c>
      <c r="Q9" s="31">
        <v>0.85</v>
      </c>
    </row>
    <row r="10" spans="1:17" x14ac:dyDescent="0.25">
      <c r="A10" s="62" t="s">
        <v>494</v>
      </c>
      <c r="B10" s="33" t="s">
        <v>342</v>
      </c>
      <c r="C10" s="25" t="s">
        <v>20</v>
      </c>
      <c r="D10" s="25" t="s">
        <v>20</v>
      </c>
      <c r="E10" s="25" t="s">
        <v>20</v>
      </c>
      <c r="F10" s="25">
        <v>18.693549985932108</v>
      </c>
      <c r="G10" s="25">
        <v>18.693549985932108</v>
      </c>
      <c r="H10" s="25">
        <v>18.693549985932108</v>
      </c>
      <c r="I10" s="25">
        <v>18.693549985932108</v>
      </c>
      <c r="J10" s="43">
        <v>-14.7</v>
      </c>
      <c r="K10" s="43">
        <v>-14.7</v>
      </c>
      <c r="L10" s="43">
        <v>-14.7</v>
      </c>
      <c r="M10" s="43">
        <v>-14.7</v>
      </c>
      <c r="N10" s="31">
        <v>15.5</v>
      </c>
      <c r="O10" s="31">
        <v>15.5</v>
      </c>
      <c r="P10" s="31">
        <v>15.5</v>
      </c>
      <c r="Q10" s="31">
        <v>15.5</v>
      </c>
    </row>
    <row r="11" spans="1:17" x14ac:dyDescent="0.25">
      <c r="A11" s="55" t="s">
        <v>558</v>
      </c>
      <c r="B11" s="33" t="s">
        <v>341</v>
      </c>
      <c r="C11" s="25" t="s">
        <v>20</v>
      </c>
      <c r="D11" s="25" t="s">
        <v>20</v>
      </c>
      <c r="E11" s="25" t="s">
        <v>20</v>
      </c>
      <c r="F11" s="25">
        <f>13</f>
        <v>13</v>
      </c>
      <c r="G11" s="25">
        <f>13</f>
        <v>13</v>
      </c>
      <c r="H11" s="25">
        <f>13</f>
        <v>13</v>
      </c>
      <c r="I11" s="25">
        <f>13</f>
        <v>13</v>
      </c>
      <c r="J11" s="25">
        <f>13</f>
        <v>13</v>
      </c>
      <c r="K11" s="25">
        <f>13</f>
        <v>13</v>
      </c>
      <c r="L11" s="25">
        <f>13</f>
        <v>13</v>
      </c>
      <c r="M11" s="25">
        <f>13</f>
        <v>13</v>
      </c>
      <c r="N11" s="25">
        <f>13</f>
        <v>13</v>
      </c>
      <c r="O11" s="25">
        <f>13</f>
        <v>13</v>
      </c>
      <c r="P11" s="25">
        <f>13</f>
        <v>13</v>
      </c>
      <c r="Q11" s="25">
        <f>13</f>
        <v>13</v>
      </c>
    </row>
    <row r="12" spans="1:17" x14ac:dyDescent="0.25">
      <c r="A12" s="55" t="s">
        <v>409</v>
      </c>
      <c r="B12" s="33" t="s">
        <v>366</v>
      </c>
      <c r="C12" s="25" t="s">
        <v>20</v>
      </c>
      <c r="D12" s="25" t="s">
        <v>20</v>
      </c>
      <c r="E12" s="25" t="s">
        <v>20</v>
      </c>
      <c r="F12" s="35">
        <f>(F9*10^9)*(F5*F3*6+6*12*F3)/(F11*10^9)</f>
        <v>502.15384615384613</v>
      </c>
      <c r="G12" s="35">
        <f t="shared" ref="G12:Q12" si="9">(G9*10^9)*(G5*G3*6+6*12*G3)/(G11*10^9)</f>
        <v>1004.3076923076923</v>
      </c>
      <c r="H12" s="35">
        <f t="shared" si="9"/>
        <v>1506.4615384615386</v>
      </c>
      <c r="I12" s="35">
        <f t="shared" si="9"/>
        <v>2008.6153846153845</v>
      </c>
      <c r="J12" s="35">
        <f t="shared" si="9"/>
        <v>1406.0307692307692</v>
      </c>
      <c r="K12" s="35">
        <f t="shared" si="9"/>
        <v>2109.0461538461536</v>
      </c>
      <c r="L12" s="35">
        <f t="shared" si="9"/>
        <v>2812.0615384615385</v>
      </c>
      <c r="M12" s="35">
        <f t="shared" si="9"/>
        <v>4218.0923076923073</v>
      </c>
      <c r="N12" s="35">
        <f t="shared" si="9"/>
        <v>652.79999999999995</v>
      </c>
      <c r="O12" s="35">
        <f t="shared" si="9"/>
        <v>1305.5999999999999</v>
      </c>
      <c r="P12" s="35">
        <f t="shared" si="9"/>
        <v>1958.4</v>
      </c>
      <c r="Q12" s="35">
        <f t="shared" si="9"/>
        <v>2611.1999999999998</v>
      </c>
    </row>
    <row r="13" spans="1:17" x14ac:dyDescent="0.25">
      <c r="A13" s="55" t="s">
        <v>495</v>
      </c>
      <c r="B13" s="33" t="s">
        <v>341</v>
      </c>
      <c r="C13" s="122" t="s">
        <v>20</v>
      </c>
      <c r="D13" s="122" t="s">
        <v>20</v>
      </c>
      <c r="E13" s="25" t="s">
        <v>20</v>
      </c>
      <c r="F13" s="35">
        <v>10</v>
      </c>
      <c r="G13" s="35">
        <v>10</v>
      </c>
      <c r="H13" s="35">
        <v>10</v>
      </c>
      <c r="I13" s="35">
        <v>10</v>
      </c>
      <c r="J13" s="35">
        <v>10</v>
      </c>
      <c r="K13" s="35">
        <v>10</v>
      </c>
      <c r="L13" s="35">
        <v>10</v>
      </c>
      <c r="M13" s="35">
        <v>10</v>
      </c>
      <c r="N13" s="35">
        <v>10</v>
      </c>
      <c r="O13" s="35">
        <v>10</v>
      </c>
      <c r="P13" s="35">
        <v>10</v>
      </c>
      <c r="Q13" s="35">
        <v>10</v>
      </c>
    </row>
    <row r="14" spans="1:17" x14ac:dyDescent="0.25">
      <c r="A14" s="55" t="s">
        <v>496</v>
      </c>
      <c r="B14" s="33" t="s">
        <v>340</v>
      </c>
      <c r="C14" s="147">
        <f>1.23*C2/8</f>
        <v>19.68</v>
      </c>
      <c r="D14" s="147">
        <f t="shared" ref="D14:E14" si="10">1.23*D2/8</f>
        <v>39.36</v>
      </c>
      <c r="E14" s="147">
        <f t="shared" si="10"/>
        <v>59.04</v>
      </c>
      <c r="F14" s="25" t="s">
        <v>20</v>
      </c>
      <c r="G14" s="25" t="s">
        <v>20</v>
      </c>
      <c r="H14" s="25" t="s">
        <v>20</v>
      </c>
      <c r="I14" s="25" t="s">
        <v>20</v>
      </c>
      <c r="J14" s="25" t="s">
        <v>20</v>
      </c>
      <c r="K14" s="25" t="s">
        <v>20</v>
      </c>
      <c r="L14" s="105" t="s">
        <v>20</v>
      </c>
      <c r="M14" s="105" t="s">
        <v>20</v>
      </c>
      <c r="N14" s="31" t="s">
        <v>20</v>
      </c>
      <c r="O14" s="31" t="s">
        <v>20</v>
      </c>
      <c r="P14" s="31" t="s">
        <v>20</v>
      </c>
      <c r="Q14" s="31" t="s">
        <v>20</v>
      </c>
    </row>
    <row r="15" spans="1:17" x14ac:dyDescent="0.25">
      <c r="A15" s="55" t="s">
        <v>410</v>
      </c>
      <c r="B15" s="33" t="s">
        <v>366</v>
      </c>
      <c r="C15" s="25" t="s">
        <v>20</v>
      </c>
      <c r="D15" s="25" t="s">
        <v>20</v>
      </c>
      <c r="E15" s="25" t="s">
        <v>20</v>
      </c>
      <c r="F15" s="35">
        <f>F13*F7*F5*F8</f>
        <v>735.84046634779429</v>
      </c>
      <c r="G15" s="35">
        <f t="shared" ref="G15:Q15" si="11">G13*G7*G5*G8</f>
        <v>654.69379968112764</v>
      </c>
      <c r="H15" s="35">
        <f t="shared" si="11"/>
        <v>610.04046634779434</v>
      </c>
      <c r="I15" s="35">
        <f t="shared" si="11"/>
        <v>579.44046634779443</v>
      </c>
      <c r="J15" s="35">
        <f t="shared" si="11"/>
        <v>136</v>
      </c>
      <c r="K15" s="35">
        <f t="shared" si="11"/>
        <v>136</v>
      </c>
      <c r="L15" s="35">
        <f t="shared" si="11"/>
        <v>136</v>
      </c>
      <c r="M15" s="35">
        <f t="shared" si="11"/>
        <v>136</v>
      </c>
      <c r="N15" s="35">
        <f t="shared" si="11"/>
        <v>92.564999999999984</v>
      </c>
      <c r="O15" s="35">
        <f t="shared" si="11"/>
        <v>84.064999999999984</v>
      </c>
      <c r="P15" s="35">
        <f t="shared" si="11"/>
        <v>79.05</v>
      </c>
      <c r="Q15" s="35">
        <f t="shared" si="11"/>
        <v>75.508333333333312</v>
      </c>
    </row>
    <row r="16" spans="1:17" x14ac:dyDescent="0.25">
      <c r="A16" s="58" t="s">
        <v>497</v>
      </c>
      <c r="B16" s="33" t="s">
        <v>339</v>
      </c>
      <c r="C16" s="34">
        <v>0.05</v>
      </c>
      <c r="D16" s="34">
        <v>0.05</v>
      </c>
      <c r="E16" s="34">
        <v>0.05</v>
      </c>
      <c r="F16" s="34" t="s">
        <v>20</v>
      </c>
      <c r="G16" s="34" t="s">
        <v>20</v>
      </c>
      <c r="H16" s="34" t="s">
        <v>20</v>
      </c>
      <c r="I16" s="34" t="s">
        <v>20</v>
      </c>
      <c r="J16" s="34" t="s">
        <v>20</v>
      </c>
      <c r="K16" s="34" t="s">
        <v>20</v>
      </c>
      <c r="L16" s="106" t="s">
        <v>20</v>
      </c>
      <c r="M16" s="106" t="s">
        <v>20</v>
      </c>
      <c r="N16" s="31" t="s">
        <v>20</v>
      </c>
      <c r="O16" s="31" t="s">
        <v>20</v>
      </c>
      <c r="P16" s="31" t="s">
        <v>20</v>
      </c>
      <c r="Q16" s="31" t="s">
        <v>20</v>
      </c>
    </row>
    <row r="17" spans="1:17" x14ac:dyDescent="0.25">
      <c r="A17" s="57" t="s">
        <v>498</v>
      </c>
      <c r="B17" s="14" t="s">
        <v>337</v>
      </c>
      <c r="C17" s="25" t="s">
        <v>20</v>
      </c>
      <c r="D17" s="25" t="s">
        <v>20</v>
      </c>
      <c r="E17" s="25" t="s">
        <v>20</v>
      </c>
      <c r="F17" s="25">
        <f>F18*F7*2^F8</f>
        <v>5.7848125886713442</v>
      </c>
      <c r="G17" s="25">
        <f>G18*G7*2^G8</f>
        <v>3.8253812912823379</v>
      </c>
      <c r="H17" s="25">
        <f>H18*H7*2^H8</f>
        <v>3.0467480906037121</v>
      </c>
      <c r="I17" s="25">
        <f>I18*I7*2^I8</f>
        <v>2.6067825108285025</v>
      </c>
      <c r="J17" s="25">
        <f t="shared" ref="J17:Q17" si="12">F18*J7*2^J8</f>
        <v>2.1760000000000002</v>
      </c>
      <c r="K17" s="25">
        <f t="shared" si="12"/>
        <v>2.1760000000000002</v>
      </c>
      <c r="L17" s="105">
        <f t="shared" si="12"/>
        <v>2.1760000000000002</v>
      </c>
      <c r="M17" s="105">
        <f t="shared" si="12"/>
        <v>2.1760000000000002</v>
      </c>
      <c r="N17" s="31">
        <f t="shared" si="12"/>
        <v>5.9244390350057055</v>
      </c>
      <c r="O17" s="31">
        <f t="shared" si="12"/>
        <v>4.1892110163788194</v>
      </c>
      <c r="P17" s="31">
        <f t="shared" si="12"/>
        <v>3.4145099940466577</v>
      </c>
      <c r="Q17" s="31">
        <f t="shared" si="12"/>
        <v>2.955383237768249</v>
      </c>
    </row>
    <row r="18" spans="1:17" x14ac:dyDescent="0.25">
      <c r="A18" s="57" t="s">
        <v>499</v>
      </c>
      <c r="B18" s="14" t="s">
        <v>341</v>
      </c>
      <c r="C18" s="34" t="s">
        <v>20</v>
      </c>
      <c r="D18" s="34" t="s">
        <v>20</v>
      </c>
      <c r="E18" s="34" t="s">
        <v>20</v>
      </c>
      <c r="F18" s="34">
        <v>0.08</v>
      </c>
      <c r="G18" s="34">
        <v>0.08</v>
      </c>
      <c r="H18" s="34">
        <v>0.08</v>
      </c>
      <c r="I18" s="34">
        <v>0.08</v>
      </c>
      <c r="J18" s="34">
        <v>0.08</v>
      </c>
      <c r="K18" s="34">
        <v>0.08</v>
      </c>
      <c r="L18" s="106">
        <v>0.08</v>
      </c>
      <c r="M18" s="106">
        <v>0.08</v>
      </c>
      <c r="N18" s="31">
        <v>0.08</v>
      </c>
      <c r="O18" s="31">
        <v>0.08</v>
      </c>
      <c r="P18" s="31">
        <v>0.08</v>
      </c>
      <c r="Q18" s="31">
        <v>0.08</v>
      </c>
    </row>
    <row r="19" spans="1:17" x14ac:dyDescent="0.25">
      <c r="A19" s="58" t="s">
        <v>411</v>
      </c>
      <c r="B19" s="33" t="s">
        <v>366</v>
      </c>
      <c r="C19" s="31" t="s">
        <v>20</v>
      </c>
      <c r="D19" s="31" t="s">
        <v>20</v>
      </c>
      <c r="E19" s="31" t="s">
        <v>20</v>
      </c>
      <c r="F19" s="31">
        <f t="shared" ref="F19:Q19" si="13">F17*F3</f>
        <v>370.22800567496603</v>
      </c>
      <c r="G19" s="31">
        <f t="shared" si="13"/>
        <v>489.64880528413926</v>
      </c>
      <c r="H19" s="31">
        <f t="shared" si="13"/>
        <v>584.97563339591272</v>
      </c>
      <c r="I19" s="31">
        <f t="shared" si="13"/>
        <v>667.33632277209665</v>
      </c>
      <c r="J19" s="31">
        <f t="shared" si="13"/>
        <v>557.05600000000004</v>
      </c>
      <c r="K19" s="31">
        <f t="shared" si="13"/>
        <v>835.58400000000006</v>
      </c>
      <c r="L19" s="31">
        <f t="shared" si="13"/>
        <v>1114.1120000000001</v>
      </c>
      <c r="M19" s="31">
        <f t="shared" si="13"/>
        <v>1671.1680000000001</v>
      </c>
      <c r="N19" s="31">
        <f t="shared" si="13"/>
        <v>758.3281964807303</v>
      </c>
      <c r="O19" s="31">
        <f t="shared" si="13"/>
        <v>1072.4380201929778</v>
      </c>
      <c r="P19" s="31">
        <f t="shared" si="13"/>
        <v>1311.1718377139166</v>
      </c>
      <c r="Q19" s="31">
        <f t="shared" si="13"/>
        <v>1513.1562177373435</v>
      </c>
    </row>
    <row r="20" spans="1:17" x14ac:dyDescent="0.25">
      <c r="A20" s="58" t="s">
        <v>500</v>
      </c>
      <c r="B20" s="33" t="s">
        <v>340</v>
      </c>
      <c r="C20" s="31">
        <f>C16*C2</f>
        <v>6.4</v>
      </c>
      <c r="D20" s="31">
        <f>D16*D2</f>
        <v>12.8</v>
      </c>
      <c r="E20" s="31">
        <f>E16*E2</f>
        <v>19.200000000000003</v>
      </c>
      <c r="F20" s="31" t="s">
        <v>20</v>
      </c>
      <c r="G20" s="31" t="s">
        <v>20</v>
      </c>
      <c r="H20" s="31" t="s">
        <v>20</v>
      </c>
      <c r="I20" s="31" t="s">
        <v>20</v>
      </c>
      <c r="J20" s="31" t="s">
        <v>20</v>
      </c>
      <c r="K20" s="31" t="s">
        <v>20</v>
      </c>
      <c r="L20" s="31" t="s">
        <v>20</v>
      </c>
      <c r="M20" s="31" t="s">
        <v>20</v>
      </c>
      <c r="N20" s="31" t="s">
        <v>20</v>
      </c>
      <c r="O20" s="31" t="s">
        <v>20</v>
      </c>
      <c r="P20" s="31" t="s">
        <v>20</v>
      </c>
      <c r="Q20" s="31" t="s">
        <v>20</v>
      </c>
    </row>
    <row r="21" spans="1:17" x14ac:dyDescent="0.25">
      <c r="A21" s="60" t="s">
        <v>501</v>
      </c>
      <c r="B21" s="14" t="s">
        <v>337</v>
      </c>
      <c r="C21" s="34" t="s">
        <v>20</v>
      </c>
      <c r="D21" s="34" t="s">
        <v>20</v>
      </c>
      <c r="E21" s="34" t="s">
        <v>20</v>
      </c>
      <c r="F21" s="34">
        <v>10</v>
      </c>
      <c r="G21" s="34">
        <v>10</v>
      </c>
      <c r="H21" s="34">
        <v>10</v>
      </c>
      <c r="I21" s="34">
        <v>10</v>
      </c>
      <c r="J21" s="34">
        <v>10</v>
      </c>
      <c r="K21" s="34">
        <v>10</v>
      </c>
      <c r="L21" s="106">
        <v>10</v>
      </c>
      <c r="M21" s="106">
        <v>10</v>
      </c>
      <c r="N21" s="31">
        <v>10</v>
      </c>
      <c r="O21" s="31">
        <v>10</v>
      </c>
      <c r="P21" s="31">
        <v>10</v>
      </c>
      <c r="Q21" s="31">
        <v>10</v>
      </c>
    </row>
    <row r="22" spans="1:17" x14ac:dyDescent="0.25">
      <c r="A22" s="60" t="s">
        <v>502</v>
      </c>
      <c r="B22" s="33" t="s">
        <v>339</v>
      </c>
      <c r="C22" s="34">
        <v>0</v>
      </c>
      <c r="D22" s="34">
        <v>0</v>
      </c>
      <c r="E22" s="34">
        <v>0</v>
      </c>
      <c r="F22" s="34" t="s">
        <v>20</v>
      </c>
      <c r="G22" s="34" t="s">
        <v>20</v>
      </c>
      <c r="H22" s="34" t="s">
        <v>20</v>
      </c>
      <c r="I22" s="34" t="s">
        <v>20</v>
      </c>
      <c r="J22" s="34" t="s">
        <v>20</v>
      </c>
      <c r="K22" s="34" t="s">
        <v>20</v>
      </c>
      <c r="L22" s="106" t="s">
        <v>20</v>
      </c>
      <c r="M22" s="106" t="s">
        <v>20</v>
      </c>
      <c r="N22" s="31" t="s">
        <v>20</v>
      </c>
      <c r="O22" s="31" t="s">
        <v>20</v>
      </c>
      <c r="P22" s="31" t="s">
        <v>20</v>
      </c>
      <c r="Q22" s="31" t="s">
        <v>20</v>
      </c>
    </row>
    <row r="23" spans="1:17" x14ac:dyDescent="0.25">
      <c r="A23" s="61" t="s">
        <v>412</v>
      </c>
      <c r="B23" s="33" t="s">
        <v>366</v>
      </c>
      <c r="C23" s="35" t="s">
        <v>20</v>
      </c>
      <c r="D23" s="35" t="s">
        <v>20</v>
      </c>
      <c r="E23" s="35" t="s">
        <v>20</v>
      </c>
      <c r="F23" s="35">
        <f t="shared" ref="F23:Q23" si="14">F21*F3</f>
        <v>640</v>
      </c>
      <c r="G23" s="35">
        <f t="shared" si="14"/>
        <v>1280</v>
      </c>
      <c r="H23" s="35">
        <f t="shared" si="14"/>
        <v>1920</v>
      </c>
      <c r="I23" s="35">
        <f t="shared" si="14"/>
        <v>2560</v>
      </c>
      <c r="J23" s="35">
        <f t="shared" si="14"/>
        <v>2560</v>
      </c>
      <c r="K23" s="35">
        <f t="shared" si="14"/>
        <v>3840</v>
      </c>
      <c r="L23" s="106">
        <f t="shared" si="14"/>
        <v>5120</v>
      </c>
      <c r="M23" s="106">
        <f t="shared" si="14"/>
        <v>7680</v>
      </c>
      <c r="N23" s="31">
        <f t="shared" si="14"/>
        <v>1280</v>
      </c>
      <c r="O23" s="31">
        <f t="shared" si="14"/>
        <v>2560</v>
      </c>
      <c r="P23" s="31">
        <f t="shared" si="14"/>
        <v>3840</v>
      </c>
      <c r="Q23" s="31">
        <f t="shared" si="14"/>
        <v>5120</v>
      </c>
    </row>
    <row r="24" spans="1:17" x14ac:dyDescent="0.25">
      <c r="A24" s="61" t="s">
        <v>503</v>
      </c>
      <c r="B24" s="33" t="s">
        <v>340</v>
      </c>
      <c r="C24" s="31">
        <f>C22*C2</f>
        <v>0</v>
      </c>
      <c r="D24" s="31">
        <f>D22*D2</f>
        <v>0</v>
      </c>
      <c r="E24" s="31">
        <f>E22*E2</f>
        <v>0</v>
      </c>
      <c r="F24" s="31" t="s">
        <v>20</v>
      </c>
      <c r="G24" s="31" t="s">
        <v>20</v>
      </c>
      <c r="H24" s="31" t="s">
        <v>20</v>
      </c>
      <c r="I24" s="31" t="s">
        <v>20</v>
      </c>
      <c r="J24" s="31" t="s">
        <v>20</v>
      </c>
      <c r="K24" s="31" t="s">
        <v>20</v>
      </c>
      <c r="L24" s="31" t="s">
        <v>20</v>
      </c>
      <c r="M24" s="31" t="s">
        <v>20</v>
      </c>
      <c r="N24" s="31" t="s">
        <v>20</v>
      </c>
      <c r="O24" s="31" t="s">
        <v>20</v>
      </c>
      <c r="P24" s="31" t="s">
        <v>20</v>
      </c>
      <c r="Q24" s="31" t="s">
        <v>20</v>
      </c>
    </row>
    <row r="25" spans="1:17" x14ac:dyDescent="0.25">
      <c r="A25" s="66" t="s">
        <v>504</v>
      </c>
      <c r="B25" s="14" t="s">
        <v>337</v>
      </c>
      <c r="C25" s="25" t="s">
        <v>20</v>
      </c>
      <c r="D25" s="25" t="s">
        <v>20</v>
      </c>
      <c r="E25" s="25" t="s">
        <v>20</v>
      </c>
      <c r="F25" s="25">
        <v>60</v>
      </c>
      <c r="G25" s="25">
        <v>60</v>
      </c>
      <c r="H25" s="25">
        <v>60</v>
      </c>
      <c r="I25" s="25">
        <v>60</v>
      </c>
      <c r="J25" s="25">
        <v>60</v>
      </c>
      <c r="K25" s="25">
        <v>60</v>
      </c>
      <c r="L25" s="25">
        <v>60</v>
      </c>
      <c r="M25" s="25">
        <v>60</v>
      </c>
      <c r="N25" s="25">
        <v>60</v>
      </c>
      <c r="O25" s="25">
        <v>60</v>
      </c>
      <c r="P25" s="25">
        <v>60</v>
      </c>
      <c r="Q25" s="25">
        <v>60</v>
      </c>
    </row>
    <row r="26" spans="1:17" x14ac:dyDescent="0.25">
      <c r="A26" s="66" t="s">
        <v>505</v>
      </c>
      <c r="B26" s="33" t="s">
        <v>339</v>
      </c>
      <c r="C26" s="145">
        <v>0.18</v>
      </c>
      <c r="D26" s="145">
        <v>0.18</v>
      </c>
      <c r="E26" s="145">
        <v>0.18</v>
      </c>
      <c r="F26" s="25" t="s">
        <v>20</v>
      </c>
      <c r="G26" s="25" t="s">
        <v>20</v>
      </c>
      <c r="H26" s="25" t="s">
        <v>20</v>
      </c>
      <c r="I26" s="25" t="s">
        <v>20</v>
      </c>
      <c r="J26" s="2" t="s">
        <v>20</v>
      </c>
      <c r="K26" s="2" t="s">
        <v>20</v>
      </c>
      <c r="L26" s="105" t="s">
        <v>20</v>
      </c>
      <c r="M26" s="105" t="s">
        <v>20</v>
      </c>
      <c r="N26" s="31" t="s">
        <v>20</v>
      </c>
      <c r="O26" s="31" t="s">
        <v>20</v>
      </c>
      <c r="P26" s="31" t="s">
        <v>20</v>
      </c>
      <c r="Q26" s="31" t="s">
        <v>20</v>
      </c>
    </row>
    <row r="27" spans="1:17" x14ac:dyDescent="0.25">
      <c r="A27" s="66" t="s">
        <v>420</v>
      </c>
      <c r="B27" s="33" t="s">
        <v>366</v>
      </c>
      <c r="C27" s="25" t="s">
        <v>20</v>
      </c>
      <c r="D27" s="25" t="s">
        <v>20</v>
      </c>
      <c r="E27" s="25" t="s">
        <v>20</v>
      </c>
      <c r="F27" s="25">
        <f t="shared" ref="F27:Q27" si="15">F25*F2</f>
        <v>3840</v>
      </c>
      <c r="G27" s="25">
        <f t="shared" si="15"/>
        <v>7680</v>
      </c>
      <c r="H27" s="25">
        <f t="shared" si="15"/>
        <v>11520</v>
      </c>
      <c r="I27" s="25">
        <f t="shared" si="15"/>
        <v>15360</v>
      </c>
      <c r="J27" s="25">
        <f t="shared" si="15"/>
        <v>15360</v>
      </c>
      <c r="K27" s="25">
        <f t="shared" si="15"/>
        <v>23040</v>
      </c>
      <c r="L27" s="105">
        <f t="shared" si="15"/>
        <v>30720</v>
      </c>
      <c r="M27" s="105">
        <f t="shared" si="15"/>
        <v>46080</v>
      </c>
      <c r="N27" s="31">
        <f t="shared" si="15"/>
        <v>7680</v>
      </c>
      <c r="O27" s="31">
        <f t="shared" si="15"/>
        <v>15360</v>
      </c>
      <c r="P27" s="31">
        <f t="shared" si="15"/>
        <v>23040</v>
      </c>
      <c r="Q27" s="31">
        <f t="shared" si="15"/>
        <v>30720</v>
      </c>
    </row>
    <row r="28" spans="1:17" x14ac:dyDescent="0.25">
      <c r="A28" s="66" t="s">
        <v>506</v>
      </c>
      <c r="B28" s="33" t="s">
        <v>340</v>
      </c>
      <c r="C28" s="25">
        <f>C26*C2</f>
        <v>23.04</v>
      </c>
      <c r="D28" s="25">
        <f>D26*D2</f>
        <v>46.08</v>
      </c>
      <c r="E28" s="25">
        <f>E26*E2</f>
        <v>69.12</v>
      </c>
      <c r="F28" s="25" t="s">
        <v>20</v>
      </c>
      <c r="G28" s="25" t="s">
        <v>20</v>
      </c>
      <c r="H28" s="25" t="s">
        <v>20</v>
      </c>
      <c r="I28" s="25" t="s">
        <v>20</v>
      </c>
      <c r="J28" s="2" t="s">
        <v>20</v>
      </c>
      <c r="K28" s="2" t="s">
        <v>20</v>
      </c>
      <c r="L28" s="105" t="s">
        <v>20</v>
      </c>
      <c r="M28" s="105" t="s">
        <v>20</v>
      </c>
      <c r="N28" s="31" t="s">
        <v>20</v>
      </c>
      <c r="O28" s="31" t="s">
        <v>20</v>
      </c>
      <c r="P28" s="31" t="s">
        <v>20</v>
      </c>
      <c r="Q28" s="31" t="s">
        <v>20</v>
      </c>
    </row>
    <row r="29" spans="1:17" x14ac:dyDescent="0.25">
      <c r="A29" s="66" t="s">
        <v>507</v>
      </c>
      <c r="B29" s="33" t="s">
        <v>339</v>
      </c>
      <c r="C29" s="43">
        <v>0.04</v>
      </c>
      <c r="D29" s="43">
        <v>0.04</v>
      </c>
      <c r="E29" s="43">
        <v>0.04</v>
      </c>
      <c r="F29" s="25" t="s">
        <v>20</v>
      </c>
      <c r="G29" s="25" t="s">
        <v>20</v>
      </c>
      <c r="H29" s="25" t="s">
        <v>20</v>
      </c>
      <c r="I29" s="25" t="s">
        <v>20</v>
      </c>
      <c r="J29" s="2" t="s">
        <v>20</v>
      </c>
      <c r="K29" s="2" t="s">
        <v>20</v>
      </c>
      <c r="L29" s="105" t="s">
        <v>20</v>
      </c>
      <c r="M29" s="105" t="s">
        <v>20</v>
      </c>
      <c r="N29" s="31" t="s">
        <v>20</v>
      </c>
      <c r="O29" s="31" t="s">
        <v>20</v>
      </c>
      <c r="P29" s="31" t="s">
        <v>20</v>
      </c>
      <c r="Q29" s="31" t="s">
        <v>20</v>
      </c>
    </row>
    <row r="30" spans="1:17" x14ac:dyDescent="0.25">
      <c r="A30" s="66" t="s">
        <v>315</v>
      </c>
      <c r="B30" s="14" t="s">
        <v>330</v>
      </c>
      <c r="C30" s="29">
        <f>(C2/8-1)*8</f>
        <v>120</v>
      </c>
      <c r="D30" s="29">
        <f>(D2/8-1)*8</f>
        <v>248</v>
      </c>
      <c r="E30" s="29">
        <f>(E2/8-1)*8</f>
        <v>376</v>
      </c>
      <c r="F30" s="37" t="s">
        <v>20</v>
      </c>
      <c r="G30" s="37" t="s">
        <v>20</v>
      </c>
      <c r="H30" s="37" t="s">
        <v>20</v>
      </c>
      <c r="I30" s="37" t="s">
        <v>20</v>
      </c>
      <c r="J30" s="37" t="s">
        <v>20</v>
      </c>
      <c r="K30" s="37" t="s">
        <v>20</v>
      </c>
      <c r="L30" s="37" t="s">
        <v>20</v>
      </c>
      <c r="M30" s="37" t="s">
        <v>20</v>
      </c>
      <c r="N30" s="31" t="s">
        <v>20</v>
      </c>
      <c r="O30" s="31" t="s">
        <v>20</v>
      </c>
      <c r="P30" s="31" t="s">
        <v>20</v>
      </c>
      <c r="Q30" s="31" t="s">
        <v>20</v>
      </c>
    </row>
    <row r="31" spans="1:17" x14ac:dyDescent="0.25">
      <c r="A31" s="66" t="s">
        <v>508</v>
      </c>
      <c r="B31" s="33" t="s">
        <v>339</v>
      </c>
      <c r="C31" s="25">
        <f>C30*C29</f>
        <v>4.8</v>
      </c>
      <c r="D31" s="25">
        <f>D30*D29</f>
        <v>9.92</v>
      </c>
      <c r="E31" s="25">
        <f>E30*E29</f>
        <v>15.040000000000001</v>
      </c>
      <c r="F31" s="37" t="s">
        <v>20</v>
      </c>
      <c r="G31" s="37" t="s">
        <v>20</v>
      </c>
      <c r="H31" s="37" t="s">
        <v>20</v>
      </c>
      <c r="I31" s="37" t="s">
        <v>20</v>
      </c>
      <c r="J31" s="37" t="s">
        <v>20</v>
      </c>
      <c r="K31" s="37" t="s">
        <v>20</v>
      </c>
      <c r="L31" s="37" t="s">
        <v>20</v>
      </c>
      <c r="M31" s="37" t="s">
        <v>20</v>
      </c>
      <c r="N31" s="31" t="s">
        <v>20</v>
      </c>
      <c r="O31" s="31" t="s">
        <v>20</v>
      </c>
      <c r="P31" s="31" t="s">
        <v>20</v>
      </c>
      <c r="Q31" s="31" t="s">
        <v>20</v>
      </c>
    </row>
    <row r="32" spans="1:17" x14ac:dyDescent="0.25">
      <c r="A32" s="53" t="s">
        <v>469</v>
      </c>
      <c r="B32" s="33" t="s">
        <v>366</v>
      </c>
      <c r="C32" s="25" t="s">
        <v>20</v>
      </c>
      <c r="D32" s="25" t="s">
        <v>20</v>
      </c>
      <c r="E32" s="25" t="s">
        <v>20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105">
        <v>0</v>
      </c>
      <c r="M32" s="105">
        <v>0</v>
      </c>
      <c r="N32" s="31">
        <v>0</v>
      </c>
      <c r="O32" s="31">
        <v>0</v>
      </c>
      <c r="P32" s="31">
        <v>0</v>
      </c>
      <c r="Q32" s="31">
        <v>0</v>
      </c>
    </row>
    <row r="33" spans="1:17" x14ac:dyDescent="0.25">
      <c r="A33" s="53" t="s">
        <v>509</v>
      </c>
      <c r="B33" s="33" t="s">
        <v>340</v>
      </c>
      <c r="C33" s="25">
        <v>0</v>
      </c>
      <c r="D33" s="25">
        <v>0</v>
      </c>
      <c r="E33" s="25">
        <v>0</v>
      </c>
      <c r="F33" s="25" t="s">
        <v>20</v>
      </c>
      <c r="G33" s="25" t="s">
        <v>20</v>
      </c>
      <c r="H33" s="25" t="s">
        <v>20</v>
      </c>
      <c r="I33" s="25" t="s">
        <v>20</v>
      </c>
      <c r="J33" s="25" t="s">
        <v>20</v>
      </c>
      <c r="K33" s="25" t="s">
        <v>20</v>
      </c>
      <c r="L33" s="105" t="s">
        <v>20</v>
      </c>
      <c r="M33" s="105" t="s">
        <v>20</v>
      </c>
      <c r="N33" s="31" t="s">
        <v>20</v>
      </c>
      <c r="O33" s="31" t="s">
        <v>20</v>
      </c>
      <c r="P33" s="31" t="s">
        <v>20</v>
      </c>
      <c r="Q33" s="31" t="s">
        <v>20</v>
      </c>
    </row>
    <row r="34" spans="1:17" x14ac:dyDescent="0.25">
      <c r="A34" s="63" t="s">
        <v>510</v>
      </c>
      <c r="B34" s="33" t="s">
        <v>340</v>
      </c>
      <c r="C34" s="25">
        <f>C31</f>
        <v>4.8</v>
      </c>
      <c r="D34" s="25">
        <f t="shared" ref="D34:E34" si="16">D31</f>
        <v>9.92</v>
      </c>
      <c r="E34" s="25">
        <f t="shared" si="16"/>
        <v>15.040000000000001</v>
      </c>
      <c r="F34" s="25" t="s">
        <v>20</v>
      </c>
      <c r="G34" s="25" t="s">
        <v>20</v>
      </c>
      <c r="H34" s="25" t="s">
        <v>20</v>
      </c>
      <c r="I34" s="25" t="s">
        <v>20</v>
      </c>
      <c r="J34" s="25" t="s">
        <v>20</v>
      </c>
      <c r="K34" s="25" t="s">
        <v>20</v>
      </c>
      <c r="L34" s="105" t="s">
        <v>20</v>
      </c>
      <c r="M34" s="105" t="s">
        <v>20</v>
      </c>
      <c r="N34" s="31" t="s">
        <v>20</v>
      </c>
      <c r="O34" s="31" t="s">
        <v>20</v>
      </c>
      <c r="P34" s="31" t="s">
        <v>20</v>
      </c>
      <c r="Q34" s="31" t="s">
        <v>20</v>
      </c>
    </row>
    <row r="35" spans="1:17" x14ac:dyDescent="0.25">
      <c r="A35" s="64" t="s">
        <v>511</v>
      </c>
      <c r="B35" s="14" t="s">
        <v>337</v>
      </c>
      <c r="C35" s="34" t="s">
        <v>20</v>
      </c>
      <c r="D35" s="34" t="s">
        <v>20</v>
      </c>
      <c r="E35" s="34" t="s">
        <v>20</v>
      </c>
      <c r="F35" s="34">
        <v>40</v>
      </c>
      <c r="G35" s="34">
        <v>40</v>
      </c>
      <c r="H35" s="34">
        <v>40</v>
      </c>
      <c r="I35" s="34">
        <v>40</v>
      </c>
      <c r="J35" s="34">
        <v>40</v>
      </c>
      <c r="K35" s="34">
        <v>40</v>
      </c>
      <c r="L35" s="34">
        <v>40</v>
      </c>
      <c r="M35" s="34">
        <v>40</v>
      </c>
      <c r="N35" s="34">
        <v>40</v>
      </c>
      <c r="O35" s="34">
        <v>40</v>
      </c>
      <c r="P35" s="34">
        <v>40</v>
      </c>
      <c r="Q35" s="34">
        <v>40</v>
      </c>
    </row>
    <row r="36" spans="1:17" x14ac:dyDescent="0.25">
      <c r="A36" s="64" t="s">
        <v>520</v>
      </c>
      <c r="B36" s="33" t="s">
        <v>339</v>
      </c>
      <c r="C36" s="34">
        <v>2.5000000000000001E-2</v>
      </c>
      <c r="D36" s="34">
        <v>2.5000000000000001E-2</v>
      </c>
      <c r="E36" s="34">
        <v>2.5000000000000001E-2</v>
      </c>
      <c r="F36" s="34" t="s">
        <v>20</v>
      </c>
      <c r="G36" s="34" t="s">
        <v>20</v>
      </c>
      <c r="H36" s="34" t="s">
        <v>20</v>
      </c>
      <c r="I36" s="34" t="s">
        <v>20</v>
      </c>
      <c r="J36" s="34" t="s">
        <v>20</v>
      </c>
      <c r="K36" s="34" t="s">
        <v>20</v>
      </c>
      <c r="L36" s="106" t="s">
        <v>20</v>
      </c>
      <c r="M36" s="106" t="s">
        <v>20</v>
      </c>
      <c r="N36" s="31" t="s">
        <v>20</v>
      </c>
      <c r="O36" s="31" t="s">
        <v>20</v>
      </c>
      <c r="P36" s="31" t="s">
        <v>20</v>
      </c>
      <c r="Q36" s="31" t="s">
        <v>20</v>
      </c>
    </row>
    <row r="37" spans="1:17" x14ac:dyDescent="0.25">
      <c r="A37" s="65" t="s">
        <v>414</v>
      </c>
      <c r="B37" s="33" t="s">
        <v>366</v>
      </c>
      <c r="C37" s="25" t="s">
        <v>20</v>
      </c>
      <c r="D37" s="25" t="s">
        <v>20</v>
      </c>
      <c r="E37" s="25" t="s">
        <v>20</v>
      </c>
      <c r="F37" s="25">
        <f t="shared" ref="F37:Q37" si="17">F35*F2</f>
        <v>2560</v>
      </c>
      <c r="G37" s="25">
        <f t="shared" si="17"/>
        <v>5120</v>
      </c>
      <c r="H37" s="25">
        <f t="shared" si="17"/>
        <v>7680</v>
      </c>
      <c r="I37" s="25">
        <f t="shared" si="17"/>
        <v>10240</v>
      </c>
      <c r="J37" s="25">
        <f t="shared" si="17"/>
        <v>10240</v>
      </c>
      <c r="K37" s="25">
        <f t="shared" si="17"/>
        <v>15360</v>
      </c>
      <c r="L37" s="25">
        <f t="shared" si="17"/>
        <v>20480</v>
      </c>
      <c r="M37" s="25">
        <f t="shared" si="17"/>
        <v>30720</v>
      </c>
      <c r="N37" s="25">
        <f t="shared" si="17"/>
        <v>5120</v>
      </c>
      <c r="O37" s="25">
        <f t="shared" si="17"/>
        <v>10240</v>
      </c>
      <c r="P37" s="25">
        <f t="shared" si="17"/>
        <v>15360</v>
      </c>
      <c r="Q37" s="25">
        <f t="shared" si="17"/>
        <v>20480</v>
      </c>
    </row>
    <row r="38" spans="1:17" x14ac:dyDescent="0.25">
      <c r="A38" s="65" t="s">
        <v>519</v>
      </c>
      <c r="B38" s="33" t="s">
        <v>340</v>
      </c>
      <c r="C38" s="25">
        <f>C36*C2</f>
        <v>3.2</v>
      </c>
      <c r="D38" s="25">
        <f>D36*D2</f>
        <v>6.4</v>
      </c>
      <c r="E38" s="25">
        <f>E36*E2</f>
        <v>9.6000000000000014</v>
      </c>
      <c r="F38" s="25" t="s">
        <v>20</v>
      </c>
      <c r="G38" s="25" t="s">
        <v>20</v>
      </c>
      <c r="H38" s="25" t="s">
        <v>20</v>
      </c>
      <c r="I38" s="25" t="s">
        <v>20</v>
      </c>
      <c r="J38" s="25" t="s">
        <v>20</v>
      </c>
      <c r="K38" s="25" t="s">
        <v>20</v>
      </c>
      <c r="L38" s="105" t="s">
        <v>20</v>
      </c>
      <c r="M38" s="105" t="s">
        <v>20</v>
      </c>
      <c r="N38" s="31" t="s">
        <v>20</v>
      </c>
      <c r="O38" s="31" t="s">
        <v>20</v>
      </c>
      <c r="P38" s="31" t="s">
        <v>20</v>
      </c>
      <c r="Q38" s="31" t="s">
        <v>20</v>
      </c>
    </row>
    <row r="39" spans="1:17" x14ac:dyDescent="0.25">
      <c r="A39" s="72" t="s">
        <v>521</v>
      </c>
      <c r="B39" s="33" t="s">
        <v>342</v>
      </c>
      <c r="C39" s="25" t="s">
        <v>20</v>
      </c>
      <c r="D39" s="25" t="s">
        <v>20</v>
      </c>
      <c r="E39" s="25" t="s">
        <v>20</v>
      </c>
      <c r="F39" s="43">
        <v>-4.47</v>
      </c>
      <c r="G39" s="111">
        <v>-8.0500000000000007</v>
      </c>
      <c r="H39" s="111">
        <v>-10.02</v>
      </c>
      <c r="I39" s="43">
        <v>-11.37</v>
      </c>
      <c r="J39" s="43">
        <v>-0.15</v>
      </c>
      <c r="K39" s="111">
        <v>-1.92</v>
      </c>
      <c r="L39" s="111">
        <v>-3.17</v>
      </c>
      <c r="M39" s="111">
        <v>-4.9400000000000004</v>
      </c>
      <c r="N39" s="44">
        <v>-1.07</v>
      </c>
      <c r="O39" s="44">
        <v>-4.07</v>
      </c>
      <c r="P39" s="44">
        <v>-5.84</v>
      </c>
      <c r="Q39" s="44">
        <v>-7.09</v>
      </c>
    </row>
    <row r="40" spans="1:17" x14ac:dyDescent="0.25">
      <c r="A40" s="72" t="s">
        <v>515</v>
      </c>
      <c r="B40" s="33" t="s">
        <v>342</v>
      </c>
      <c r="C40" s="25" t="s">
        <v>20</v>
      </c>
      <c r="D40" s="25" t="s">
        <v>20</v>
      </c>
      <c r="E40" s="25" t="s">
        <v>20</v>
      </c>
      <c r="F40" s="43">
        <f>46+F39</f>
        <v>41.53</v>
      </c>
      <c r="G40" s="43">
        <f t="shared" ref="G40:I40" si="18">46+G39</f>
        <v>37.950000000000003</v>
      </c>
      <c r="H40" s="43">
        <f t="shared" si="18"/>
        <v>35.980000000000004</v>
      </c>
      <c r="I40" s="43">
        <f t="shared" si="18"/>
        <v>34.630000000000003</v>
      </c>
      <c r="J40" s="43">
        <f>46+J39</f>
        <v>45.85</v>
      </c>
      <c r="K40" s="43">
        <f t="shared" ref="K40:M40" si="19">46+K39</f>
        <v>44.08</v>
      </c>
      <c r="L40" s="43">
        <f t="shared" si="19"/>
        <v>42.83</v>
      </c>
      <c r="M40" s="43">
        <f t="shared" si="19"/>
        <v>41.06</v>
      </c>
      <c r="N40" s="44">
        <f>46+N39</f>
        <v>44.93</v>
      </c>
      <c r="O40" s="44">
        <f t="shared" ref="O40:Q40" si="20">46+O39</f>
        <v>41.93</v>
      </c>
      <c r="P40" s="44">
        <f t="shared" si="20"/>
        <v>40.159999999999997</v>
      </c>
      <c r="Q40" s="44">
        <f t="shared" si="20"/>
        <v>38.909999999999997</v>
      </c>
    </row>
    <row r="41" spans="1:17" x14ac:dyDescent="0.25">
      <c r="A41" s="72" t="s">
        <v>516</v>
      </c>
      <c r="B41" s="14" t="s">
        <v>337</v>
      </c>
      <c r="C41" s="25" t="s">
        <v>20</v>
      </c>
      <c r="D41" s="25" t="s">
        <v>20</v>
      </c>
      <c r="E41" s="25" t="s">
        <v>20</v>
      </c>
      <c r="F41" s="25">
        <f>10*LOG10(F42)</f>
        <v>23.468200260161133</v>
      </c>
      <c r="G41" s="25">
        <f t="shared" ref="G41:Q41" si="21">10*LOG10(G42)</f>
        <v>16.877900303521322</v>
      </c>
      <c r="H41" s="25">
        <f t="shared" si="21"/>
        <v>13.14698771296451</v>
      </c>
      <c r="I41" s="25">
        <f t="shared" si="21"/>
        <v>10.547600346881509</v>
      </c>
      <c r="J41" s="25">
        <f t="shared" si="21"/>
        <v>21.767600346881508</v>
      </c>
      <c r="K41" s="25">
        <f t="shared" si="21"/>
        <v>18.236687756324688</v>
      </c>
      <c r="L41" s="25">
        <f t="shared" si="21"/>
        <v>15.737300390241693</v>
      </c>
      <c r="M41" s="25">
        <f t="shared" si="21"/>
        <v>12.206387799684883</v>
      </c>
      <c r="N41" s="25">
        <f t="shared" si="21"/>
        <v>23.857900303521326</v>
      </c>
      <c r="O41" s="25">
        <f t="shared" si="21"/>
        <v>17.847600346881503</v>
      </c>
      <c r="P41" s="25">
        <f t="shared" si="21"/>
        <v>14.316687756324697</v>
      </c>
      <c r="Q41" s="25">
        <f t="shared" si="21"/>
        <v>11.817300390241687</v>
      </c>
    </row>
    <row r="42" spans="1:17" x14ac:dyDescent="0.25">
      <c r="A42" s="72" t="s">
        <v>517</v>
      </c>
      <c r="B42" s="14" t="s">
        <v>337</v>
      </c>
      <c r="C42" s="25" t="s">
        <v>20</v>
      </c>
      <c r="D42" s="25" t="s">
        <v>20</v>
      </c>
      <c r="E42" s="25" t="s">
        <v>20</v>
      </c>
      <c r="F42" s="25">
        <f t="shared" ref="F42:Q42" si="22">10^(F40/10)/F2</f>
        <v>222.23887298794094</v>
      </c>
      <c r="G42" s="25">
        <f t="shared" si="22"/>
        <v>48.729284022064057</v>
      </c>
      <c r="H42" s="25">
        <f t="shared" si="22"/>
        <v>20.63948095080417</v>
      </c>
      <c r="I42" s="25">
        <f t="shared" si="22"/>
        <v>11.343838494001771</v>
      </c>
      <c r="J42" s="25">
        <f t="shared" si="22"/>
        <v>150.23116486146634</v>
      </c>
      <c r="K42" s="25">
        <f t="shared" si="22"/>
        <v>66.629840804834473</v>
      </c>
      <c r="L42" s="105">
        <f t="shared" si="22"/>
        <v>37.473998841216599</v>
      </c>
      <c r="M42" s="105">
        <f t="shared" si="22"/>
        <v>16.620296989731049</v>
      </c>
      <c r="N42" s="31">
        <f t="shared" si="22"/>
        <v>243.10283883640807</v>
      </c>
      <c r="O42" s="31">
        <f t="shared" si="22"/>
        <v>60.92001964167784</v>
      </c>
      <c r="P42" s="31">
        <f t="shared" si="22"/>
        <v>27.018969161927448</v>
      </c>
      <c r="Q42" s="31">
        <f t="shared" si="22"/>
        <v>15.196026387496158</v>
      </c>
    </row>
    <row r="43" spans="1:17" x14ac:dyDescent="0.25">
      <c r="A43" s="72" t="s">
        <v>320</v>
      </c>
      <c r="B43" s="14" t="s">
        <v>341</v>
      </c>
      <c r="C43" s="25" t="s">
        <v>20</v>
      </c>
      <c r="D43" s="25" t="s">
        <v>20</v>
      </c>
      <c r="E43" s="25" t="s">
        <v>20</v>
      </c>
      <c r="F43" s="127">
        <v>0.185</v>
      </c>
      <c r="G43" s="127">
        <v>0.185</v>
      </c>
      <c r="H43" s="127">
        <v>0.185</v>
      </c>
      <c r="I43" s="127">
        <v>0.185</v>
      </c>
      <c r="J43" s="127">
        <v>0.185</v>
      </c>
      <c r="K43" s="127">
        <v>0.185</v>
      </c>
      <c r="L43" s="127">
        <v>0.185</v>
      </c>
      <c r="M43" s="127">
        <v>0.185</v>
      </c>
      <c r="N43" s="127">
        <v>0.185</v>
      </c>
      <c r="O43" s="127">
        <v>0.185</v>
      </c>
      <c r="P43" s="127">
        <v>0.185</v>
      </c>
      <c r="Q43" s="127">
        <v>0.185</v>
      </c>
    </row>
    <row r="44" spans="1:17" x14ac:dyDescent="0.25">
      <c r="A44" s="72" t="s">
        <v>518</v>
      </c>
      <c r="B44" s="14" t="s">
        <v>337</v>
      </c>
      <c r="C44" s="25" t="s">
        <v>20</v>
      </c>
      <c r="D44" s="25" t="s">
        <v>20</v>
      </c>
      <c r="E44" s="25" t="s">
        <v>20</v>
      </c>
      <c r="F44" s="25">
        <f>F42/F43</f>
        <v>1201.2912053402213</v>
      </c>
      <c r="G44" s="25">
        <f>G42/G43</f>
        <v>263.4015352544003</v>
      </c>
      <c r="H44" s="25">
        <f>H42/H43</f>
        <v>111.56476189623876</v>
      </c>
      <c r="I44" s="25">
        <f>I42/I43</f>
        <v>61.318045913523086</v>
      </c>
      <c r="J44" s="25">
        <f t="shared" ref="J44" si="23">J42/J43</f>
        <v>812.06035060252077</v>
      </c>
      <c r="K44" s="25">
        <f t="shared" ref="K44:M44" si="24">K42/K43</f>
        <v>360.16130164775393</v>
      </c>
      <c r="L44" s="105">
        <f t="shared" si="24"/>
        <v>202.56215589846809</v>
      </c>
      <c r="M44" s="105">
        <f t="shared" si="24"/>
        <v>89.839443187735398</v>
      </c>
      <c r="N44" s="31">
        <f>N42/N43</f>
        <v>1314.0693991157193</v>
      </c>
      <c r="O44" s="31">
        <f>O42/O43</f>
        <v>329.29740346852884</v>
      </c>
      <c r="P44" s="31">
        <f>P42/P43</f>
        <v>146.04848195636458</v>
      </c>
      <c r="Q44" s="31">
        <f>Q42/Q43</f>
        <v>82.140683175654914</v>
      </c>
    </row>
    <row r="45" spans="1:17" x14ac:dyDescent="0.25">
      <c r="A45" s="72" t="s">
        <v>472</v>
      </c>
      <c r="B45" s="33" t="s">
        <v>366</v>
      </c>
      <c r="C45" s="25" t="s">
        <v>20</v>
      </c>
      <c r="D45" s="25" t="s">
        <v>20</v>
      </c>
      <c r="E45" s="25" t="s">
        <v>20</v>
      </c>
      <c r="F45" s="25">
        <f t="shared" ref="F45:Q45" si="25">F44*F2</f>
        <v>76882.637141774161</v>
      </c>
      <c r="G45" s="25">
        <f t="shared" si="25"/>
        <v>33715.396512563239</v>
      </c>
      <c r="H45" s="25">
        <f t="shared" si="25"/>
        <v>21420.434284077841</v>
      </c>
      <c r="I45" s="25">
        <f t="shared" si="25"/>
        <v>15697.41975386191</v>
      </c>
      <c r="J45" s="25">
        <f t="shared" si="25"/>
        <v>207887.44975424532</v>
      </c>
      <c r="K45" s="25">
        <f t="shared" si="25"/>
        <v>138301.93983273749</v>
      </c>
      <c r="L45" s="105">
        <f t="shared" si="25"/>
        <v>103711.82382001566</v>
      </c>
      <c r="M45" s="105">
        <f t="shared" si="25"/>
        <v>68996.692368180782</v>
      </c>
      <c r="N45" s="31">
        <f t="shared" si="25"/>
        <v>168200.88308681207</v>
      </c>
      <c r="O45" s="31">
        <f t="shared" si="25"/>
        <v>84300.135287943383</v>
      </c>
      <c r="P45" s="31">
        <f t="shared" si="25"/>
        <v>56082.617071244</v>
      </c>
      <c r="Q45" s="31">
        <f t="shared" si="25"/>
        <v>42056.029785935316</v>
      </c>
    </row>
    <row r="46" spans="1:17" x14ac:dyDescent="0.25">
      <c r="A46" s="80" t="s">
        <v>514</v>
      </c>
      <c r="B46" s="14" t="s">
        <v>338</v>
      </c>
      <c r="C46" s="31" t="s">
        <v>20</v>
      </c>
      <c r="D46" s="31" t="s">
        <v>20</v>
      </c>
      <c r="E46" s="31" t="s">
        <v>20</v>
      </c>
      <c r="F46" s="31">
        <f t="shared" ref="F46:Q46" si="26">F19+F23+F27+F12+F15+F37+F32</f>
        <v>8648.2223181766058</v>
      </c>
      <c r="G46" s="31">
        <f t="shared" si="26"/>
        <v>16228.65029727296</v>
      </c>
      <c r="H46" s="31">
        <f t="shared" si="26"/>
        <v>23821.477638205244</v>
      </c>
      <c r="I46" s="31">
        <f t="shared" si="26"/>
        <v>31415.392173735276</v>
      </c>
      <c r="J46" s="31">
        <f t="shared" si="26"/>
        <v>30259.086769230769</v>
      </c>
      <c r="K46" s="31">
        <f t="shared" si="26"/>
        <v>45320.630153846156</v>
      </c>
      <c r="L46" s="31">
        <f t="shared" si="26"/>
        <v>60382.173538461539</v>
      </c>
      <c r="M46" s="31">
        <f t="shared" si="26"/>
        <v>90505.260307692311</v>
      </c>
      <c r="N46" s="31">
        <f t="shared" si="26"/>
        <v>15583.69319648073</v>
      </c>
      <c r="O46" s="31">
        <f t="shared" si="26"/>
        <v>30622.103020192975</v>
      </c>
      <c r="P46" s="31">
        <f t="shared" si="26"/>
        <v>45588.621837713916</v>
      </c>
      <c r="Q46" s="31">
        <f t="shared" si="26"/>
        <v>60519.86455107067</v>
      </c>
    </row>
    <row r="47" spans="1:17" x14ac:dyDescent="0.25">
      <c r="A47" s="80" t="s">
        <v>345</v>
      </c>
      <c r="B47" s="14" t="s">
        <v>337</v>
      </c>
      <c r="C47" s="31" t="s">
        <v>20</v>
      </c>
      <c r="D47" s="31" t="s">
        <v>20</v>
      </c>
      <c r="E47" s="31" t="s">
        <v>20</v>
      </c>
      <c r="F47" s="31">
        <f t="shared" ref="F47:Q47" si="27">F46/F2</f>
        <v>135.12847372150947</v>
      </c>
      <c r="G47" s="31">
        <f t="shared" si="27"/>
        <v>126.786330447445</v>
      </c>
      <c r="H47" s="31">
        <f t="shared" si="27"/>
        <v>124.07019603231898</v>
      </c>
      <c r="I47" s="31">
        <f t="shared" si="27"/>
        <v>122.71637567865342</v>
      </c>
      <c r="J47" s="31">
        <f t="shared" si="27"/>
        <v>118.19955769230769</v>
      </c>
      <c r="K47" s="31">
        <f t="shared" si="27"/>
        <v>118.02247435897436</v>
      </c>
      <c r="L47" s="31">
        <f t="shared" si="27"/>
        <v>117.93393269230769</v>
      </c>
      <c r="M47" s="31">
        <f t="shared" si="27"/>
        <v>117.84539102564104</v>
      </c>
      <c r="N47" s="31">
        <f t="shared" si="27"/>
        <v>121.7476030975057</v>
      </c>
      <c r="O47" s="31">
        <f t="shared" si="27"/>
        <v>119.61758992262881</v>
      </c>
      <c r="P47" s="31">
        <f t="shared" si="27"/>
        <v>118.72036936904665</v>
      </c>
      <c r="Q47" s="31">
        <f t="shared" si="27"/>
        <v>118.2028604513099</v>
      </c>
    </row>
    <row r="48" spans="1:17" x14ac:dyDescent="0.25">
      <c r="A48" s="80" t="s">
        <v>513</v>
      </c>
      <c r="B48" s="14" t="s">
        <v>338</v>
      </c>
      <c r="C48" s="31" t="s">
        <v>20</v>
      </c>
      <c r="D48" s="31" t="s">
        <v>20</v>
      </c>
      <c r="E48" s="31" t="s">
        <v>20</v>
      </c>
      <c r="F48" s="31">
        <f>F45+F46</f>
        <v>85530.859459950763</v>
      </c>
      <c r="G48" s="31">
        <f>G45+G46</f>
        <v>49944.046809836196</v>
      </c>
      <c r="H48" s="31">
        <f>H45+H46</f>
        <v>45241.911922283085</v>
      </c>
      <c r="I48" s="31">
        <f>I45+I46</f>
        <v>47112.811927597184</v>
      </c>
      <c r="J48" s="31">
        <f t="shared" ref="J48" si="28">J45+J46</f>
        <v>238146.5365234761</v>
      </c>
      <c r="K48" s="31">
        <f t="shared" ref="K48:M48" si="29">K45+K46</f>
        <v>183622.56998658367</v>
      </c>
      <c r="L48" s="31">
        <f t="shared" si="29"/>
        <v>164093.99735847721</v>
      </c>
      <c r="M48" s="31">
        <f t="shared" si="29"/>
        <v>159501.95267587309</v>
      </c>
      <c r="N48" s="31">
        <f>N45+N46</f>
        <v>183784.57628329279</v>
      </c>
      <c r="O48" s="31">
        <f>O45+O46</f>
        <v>114922.23830813635</v>
      </c>
      <c r="P48" s="31">
        <f>P45+P46</f>
        <v>101671.23890895792</v>
      </c>
      <c r="Q48" s="31">
        <f>Q45+Q46</f>
        <v>102575.89433700599</v>
      </c>
    </row>
    <row r="49" spans="1:17" x14ac:dyDescent="0.25">
      <c r="A49" s="80" t="s">
        <v>512</v>
      </c>
      <c r="B49" s="33" t="s">
        <v>340</v>
      </c>
      <c r="C49" s="31">
        <f>C14+C28+C20+C24+C31</f>
        <v>53.919999999999995</v>
      </c>
      <c r="D49" s="31">
        <f>D14+D28+D20+D24+D31</f>
        <v>108.16</v>
      </c>
      <c r="E49" s="31">
        <f>E14+E28+E20+E24+E31</f>
        <v>162.4</v>
      </c>
      <c r="F49" s="31" t="s">
        <v>20</v>
      </c>
      <c r="G49" s="31" t="s">
        <v>20</v>
      </c>
      <c r="H49" s="31" t="s">
        <v>20</v>
      </c>
      <c r="I49" s="31" t="s">
        <v>20</v>
      </c>
      <c r="J49" s="31" t="s">
        <v>20</v>
      </c>
      <c r="K49" s="31" t="s">
        <v>20</v>
      </c>
      <c r="L49" s="31" t="s">
        <v>20</v>
      </c>
      <c r="M49" s="31" t="s">
        <v>20</v>
      </c>
      <c r="N49" s="31" t="s">
        <v>20</v>
      </c>
      <c r="O49" s="31" t="s">
        <v>20</v>
      </c>
      <c r="P49" s="31" t="s">
        <v>20</v>
      </c>
      <c r="Q49" s="31" t="s">
        <v>20</v>
      </c>
    </row>
    <row r="50" spans="1:17" x14ac:dyDescent="0.25">
      <c r="A50" s="14" t="s">
        <v>269</v>
      </c>
      <c r="B50" s="14"/>
      <c r="C50" s="114"/>
      <c r="D50" s="114"/>
    </row>
    <row r="51" spans="1:17" x14ac:dyDescent="0.25">
      <c r="A51" s="2">
        <v>1</v>
      </c>
      <c r="B51" s="2"/>
      <c r="C51" s="2"/>
      <c r="D51" s="2"/>
      <c r="E51" t="s">
        <v>325</v>
      </c>
    </row>
    <row r="52" spans="1:17" x14ac:dyDescent="0.25">
      <c r="A52" s="2">
        <v>2</v>
      </c>
      <c r="B52" s="2"/>
      <c r="C52" s="2"/>
      <c r="D52" s="2"/>
      <c r="E52" t="s">
        <v>523</v>
      </c>
    </row>
    <row r="53" spans="1:17" x14ac:dyDescent="0.25">
      <c r="A53" s="2"/>
      <c r="B53" s="2"/>
      <c r="C53" s="2"/>
      <c r="D53" s="2"/>
    </row>
    <row r="54" spans="1:17" x14ac:dyDescent="0.25">
      <c r="A54" s="38"/>
      <c r="B54" s="38"/>
      <c r="C54" s="38"/>
      <c r="D54" s="38"/>
    </row>
    <row r="55" spans="1:17" x14ac:dyDescent="0.25">
      <c r="A55" s="38"/>
    </row>
    <row r="56" spans="1:17" x14ac:dyDescent="0.25">
      <c r="A56" s="38"/>
    </row>
    <row r="57" spans="1:17" x14ac:dyDescent="0.25">
      <c r="A57" s="168" t="s">
        <v>460</v>
      </c>
      <c r="B57" s="168"/>
      <c r="C57" s="168"/>
      <c r="D57" s="168"/>
      <c r="E57" s="168"/>
      <c r="F57" s="168"/>
      <c r="G57" s="168"/>
      <c r="H57" s="169" t="s">
        <v>553</v>
      </c>
      <c r="I57" s="169"/>
      <c r="J57" s="169"/>
      <c r="K57" s="169"/>
      <c r="L57" s="169"/>
    </row>
    <row r="58" spans="1:17" x14ac:dyDescent="0.25">
      <c r="A58" s="137"/>
      <c r="B58" s="138">
        <f>F2</f>
        <v>64</v>
      </c>
      <c r="C58" s="138"/>
      <c r="D58" s="138"/>
      <c r="E58" s="138">
        <f>G2</f>
        <v>128</v>
      </c>
      <c r="F58" s="138">
        <f>H2</f>
        <v>192</v>
      </c>
      <c r="G58" s="138">
        <f>I2</f>
        <v>256</v>
      </c>
      <c r="H58" s="141"/>
      <c r="I58" s="142">
        <f>B58</f>
        <v>64</v>
      </c>
      <c r="J58" s="142">
        <f>E58</f>
        <v>128</v>
      </c>
      <c r="K58" s="142">
        <f>F58</f>
        <v>192</v>
      </c>
      <c r="L58" s="142">
        <f>G58</f>
        <v>256</v>
      </c>
    </row>
    <row r="59" spans="1:17" x14ac:dyDescent="0.25">
      <c r="A59" s="139" t="str">
        <f>$A$12</f>
        <v>BB Precoding</v>
      </c>
      <c r="B59" s="140">
        <f>F12</f>
        <v>502.15384615384613</v>
      </c>
      <c r="C59" s="140"/>
      <c r="D59" s="140"/>
      <c r="E59" s="140">
        <f>G12</f>
        <v>1004.3076923076923</v>
      </c>
      <c r="F59" s="140">
        <f>H12</f>
        <v>1506.4615384615386</v>
      </c>
      <c r="G59" s="140">
        <f>I12</f>
        <v>2008.6153846153845</v>
      </c>
      <c r="H59" s="143" t="str">
        <f>$A$12</f>
        <v>BB Precoding</v>
      </c>
      <c r="I59" s="144">
        <f t="shared" ref="I59:I66" si="30">B59/1000</f>
        <v>0.50215384615384617</v>
      </c>
      <c r="J59" s="144">
        <f t="shared" ref="J59:L66" si="31">E59/1000</f>
        <v>1.0043076923076923</v>
      </c>
      <c r="K59" s="144">
        <f t="shared" si="31"/>
        <v>1.5064615384615385</v>
      </c>
      <c r="L59" s="144">
        <f t="shared" si="31"/>
        <v>2.0086153846153847</v>
      </c>
    </row>
    <row r="60" spans="1:17" x14ac:dyDescent="0.25">
      <c r="A60" s="139" t="str">
        <f>$A$15</f>
        <v>SERDES</v>
      </c>
      <c r="B60" s="140">
        <f>F15</f>
        <v>735.84046634779429</v>
      </c>
      <c r="C60" s="140"/>
      <c r="D60" s="140"/>
      <c r="E60" s="140">
        <f>G15</f>
        <v>654.69379968112764</v>
      </c>
      <c r="F60" s="140">
        <f>H15</f>
        <v>610.04046634779434</v>
      </c>
      <c r="G60" s="140">
        <f>I15</f>
        <v>579.44046634779443</v>
      </c>
      <c r="H60" s="143" t="str">
        <f>$A$15</f>
        <v>SERDES</v>
      </c>
      <c r="I60" s="144">
        <f t="shared" si="30"/>
        <v>0.73584046634779432</v>
      </c>
      <c r="J60" s="144">
        <f t="shared" si="31"/>
        <v>0.65469379968112762</v>
      </c>
      <c r="K60" s="144">
        <f t="shared" si="31"/>
        <v>0.6100404663477943</v>
      </c>
      <c r="L60" s="144">
        <f t="shared" si="31"/>
        <v>0.57944046634779445</v>
      </c>
    </row>
    <row r="61" spans="1:17" x14ac:dyDescent="0.25">
      <c r="A61" s="139" t="str">
        <f>$A$19</f>
        <v>DAC</v>
      </c>
      <c r="B61" s="140">
        <f>F19</f>
        <v>370.22800567496603</v>
      </c>
      <c r="C61" s="140"/>
      <c r="D61" s="140"/>
      <c r="E61" s="140">
        <f>G19</f>
        <v>489.64880528413926</v>
      </c>
      <c r="F61" s="140">
        <f>H19</f>
        <v>584.97563339591272</v>
      </c>
      <c r="G61" s="140">
        <f>I19</f>
        <v>667.33632277209665</v>
      </c>
      <c r="H61" s="143" t="str">
        <f>$A$19</f>
        <v>DAC</v>
      </c>
      <c r="I61" s="144">
        <f t="shared" si="30"/>
        <v>0.37022800567496605</v>
      </c>
      <c r="J61" s="144">
        <f t="shared" si="31"/>
        <v>0.48964880528413923</v>
      </c>
      <c r="K61" s="144">
        <f t="shared" si="31"/>
        <v>0.58497563339591274</v>
      </c>
      <c r="L61" s="144">
        <f t="shared" si="31"/>
        <v>0.66733632277209665</v>
      </c>
    </row>
    <row r="62" spans="1:17" x14ac:dyDescent="0.25">
      <c r="A62" s="139" t="str">
        <f>$A$23</f>
        <v>Mixer</v>
      </c>
      <c r="B62" s="140">
        <f>F23</f>
        <v>640</v>
      </c>
      <c r="C62" s="140"/>
      <c r="D62" s="140"/>
      <c r="E62" s="140">
        <f>G23</f>
        <v>1280</v>
      </c>
      <c r="F62" s="140">
        <f>H23</f>
        <v>1920</v>
      </c>
      <c r="G62" s="140">
        <f>I23</f>
        <v>2560</v>
      </c>
      <c r="H62" s="143" t="str">
        <f>$A$23</f>
        <v>Mixer</v>
      </c>
      <c r="I62" s="144">
        <f t="shared" si="30"/>
        <v>0.64</v>
      </c>
      <c r="J62" s="144">
        <f t="shared" si="31"/>
        <v>1.28</v>
      </c>
      <c r="K62" s="144">
        <f t="shared" si="31"/>
        <v>1.92</v>
      </c>
      <c r="L62" s="144">
        <f t="shared" si="31"/>
        <v>2.56</v>
      </c>
    </row>
    <row r="63" spans="1:17" x14ac:dyDescent="0.25">
      <c r="A63" s="139" t="str">
        <f>$A$27</f>
        <v>VCO</v>
      </c>
      <c r="B63" s="140">
        <f>F27</f>
        <v>3840</v>
      </c>
      <c r="C63" s="140"/>
      <c r="D63" s="140"/>
      <c r="E63" s="140">
        <f>G27</f>
        <v>7680</v>
      </c>
      <c r="F63" s="140">
        <f>H27</f>
        <v>11520</v>
      </c>
      <c r="G63" s="140">
        <f>I27</f>
        <v>15360</v>
      </c>
      <c r="H63" s="143" t="str">
        <f>$A$27</f>
        <v>VCO</v>
      </c>
      <c r="I63" s="144">
        <f t="shared" si="30"/>
        <v>3.84</v>
      </c>
      <c r="J63" s="144">
        <f t="shared" si="31"/>
        <v>7.68</v>
      </c>
      <c r="K63" s="144">
        <f t="shared" si="31"/>
        <v>11.52</v>
      </c>
      <c r="L63" s="144">
        <f t="shared" si="31"/>
        <v>15.36</v>
      </c>
    </row>
    <row r="64" spans="1:17" x14ac:dyDescent="0.25">
      <c r="A64" s="139" t="str">
        <f>$A$32</f>
        <v>PS</v>
      </c>
      <c r="B64" s="140">
        <f>F32</f>
        <v>0</v>
      </c>
      <c r="C64" s="140"/>
      <c r="D64" s="140"/>
      <c r="E64" s="140">
        <f>G32</f>
        <v>0</v>
      </c>
      <c r="F64" s="140">
        <f>H32</f>
        <v>0</v>
      </c>
      <c r="G64" s="140">
        <f>I32</f>
        <v>0</v>
      </c>
      <c r="H64" s="143" t="str">
        <f>$A$32</f>
        <v>PS</v>
      </c>
      <c r="I64" s="144">
        <f t="shared" si="30"/>
        <v>0</v>
      </c>
      <c r="J64" s="144">
        <f t="shared" si="31"/>
        <v>0</v>
      </c>
      <c r="K64" s="144">
        <f t="shared" si="31"/>
        <v>0</v>
      </c>
      <c r="L64" s="144">
        <f t="shared" si="31"/>
        <v>0</v>
      </c>
    </row>
    <row r="65" spans="1:12" x14ac:dyDescent="0.25">
      <c r="A65" s="139" t="str">
        <f>$A$37</f>
        <v>RF Amp</v>
      </c>
      <c r="B65" s="140">
        <f>F37</f>
        <v>2560</v>
      </c>
      <c r="C65" s="140"/>
      <c r="D65" s="140"/>
      <c r="E65" s="140">
        <f>G37</f>
        <v>5120</v>
      </c>
      <c r="F65" s="140">
        <f>H37</f>
        <v>7680</v>
      </c>
      <c r="G65" s="140">
        <f>I37</f>
        <v>10240</v>
      </c>
      <c r="H65" s="143" t="str">
        <f>$A$37</f>
        <v>RF Amp</v>
      </c>
      <c r="I65" s="144">
        <f t="shared" si="30"/>
        <v>2.56</v>
      </c>
      <c r="J65" s="144">
        <f t="shared" si="31"/>
        <v>5.12</v>
      </c>
      <c r="K65" s="144">
        <f t="shared" si="31"/>
        <v>7.68</v>
      </c>
      <c r="L65" s="144">
        <f t="shared" si="31"/>
        <v>10.24</v>
      </c>
    </row>
    <row r="66" spans="1:12" x14ac:dyDescent="0.25">
      <c r="A66" s="139" t="str">
        <f>$A$45</f>
        <v xml:space="preserve">PA </v>
      </c>
      <c r="B66" s="140">
        <f>F45</f>
        <v>76882.637141774161</v>
      </c>
      <c r="C66" s="140"/>
      <c r="D66" s="140"/>
      <c r="E66" s="140">
        <f t="shared" ref="E66:G66" si="32">G45</f>
        <v>33715.396512563239</v>
      </c>
      <c r="F66" s="140">
        <f t="shared" si="32"/>
        <v>21420.434284077841</v>
      </c>
      <c r="G66" s="140">
        <f t="shared" si="32"/>
        <v>15697.41975386191</v>
      </c>
      <c r="H66" s="143" t="str">
        <f>$A$45</f>
        <v xml:space="preserve">PA </v>
      </c>
      <c r="I66" s="144">
        <f t="shared" si="30"/>
        <v>76.882637141774154</v>
      </c>
      <c r="J66" s="144">
        <f t="shared" si="31"/>
        <v>33.715396512563238</v>
      </c>
      <c r="K66" s="144">
        <f t="shared" si="31"/>
        <v>21.420434284077842</v>
      </c>
      <c r="L66" s="144">
        <f t="shared" si="31"/>
        <v>15.69741975386191</v>
      </c>
    </row>
    <row r="67" spans="1:12" x14ac:dyDescent="0.25">
      <c r="A67" s="168" t="s">
        <v>556</v>
      </c>
      <c r="B67" s="168"/>
      <c r="C67" s="168"/>
      <c r="D67" s="168"/>
      <c r="E67" s="168"/>
      <c r="F67" s="168"/>
      <c r="G67" s="168"/>
      <c r="H67" s="169" t="s">
        <v>554</v>
      </c>
      <c r="I67" s="169"/>
      <c r="J67" s="169"/>
      <c r="K67" s="169"/>
      <c r="L67" s="169"/>
    </row>
    <row r="68" spans="1:12" x14ac:dyDescent="0.25">
      <c r="A68" s="137"/>
      <c r="B68" s="138">
        <f>J2</f>
        <v>256</v>
      </c>
      <c r="C68" s="138"/>
      <c r="D68" s="138"/>
      <c r="E68" s="138">
        <f>K2</f>
        <v>384</v>
      </c>
      <c r="F68" s="138">
        <f>L2</f>
        <v>512</v>
      </c>
      <c r="G68" s="138">
        <f>M2</f>
        <v>768</v>
      </c>
      <c r="H68" s="141"/>
      <c r="I68" s="142">
        <f>J2</f>
        <v>256</v>
      </c>
      <c r="J68" s="142">
        <f>K2</f>
        <v>384</v>
      </c>
      <c r="K68" s="142">
        <f>L2</f>
        <v>512</v>
      </c>
      <c r="L68" s="142">
        <f>M2</f>
        <v>768</v>
      </c>
    </row>
    <row r="69" spans="1:12" x14ac:dyDescent="0.25">
      <c r="A69" s="139" t="str">
        <f>$A$12</f>
        <v>BB Precoding</v>
      </c>
      <c r="B69" s="140">
        <f>J12</f>
        <v>1406.0307692307692</v>
      </c>
      <c r="C69" s="140"/>
      <c r="D69" s="140"/>
      <c r="E69" s="140">
        <f>K12</f>
        <v>2109.0461538461536</v>
      </c>
      <c r="F69" s="140">
        <f>L12</f>
        <v>2812.0615384615385</v>
      </c>
      <c r="G69" s="140">
        <f>M12</f>
        <v>4218.0923076923073</v>
      </c>
      <c r="H69" s="143" t="str">
        <f>$A$12</f>
        <v>BB Precoding</v>
      </c>
      <c r="I69" s="144">
        <f t="shared" ref="I69:I76" si="33">B69/1000</f>
        <v>1.4060307692307692</v>
      </c>
      <c r="J69" s="144">
        <f t="shared" ref="J69:L69" si="34">E69/1000</f>
        <v>2.1090461538461538</v>
      </c>
      <c r="K69" s="144">
        <f t="shared" si="34"/>
        <v>2.8120615384615384</v>
      </c>
      <c r="L69" s="144">
        <f t="shared" si="34"/>
        <v>4.2180923076923076</v>
      </c>
    </row>
    <row r="70" spans="1:12" x14ac:dyDescent="0.25">
      <c r="A70" s="139" t="str">
        <f>$A$15</f>
        <v>SERDES</v>
      </c>
      <c r="B70" s="140">
        <f>J15</f>
        <v>136</v>
      </c>
      <c r="C70" s="140"/>
      <c r="D70" s="140"/>
      <c r="E70" s="140">
        <f>K15</f>
        <v>136</v>
      </c>
      <c r="F70" s="140">
        <f>L15</f>
        <v>136</v>
      </c>
      <c r="G70" s="140">
        <f>M15</f>
        <v>136</v>
      </c>
      <c r="H70" s="143" t="str">
        <f>$A$15</f>
        <v>SERDES</v>
      </c>
      <c r="I70" s="144">
        <f t="shared" si="33"/>
        <v>0.13600000000000001</v>
      </c>
      <c r="J70" s="144">
        <f t="shared" ref="J70:J76" si="35">E70/1000</f>
        <v>0.13600000000000001</v>
      </c>
      <c r="K70" s="144">
        <f t="shared" ref="K70:K76" si="36">F70/1000</f>
        <v>0.13600000000000001</v>
      </c>
      <c r="L70" s="144">
        <f t="shared" ref="L70:L76" si="37">G70/1000</f>
        <v>0.13600000000000001</v>
      </c>
    </row>
    <row r="71" spans="1:12" x14ac:dyDescent="0.25">
      <c r="A71" s="139" t="str">
        <f>$A$19</f>
        <v>DAC</v>
      </c>
      <c r="B71" s="140">
        <f>J19</f>
        <v>557.05600000000004</v>
      </c>
      <c r="C71" s="140"/>
      <c r="D71" s="140"/>
      <c r="E71" s="140">
        <f>K19</f>
        <v>835.58400000000006</v>
      </c>
      <c r="F71" s="140">
        <f>L19</f>
        <v>1114.1120000000001</v>
      </c>
      <c r="G71" s="140">
        <f>M19</f>
        <v>1671.1680000000001</v>
      </c>
      <c r="H71" s="143" t="str">
        <f>$A$19</f>
        <v>DAC</v>
      </c>
      <c r="I71" s="144">
        <f t="shared" si="33"/>
        <v>0.557056</v>
      </c>
      <c r="J71" s="144">
        <f t="shared" si="35"/>
        <v>0.8355840000000001</v>
      </c>
      <c r="K71" s="144">
        <f t="shared" si="36"/>
        <v>1.114112</v>
      </c>
      <c r="L71" s="144">
        <f t="shared" si="37"/>
        <v>1.6711680000000002</v>
      </c>
    </row>
    <row r="72" spans="1:12" x14ac:dyDescent="0.25">
      <c r="A72" s="139" t="str">
        <f>$A$23</f>
        <v>Mixer</v>
      </c>
      <c r="B72" s="140">
        <f>J23</f>
        <v>2560</v>
      </c>
      <c r="C72" s="140"/>
      <c r="D72" s="140"/>
      <c r="E72" s="140">
        <f>K23</f>
        <v>3840</v>
      </c>
      <c r="F72" s="140">
        <f>L23</f>
        <v>5120</v>
      </c>
      <c r="G72" s="140">
        <f>M23</f>
        <v>7680</v>
      </c>
      <c r="H72" s="143" t="str">
        <f>$A$23</f>
        <v>Mixer</v>
      </c>
      <c r="I72" s="144">
        <f t="shared" si="33"/>
        <v>2.56</v>
      </c>
      <c r="J72" s="144">
        <f t="shared" si="35"/>
        <v>3.84</v>
      </c>
      <c r="K72" s="144">
        <f t="shared" si="36"/>
        <v>5.12</v>
      </c>
      <c r="L72" s="144">
        <f t="shared" si="37"/>
        <v>7.68</v>
      </c>
    </row>
    <row r="73" spans="1:12" x14ac:dyDescent="0.25">
      <c r="A73" s="139" t="str">
        <f>$A$27</f>
        <v>VCO</v>
      </c>
      <c r="B73" s="140">
        <f>J27</f>
        <v>15360</v>
      </c>
      <c r="C73" s="140"/>
      <c r="D73" s="140"/>
      <c r="E73" s="140">
        <f>K27</f>
        <v>23040</v>
      </c>
      <c r="F73" s="140">
        <f>L27</f>
        <v>30720</v>
      </c>
      <c r="G73" s="140">
        <f>M27</f>
        <v>46080</v>
      </c>
      <c r="H73" s="143" t="str">
        <f>$A$27</f>
        <v>VCO</v>
      </c>
      <c r="I73" s="144">
        <f t="shared" si="33"/>
        <v>15.36</v>
      </c>
      <c r="J73" s="144">
        <f t="shared" si="35"/>
        <v>23.04</v>
      </c>
      <c r="K73" s="144">
        <f t="shared" si="36"/>
        <v>30.72</v>
      </c>
      <c r="L73" s="144">
        <f t="shared" si="37"/>
        <v>46.08</v>
      </c>
    </row>
    <row r="74" spans="1:12" x14ac:dyDescent="0.25">
      <c r="A74" s="139" t="str">
        <f>$A$32</f>
        <v>PS</v>
      </c>
      <c r="B74" s="140">
        <f>J32</f>
        <v>0</v>
      </c>
      <c r="C74" s="140"/>
      <c r="D74" s="140"/>
      <c r="E74" s="140">
        <f>K32</f>
        <v>0</v>
      </c>
      <c r="F74" s="140">
        <f>L32</f>
        <v>0</v>
      </c>
      <c r="G74" s="140">
        <f>M32</f>
        <v>0</v>
      </c>
      <c r="H74" s="143" t="str">
        <f>$A$32</f>
        <v>PS</v>
      </c>
      <c r="I74" s="144">
        <f t="shared" si="33"/>
        <v>0</v>
      </c>
      <c r="J74" s="144">
        <f t="shared" si="35"/>
        <v>0</v>
      </c>
      <c r="K74" s="144">
        <f t="shared" si="36"/>
        <v>0</v>
      </c>
      <c r="L74" s="144">
        <f t="shared" si="37"/>
        <v>0</v>
      </c>
    </row>
    <row r="75" spans="1:12" x14ac:dyDescent="0.25">
      <c r="A75" s="139" t="str">
        <f>$A$37</f>
        <v>RF Amp</v>
      </c>
      <c r="B75" s="140">
        <f>J37</f>
        <v>10240</v>
      </c>
      <c r="C75" s="140"/>
      <c r="D75" s="140"/>
      <c r="E75" s="140">
        <f>K37</f>
        <v>15360</v>
      </c>
      <c r="F75" s="140">
        <f>L37</f>
        <v>20480</v>
      </c>
      <c r="G75" s="140">
        <f>M37</f>
        <v>30720</v>
      </c>
      <c r="H75" s="143" t="str">
        <f>$A$37</f>
        <v>RF Amp</v>
      </c>
      <c r="I75" s="144">
        <f t="shared" si="33"/>
        <v>10.24</v>
      </c>
      <c r="J75" s="144">
        <f t="shared" si="35"/>
        <v>15.36</v>
      </c>
      <c r="K75" s="144">
        <f t="shared" si="36"/>
        <v>20.48</v>
      </c>
      <c r="L75" s="144">
        <f t="shared" si="37"/>
        <v>30.72</v>
      </c>
    </row>
    <row r="76" spans="1:12" x14ac:dyDescent="0.25">
      <c r="A76" s="139" t="str">
        <f>$A$45</f>
        <v xml:space="preserve">PA </v>
      </c>
      <c r="B76" s="140">
        <f>J45</f>
        <v>207887.44975424532</v>
      </c>
      <c r="C76" s="140"/>
      <c r="D76" s="140"/>
      <c r="E76" s="140">
        <f t="shared" ref="E76:G76" si="38">K45</f>
        <v>138301.93983273749</v>
      </c>
      <c r="F76" s="140">
        <f t="shared" si="38"/>
        <v>103711.82382001566</v>
      </c>
      <c r="G76" s="140">
        <f t="shared" si="38"/>
        <v>68996.692368180782</v>
      </c>
      <c r="H76" s="143" t="str">
        <f>$A$45</f>
        <v xml:space="preserve">PA </v>
      </c>
      <c r="I76" s="144">
        <f t="shared" si="33"/>
        <v>207.88744975424532</v>
      </c>
      <c r="J76" s="144">
        <f t="shared" si="35"/>
        <v>138.3019398327375</v>
      </c>
      <c r="K76" s="144">
        <f t="shared" si="36"/>
        <v>103.71182382001567</v>
      </c>
      <c r="L76" s="144">
        <f t="shared" si="37"/>
        <v>68.996692368180788</v>
      </c>
    </row>
    <row r="77" spans="1:12" x14ac:dyDescent="0.25">
      <c r="A77" s="168" t="s">
        <v>557</v>
      </c>
      <c r="B77" s="168"/>
      <c r="C77" s="168"/>
      <c r="D77" s="168"/>
      <c r="E77" s="168"/>
      <c r="F77" s="168"/>
      <c r="G77" s="168"/>
      <c r="H77" s="169" t="s">
        <v>555</v>
      </c>
      <c r="I77" s="169"/>
      <c r="J77" s="169"/>
      <c r="K77" s="169"/>
      <c r="L77" s="169"/>
    </row>
    <row r="78" spans="1:12" x14ac:dyDescent="0.25">
      <c r="A78" s="137"/>
      <c r="B78" s="140">
        <f>N2</f>
        <v>128</v>
      </c>
      <c r="C78" s="140"/>
      <c r="D78" s="140"/>
      <c r="E78" s="140">
        <f>O2</f>
        <v>256</v>
      </c>
      <c r="F78" s="140">
        <f>P2</f>
        <v>384</v>
      </c>
      <c r="G78" s="140">
        <f>Q2</f>
        <v>512</v>
      </c>
      <c r="H78" s="141"/>
      <c r="I78" s="144">
        <f>N2</f>
        <v>128</v>
      </c>
      <c r="J78" s="144">
        <f>O2</f>
        <v>256</v>
      </c>
      <c r="K78" s="144">
        <f>P2</f>
        <v>384</v>
      </c>
      <c r="L78" s="144">
        <f>Q2</f>
        <v>512</v>
      </c>
    </row>
    <row r="79" spans="1:12" x14ac:dyDescent="0.25">
      <c r="A79" s="139" t="str">
        <f>$A$12</f>
        <v>BB Precoding</v>
      </c>
      <c r="B79" s="140">
        <f>N12</f>
        <v>652.79999999999995</v>
      </c>
      <c r="C79" s="140"/>
      <c r="D79" s="140"/>
      <c r="E79" s="140">
        <f>O12</f>
        <v>1305.5999999999999</v>
      </c>
      <c r="F79" s="140">
        <f>P12</f>
        <v>1958.4</v>
      </c>
      <c r="G79" s="140">
        <f>Q12</f>
        <v>2611.1999999999998</v>
      </c>
      <c r="H79" s="143" t="str">
        <f>$A$12</f>
        <v>BB Precoding</v>
      </c>
      <c r="I79" s="144">
        <f t="shared" ref="I79:I86" si="39">B79/1000</f>
        <v>0.65279999999999994</v>
      </c>
      <c r="J79" s="144">
        <f t="shared" ref="J79:L79" si="40">E79/1000</f>
        <v>1.3055999999999999</v>
      </c>
      <c r="K79" s="144">
        <f t="shared" si="40"/>
        <v>1.9584000000000001</v>
      </c>
      <c r="L79" s="144">
        <f t="shared" si="40"/>
        <v>2.6111999999999997</v>
      </c>
    </row>
    <row r="80" spans="1:12" x14ac:dyDescent="0.25">
      <c r="A80" s="139" t="str">
        <f>$A$15</f>
        <v>SERDES</v>
      </c>
      <c r="B80" s="140">
        <f>N15</f>
        <v>92.564999999999984</v>
      </c>
      <c r="C80" s="140"/>
      <c r="D80" s="140"/>
      <c r="E80" s="140">
        <f>O15</f>
        <v>84.064999999999984</v>
      </c>
      <c r="F80" s="140">
        <f>P15</f>
        <v>79.05</v>
      </c>
      <c r="G80" s="140">
        <f>Q15</f>
        <v>75.508333333333312</v>
      </c>
      <c r="H80" s="143" t="str">
        <f>$A$15</f>
        <v>SERDES</v>
      </c>
      <c r="I80" s="144">
        <f t="shared" si="39"/>
        <v>9.2564999999999981E-2</v>
      </c>
      <c r="J80" s="144">
        <f t="shared" ref="J80:J86" si="41">E80/1000</f>
        <v>8.4064999999999987E-2</v>
      </c>
      <c r="K80" s="144">
        <f t="shared" ref="K80:K86" si="42">F80/1000</f>
        <v>7.9049999999999995E-2</v>
      </c>
      <c r="L80" s="144">
        <f t="shared" ref="L80:L86" si="43">G80/1000</f>
        <v>7.5508333333333316E-2</v>
      </c>
    </row>
    <row r="81" spans="1:12" x14ac:dyDescent="0.25">
      <c r="A81" s="139" t="str">
        <f>$A$19</f>
        <v>DAC</v>
      </c>
      <c r="B81" s="140">
        <f>N19</f>
        <v>758.3281964807303</v>
      </c>
      <c r="C81" s="140"/>
      <c r="D81" s="140"/>
      <c r="E81" s="140">
        <f>O19</f>
        <v>1072.4380201929778</v>
      </c>
      <c r="F81" s="140">
        <f>P19</f>
        <v>1311.1718377139166</v>
      </c>
      <c r="G81" s="140">
        <f>Q19</f>
        <v>1513.1562177373435</v>
      </c>
      <c r="H81" s="143" t="str">
        <f>$A$19</f>
        <v>DAC</v>
      </c>
      <c r="I81" s="144">
        <f t="shared" si="39"/>
        <v>0.75832819648073024</v>
      </c>
      <c r="J81" s="144">
        <f t="shared" si="41"/>
        <v>1.0724380201929777</v>
      </c>
      <c r="K81" s="144">
        <f t="shared" si="42"/>
        <v>1.3111718377139165</v>
      </c>
      <c r="L81" s="144">
        <f t="shared" si="43"/>
        <v>1.5131562177373434</v>
      </c>
    </row>
    <row r="82" spans="1:12" x14ac:dyDescent="0.25">
      <c r="A82" s="139" t="str">
        <f>$A$23</f>
        <v>Mixer</v>
      </c>
      <c r="B82" s="140">
        <f>N23</f>
        <v>1280</v>
      </c>
      <c r="C82" s="140"/>
      <c r="D82" s="140"/>
      <c r="E82" s="140">
        <f>O23</f>
        <v>2560</v>
      </c>
      <c r="F82" s="140">
        <f>P23</f>
        <v>3840</v>
      </c>
      <c r="G82" s="140">
        <f>Q23</f>
        <v>5120</v>
      </c>
      <c r="H82" s="143" t="str">
        <f>$A$23</f>
        <v>Mixer</v>
      </c>
      <c r="I82" s="144">
        <f t="shared" si="39"/>
        <v>1.28</v>
      </c>
      <c r="J82" s="144">
        <f t="shared" si="41"/>
        <v>2.56</v>
      </c>
      <c r="K82" s="144">
        <f t="shared" si="42"/>
        <v>3.84</v>
      </c>
      <c r="L82" s="144">
        <f t="shared" si="43"/>
        <v>5.12</v>
      </c>
    </row>
    <row r="83" spans="1:12" x14ac:dyDescent="0.25">
      <c r="A83" s="139" t="str">
        <f>$A$27</f>
        <v>VCO</v>
      </c>
      <c r="B83" s="140">
        <f>N27</f>
        <v>7680</v>
      </c>
      <c r="C83" s="140"/>
      <c r="D83" s="140"/>
      <c r="E83" s="140">
        <f>O27</f>
        <v>15360</v>
      </c>
      <c r="F83" s="140">
        <f>P27</f>
        <v>23040</v>
      </c>
      <c r="G83" s="140">
        <f>Q27</f>
        <v>30720</v>
      </c>
      <c r="H83" s="143" t="str">
        <f>$A$27</f>
        <v>VCO</v>
      </c>
      <c r="I83" s="144">
        <f t="shared" si="39"/>
        <v>7.68</v>
      </c>
      <c r="J83" s="144">
        <f t="shared" si="41"/>
        <v>15.36</v>
      </c>
      <c r="K83" s="144">
        <f t="shared" si="42"/>
        <v>23.04</v>
      </c>
      <c r="L83" s="144">
        <f t="shared" si="43"/>
        <v>30.72</v>
      </c>
    </row>
    <row r="84" spans="1:12" x14ac:dyDescent="0.25">
      <c r="A84" s="139" t="str">
        <f>$A$32</f>
        <v>PS</v>
      </c>
      <c r="B84" s="140">
        <f>N32</f>
        <v>0</v>
      </c>
      <c r="C84" s="140"/>
      <c r="D84" s="140"/>
      <c r="E84" s="140">
        <f>O32</f>
        <v>0</v>
      </c>
      <c r="F84" s="140">
        <f>P32</f>
        <v>0</v>
      </c>
      <c r="G84" s="140">
        <f>Q32</f>
        <v>0</v>
      </c>
      <c r="H84" s="143" t="str">
        <f>$A$32</f>
        <v>PS</v>
      </c>
      <c r="I84" s="144">
        <f t="shared" si="39"/>
        <v>0</v>
      </c>
      <c r="J84" s="144">
        <f t="shared" si="41"/>
        <v>0</v>
      </c>
      <c r="K84" s="144">
        <f t="shared" si="42"/>
        <v>0</v>
      </c>
      <c r="L84" s="144">
        <f t="shared" si="43"/>
        <v>0</v>
      </c>
    </row>
    <row r="85" spans="1:12" x14ac:dyDescent="0.25">
      <c r="A85" s="139" t="str">
        <f>$A$37</f>
        <v>RF Amp</v>
      </c>
      <c r="B85" s="140">
        <f>N37</f>
        <v>5120</v>
      </c>
      <c r="C85" s="140"/>
      <c r="D85" s="140"/>
      <c r="E85" s="140">
        <f>O37</f>
        <v>10240</v>
      </c>
      <c r="F85" s="140">
        <f>P37</f>
        <v>15360</v>
      </c>
      <c r="G85" s="140">
        <f>Q37</f>
        <v>20480</v>
      </c>
      <c r="H85" s="143" t="str">
        <f>$A$37</f>
        <v>RF Amp</v>
      </c>
      <c r="I85" s="144">
        <f t="shared" si="39"/>
        <v>5.12</v>
      </c>
      <c r="J85" s="144">
        <f t="shared" si="41"/>
        <v>10.24</v>
      </c>
      <c r="K85" s="144">
        <f t="shared" si="42"/>
        <v>15.36</v>
      </c>
      <c r="L85" s="144">
        <f t="shared" si="43"/>
        <v>20.48</v>
      </c>
    </row>
    <row r="86" spans="1:12" x14ac:dyDescent="0.25">
      <c r="A86" s="139" t="str">
        <f>$A$45</f>
        <v xml:space="preserve">PA </v>
      </c>
      <c r="B86" s="140">
        <f>N45</f>
        <v>168200.88308681207</v>
      </c>
      <c r="C86" s="140"/>
      <c r="D86" s="140"/>
      <c r="E86" s="140">
        <f t="shared" ref="E86:G86" si="44">O45</f>
        <v>84300.135287943383</v>
      </c>
      <c r="F86" s="140">
        <f t="shared" si="44"/>
        <v>56082.617071244</v>
      </c>
      <c r="G86" s="140">
        <f t="shared" si="44"/>
        <v>42056.029785935316</v>
      </c>
      <c r="H86" s="143" t="str">
        <f>$A$45</f>
        <v xml:space="preserve">PA </v>
      </c>
      <c r="I86" s="144">
        <f t="shared" si="39"/>
        <v>168.20088308681207</v>
      </c>
      <c r="J86" s="144">
        <f t="shared" si="41"/>
        <v>84.300135287943377</v>
      </c>
      <c r="K86" s="144">
        <f t="shared" si="42"/>
        <v>56.082617071244002</v>
      </c>
      <c r="L86" s="144">
        <f t="shared" si="43"/>
        <v>42.056029785935316</v>
      </c>
    </row>
  </sheetData>
  <mergeCells count="6">
    <mergeCell ref="A57:G57"/>
    <mergeCell ref="A67:G67"/>
    <mergeCell ref="A77:G77"/>
    <mergeCell ref="H57:L57"/>
    <mergeCell ref="H67:L67"/>
    <mergeCell ref="H77:L77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6"/>
  <sheetViews>
    <sheetView workbookViewId="0">
      <selection activeCell="G8" sqref="G8"/>
    </sheetView>
  </sheetViews>
  <sheetFormatPr defaultRowHeight="15" x14ac:dyDescent="0.25"/>
  <cols>
    <col min="1" max="1" width="29.42578125" customWidth="1"/>
    <col min="2" max="2" width="15" customWidth="1"/>
    <col min="3" max="5" width="15" hidden="1" customWidth="1"/>
    <col min="6" max="6" width="13.5703125" hidden="1" customWidth="1"/>
    <col min="7" max="7" width="12.140625" customWidth="1"/>
    <col min="8" max="8" width="13.140625" customWidth="1"/>
    <col min="9" max="10" width="13.28515625" customWidth="1"/>
    <col min="11" max="11" width="12.7109375" customWidth="1"/>
    <col min="12" max="12" width="13.42578125" customWidth="1"/>
    <col min="13" max="13" width="11.7109375" customWidth="1"/>
    <col min="14" max="15" width="13" customWidth="1"/>
    <col min="16" max="16" width="11.85546875" customWidth="1"/>
    <col min="17" max="17" width="13.140625" customWidth="1"/>
    <col min="18" max="18" width="11.85546875" customWidth="1"/>
    <col min="19" max="20" width="13.140625" customWidth="1"/>
    <col min="21" max="21" width="12" customWidth="1"/>
    <col min="28" max="28" width="12" bestFit="1" customWidth="1"/>
  </cols>
  <sheetData>
    <row r="1" spans="1:27" x14ac:dyDescent="0.25">
      <c r="A1" s="14" t="s">
        <v>343</v>
      </c>
      <c r="B1" s="14" t="s">
        <v>326</v>
      </c>
      <c r="C1" s="2" t="s">
        <v>335</v>
      </c>
      <c r="D1" s="2" t="s">
        <v>479</v>
      </c>
      <c r="E1" s="2" t="s">
        <v>480</v>
      </c>
      <c r="F1" s="2" t="s">
        <v>481</v>
      </c>
      <c r="G1" s="2" t="s">
        <v>449</v>
      </c>
      <c r="H1" s="2" t="s">
        <v>448</v>
      </c>
      <c r="I1" s="2" t="s">
        <v>450</v>
      </c>
      <c r="J1" s="2" t="s">
        <v>451</v>
      </c>
      <c r="K1" s="2" t="s">
        <v>466</v>
      </c>
      <c r="L1" s="101" t="s">
        <v>452</v>
      </c>
      <c r="M1" s="101" t="s">
        <v>453</v>
      </c>
      <c r="N1" s="101" t="s">
        <v>454</v>
      </c>
      <c r="O1" s="101" t="s">
        <v>455</v>
      </c>
      <c r="P1" s="101" t="s">
        <v>465</v>
      </c>
      <c r="Q1" s="102" t="s">
        <v>457</v>
      </c>
      <c r="R1" s="102" t="s">
        <v>456</v>
      </c>
      <c r="S1" s="102" t="s">
        <v>458</v>
      </c>
      <c r="T1" s="102" t="s">
        <v>459</v>
      </c>
      <c r="U1" s="102" t="s">
        <v>467</v>
      </c>
    </row>
    <row r="2" spans="1:27" x14ac:dyDescent="0.25">
      <c r="A2" s="62" t="s">
        <v>356</v>
      </c>
      <c r="B2" s="14" t="s">
        <v>330</v>
      </c>
      <c r="C2" s="29">
        <v>256</v>
      </c>
      <c r="D2" s="29">
        <v>512</v>
      </c>
      <c r="E2" s="29">
        <v>768</v>
      </c>
      <c r="F2" s="29">
        <v>1024</v>
      </c>
      <c r="G2" s="29">
        <v>256</v>
      </c>
      <c r="H2" s="29">
        <v>384</v>
      </c>
      <c r="I2" s="29">
        <v>512</v>
      </c>
      <c r="J2" s="29">
        <v>768</v>
      </c>
      <c r="K2" s="29">
        <v>1024</v>
      </c>
      <c r="L2" s="39">
        <v>256</v>
      </c>
      <c r="M2" s="39">
        <v>384</v>
      </c>
      <c r="N2" s="39">
        <v>512</v>
      </c>
      <c r="O2" s="39">
        <v>768</v>
      </c>
      <c r="P2" s="39">
        <v>1024</v>
      </c>
      <c r="Q2" s="50">
        <v>256</v>
      </c>
      <c r="R2" s="50">
        <v>384</v>
      </c>
      <c r="S2" s="50">
        <v>512</v>
      </c>
      <c r="T2" s="50">
        <v>768</v>
      </c>
      <c r="U2" s="50">
        <v>1024</v>
      </c>
    </row>
    <row r="3" spans="1:27" x14ac:dyDescent="0.25">
      <c r="A3" s="62" t="s">
        <v>355</v>
      </c>
      <c r="B3" s="14" t="s">
        <v>330</v>
      </c>
      <c r="C3" s="29">
        <f t="shared" ref="C3" si="0">C2/C4</f>
        <v>16</v>
      </c>
      <c r="D3" s="29">
        <f t="shared" ref="D3" si="1">D2/D4</f>
        <v>32</v>
      </c>
      <c r="E3" s="29">
        <f t="shared" ref="E3" si="2">E2/E4</f>
        <v>48</v>
      </c>
      <c r="F3" s="29">
        <f t="shared" ref="F3:U3" si="3">F2/F4</f>
        <v>64</v>
      </c>
      <c r="G3" s="29">
        <f t="shared" si="3"/>
        <v>16</v>
      </c>
      <c r="H3" s="29">
        <f t="shared" si="3"/>
        <v>24</v>
      </c>
      <c r="I3" s="29">
        <f t="shared" si="3"/>
        <v>32</v>
      </c>
      <c r="J3" s="29">
        <f t="shared" ref="J3" si="4">J2/J4</f>
        <v>48</v>
      </c>
      <c r="K3" s="29">
        <f t="shared" si="3"/>
        <v>64</v>
      </c>
      <c r="L3" s="39">
        <f t="shared" si="3"/>
        <v>16</v>
      </c>
      <c r="M3" s="39">
        <f t="shared" si="3"/>
        <v>24</v>
      </c>
      <c r="N3" s="39">
        <f t="shared" si="3"/>
        <v>32</v>
      </c>
      <c r="O3" s="39">
        <f t="shared" ref="O3" si="5">O2/O4</f>
        <v>48</v>
      </c>
      <c r="P3" s="39">
        <f t="shared" si="3"/>
        <v>64</v>
      </c>
      <c r="Q3" s="50">
        <f t="shared" si="3"/>
        <v>16</v>
      </c>
      <c r="R3" s="50">
        <f t="shared" si="3"/>
        <v>24</v>
      </c>
      <c r="S3" s="50">
        <f t="shared" si="3"/>
        <v>32</v>
      </c>
      <c r="T3" s="50">
        <f t="shared" ref="T3" si="6">T2/T4</f>
        <v>48</v>
      </c>
      <c r="U3" s="50">
        <f t="shared" si="3"/>
        <v>64</v>
      </c>
    </row>
    <row r="4" spans="1:27" x14ac:dyDescent="0.25">
      <c r="A4" s="62" t="s">
        <v>357</v>
      </c>
      <c r="B4" s="14" t="s">
        <v>330</v>
      </c>
      <c r="C4" s="29">
        <v>16</v>
      </c>
      <c r="D4" s="29">
        <v>16</v>
      </c>
      <c r="E4" s="29">
        <v>16</v>
      </c>
      <c r="F4" s="29">
        <v>16</v>
      </c>
      <c r="G4" s="29">
        <v>16</v>
      </c>
      <c r="H4" s="29">
        <v>16</v>
      </c>
      <c r="I4" s="29">
        <v>16</v>
      </c>
      <c r="J4" s="29">
        <v>16</v>
      </c>
      <c r="K4" s="29">
        <v>16</v>
      </c>
      <c r="L4" s="29">
        <v>16</v>
      </c>
      <c r="M4" s="29">
        <v>16</v>
      </c>
      <c r="N4" s="29">
        <v>16</v>
      </c>
      <c r="O4" s="29">
        <v>16</v>
      </c>
      <c r="P4" s="29">
        <v>16</v>
      </c>
      <c r="Q4" s="29">
        <v>16</v>
      </c>
      <c r="R4" s="29">
        <v>16</v>
      </c>
      <c r="S4" s="29">
        <v>16</v>
      </c>
      <c r="T4" s="29">
        <v>16</v>
      </c>
      <c r="U4" s="29">
        <v>16</v>
      </c>
    </row>
    <row r="5" spans="1:27" x14ac:dyDescent="0.25">
      <c r="A5" s="62" t="s">
        <v>463</v>
      </c>
      <c r="B5" s="108" t="s">
        <v>342</v>
      </c>
      <c r="C5" s="25" t="s">
        <v>20</v>
      </c>
      <c r="D5" s="25" t="s">
        <v>20</v>
      </c>
      <c r="E5" s="25" t="s">
        <v>20</v>
      </c>
      <c r="F5" s="25" t="s">
        <v>20</v>
      </c>
      <c r="G5" s="29">
        <v>8</v>
      </c>
      <c r="H5" s="29">
        <v>8</v>
      </c>
      <c r="I5" s="29">
        <v>8</v>
      </c>
      <c r="J5" s="29">
        <v>8</v>
      </c>
      <c r="K5" s="29">
        <v>8</v>
      </c>
      <c r="L5" s="39">
        <v>2</v>
      </c>
      <c r="M5" s="39">
        <v>2</v>
      </c>
      <c r="N5" s="39">
        <v>2</v>
      </c>
      <c r="O5" s="39">
        <v>2</v>
      </c>
      <c r="P5" s="39">
        <v>2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AA5" s="1"/>
    </row>
    <row r="6" spans="1:27" x14ac:dyDescent="0.25">
      <c r="A6" s="62" t="s">
        <v>262</v>
      </c>
      <c r="B6" s="14" t="s">
        <v>330</v>
      </c>
      <c r="C6" s="29">
        <f t="shared" ref="C6" si="7">C3</f>
        <v>16</v>
      </c>
      <c r="D6" s="29">
        <f t="shared" ref="D6" si="8">D3</f>
        <v>32</v>
      </c>
      <c r="E6" s="29">
        <f t="shared" ref="E6" si="9">E3</f>
        <v>48</v>
      </c>
      <c r="F6" s="29">
        <f t="shared" ref="F6:U6" si="10">F3</f>
        <v>64</v>
      </c>
      <c r="G6" s="29">
        <f t="shared" si="10"/>
        <v>16</v>
      </c>
      <c r="H6" s="29">
        <f t="shared" si="10"/>
        <v>24</v>
      </c>
      <c r="I6" s="29">
        <f t="shared" si="10"/>
        <v>32</v>
      </c>
      <c r="J6" s="29">
        <f t="shared" si="10"/>
        <v>48</v>
      </c>
      <c r="K6" s="29">
        <f t="shared" si="10"/>
        <v>64</v>
      </c>
      <c r="L6" s="39">
        <f t="shared" si="10"/>
        <v>16</v>
      </c>
      <c r="M6" s="39">
        <f t="shared" si="10"/>
        <v>24</v>
      </c>
      <c r="N6" s="39">
        <f t="shared" si="10"/>
        <v>32</v>
      </c>
      <c r="O6" s="39">
        <f t="shared" si="10"/>
        <v>48</v>
      </c>
      <c r="P6" s="39">
        <f t="shared" si="10"/>
        <v>64</v>
      </c>
      <c r="Q6" s="50">
        <f t="shared" si="10"/>
        <v>16</v>
      </c>
      <c r="R6" s="50">
        <f t="shared" si="10"/>
        <v>24</v>
      </c>
      <c r="S6" s="50">
        <f t="shared" si="10"/>
        <v>32</v>
      </c>
      <c r="T6" s="50">
        <f t="shared" si="10"/>
        <v>48</v>
      </c>
      <c r="U6" s="50">
        <f t="shared" si="10"/>
        <v>64</v>
      </c>
    </row>
    <row r="7" spans="1:27" x14ac:dyDescent="0.25">
      <c r="A7" s="62" t="s">
        <v>491</v>
      </c>
      <c r="B7" s="14" t="s">
        <v>342</v>
      </c>
      <c r="C7" s="43">
        <f>C9*5</f>
        <v>4.25</v>
      </c>
      <c r="D7" s="43">
        <f>D9*5</f>
        <v>4.25</v>
      </c>
      <c r="E7" s="43">
        <f>E9*5</f>
        <v>4.25</v>
      </c>
      <c r="F7" s="43">
        <f>F9*2</f>
        <v>1.7</v>
      </c>
      <c r="G7" s="43">
        <f t="shared" ref="G7:U7" si="11">G9*2</f>
        <v>1.7</v>
      </c>
      <c r="H7" s="43">
        <f t="shared" si="11"/>
        <v>1.7</v>
      </c>
      <c r="I7" s="43">
        <f t="shared" si="11"/>
        <v>1.7</v>
      </c>
      <c r="J7" s="43">
        <f t="shared" si="11"/>
        <v>1.7</v>
      </c>
      <c r="K7" s="43">
        <f t="shared" si="11"/>
        <v>1.7</v>
      </c>
      <c r="L7" s="43">
        <f t="shared" si="11"/>
        <v>1.7</v>
      </c>
      <c r="M7" s="43">
        <f t="shared" si="11"/>
        <v>1.7</v>
      </c>
      <c r="N7" s="43">
        <f t="shared" si="11"/>
        <v>1.7</v>
      </c>
      <c r="O7" s="43">
        <f t="shared" si="11"/>
        <v>1.7</v>
      </c>
      <c r="P7" s="43">
        <f t="shared" si="11"/>
        <v>1.7</v>
      </c>
      <c r="Q7" s="43">
        <f t="shared" si="11"/>
        <v>1.7</v>
      </c>
      <c r="R7" s="43">
        <f t="shared" si="11"/>
        <v>1.7</v>
      </c>
      <c r="S7" s="43">
        <f t="shared" si="11"/>
        <v>1.7</v>
      </c>
      <c r="T7" s="43">
        <f t="shared" si="11"/>
        <v>1.7</v>
      </c>
      <c r="U7" s="43">
        <f t="shared" si="11"/>
        <v>1.7</v>
      </c>
    </row>
    <row r="8" spans="1:27" x14ac:dyDescent="0.25">
      <c r="A8" s="62" t="s">
        <v>492</v>
      </c>
      <c r="B8" s="14" t="s">
        <v>342</v>
      </c>
      <c r="C8" s="25">
        <v>7</v>
      </c>
      <c r="D8" s="25">
        <v>7</v>
      </c>
      <c r="E8" s="25">
        <v>7</v>
      </c>
      <c r="F8" s="25">
        <v>7</v>
      </c>
      <c r="G8" s="25">
        <f t="shared" ref="G8:U8" si="12">(10+10-1.76+G10+G47+10*LOG10(G2/G5/G5))/6</f>
        <v>7.1706916498686217</v>
      </c>
      <c r="H8" s="25">
        <f t="shared" si="12"/>
        <v>7.2858437482947567</v>
      </c>
      <c r="I8" s="25">
        <f t="shared" si="12"/>
        <v>7.2424083093085905</v>
      </c>
      <c r="J8" s="25">
        <f t="shared" si="12"/>
        <v>7.119227074401393</v>
      </c>
      <c r="K8" s="25">
        <f t="shared" si="12"/>
        <v>7.1424583020818915</v>
      </c>
      <c r="L8" s="25">
        <f t="shared" si="12"/>
        <v>4.3269666233064781</v>
      </c>
      <c r="M8" s="25">
        <f t="shared" si="12"/>
        <v>4.393785388399281</v>
      </c>
      <c r="N8" s="25">
        <f t="shared" si="12"/>
        <v>4.4053499494131136</v>
      </c>
      <c r="O8" s="25">
        <f t="shared" si="12"/>
        <v>4.3205020478392493</v>
      </c>
      <c r="P8" s="25">
        <f t="shared" si="12"/>
        <v>4.2603999421864165</v>
      </c>
      <c r="Q8" s="25">
        <f t="shared" si="12"/>
        <v>9.1470666088530823</v>
      </c>
      <c r="R8" s="25">
        <f t="shared" si="12"/>
        <v>9.1522187072792178</v>
      </c>
      <c r="S8" s="25">
        <f t="shared" si="12"/>
        <v>9.1487832682930499</v>
      </c>
      <c r="T8" s="25">
        <f t="shared" si="12"/>
        <v>9.1389353667191866</v>
      </c>
      <c r="U8" s="25">
        <f t="shared" si="12"/>
        <v>9.1338332610663517</v>
      </c>
    </row>
    <row r="9" spans="1:27" x14ac:dyDescent="0.25">
      <c r="A9" s="62" t="s">
        <v>493</v>
      </c>
      <c r="B9" s="14" t="s">
        <v>342</v>
      </c>
      <c r="C9" s="43">
        <v>0.85</v>
      </c>
      <c r="D9" s="43">
        <v>0.85</v>
      </c>
      <c r="E9" s="43">
        <v>0.85</v>
      </c>
      <c r="F9" s="43">
        <v>0.85</v>
      </c>
      <c r="G9" s="43">
        <v>0.85</v>
      </c>
      <c r="H9" s="43">
        <v>0.85</v>
      </c>
      <c r="I9" s="43">
        <v>0.85</v>
      </c>
      <c r="J9" s="43">
        <v>0.85</v>
      </c>
      <c r="K9" s="25">
        <v>0.85</v>
      </c>
      <c r="L9" s="31">
        <v>0.85</v>
      </c>
      <c r="M9" s="31">
        <v>0.85</v>
      </c>
      <c r="N9" s="31">
        <v>0.85</v>
      </c>
      <c r="O9" s="31">
        <v>0.85</v>
      </c>
      <c r="P9" s="31">
        <v>0.85</v>
      </c>
      <c r="Q9" s="32">
        <v>0.85</v>
      </c>
      <c r="R9" s="32">
        <v>0.85</v>
      </c>
      <c r="S9" s="32">
        <v>0.85</v>
      </c>
      <c r="T9" s="32">
        <v>0.85</v>
      </c>
      <c r="U9" s="32">
        <v>0.85</v>
      </c>
    </row>
    <row r="10" spans="1:27" x14ac:dyDescent="0.25">
      <c r="A10" s="62" t="s">
        <v>494</v>
      </c>
      <c r="B10" s="33" t="s">
        <v>342</v>
      </c>
      <c r="C10" s="25" t="s">
        <v>20</v>
      </c>
      <c r="D10" s="25" t="s">
        <v>20</v>
      </c>
      <c r="E10" s="25" t="s">
        <v>20</v>
      </c>
      <c r="F10" s="25" t="s">
        <v>20</v>
      </c>
      <c r="G10" s="25">
        <v>18.693549985932108</v>
      </c>
      <c r="H10" s="25">
        <v>18.693549985932108</v>
      </c>
      <c r="I10" s="25">
        <v>18.693549985932108</v>
      </c>
      <c r="J10" s="25">
        <v>18.693549985932108</v>
      </c>
      <c r="K10" s="25">
        <v>18.693549985932108</v>
      </c>
      <c r="L10" s="43">
        <v>-14.7</v>
      </c>
      <c r="M10" s="43">
        <v>-14.7</v>
      </c>
      <c r="N10" s="43">
        <v>-14.7</v>
      </c>
      <c r="O10" s="43">
        <v>-14.7</v>
      </c>
      <c r="P10" s="43">
        <v>-14.7</v>
      </c>
      <c r="Q10" s="31">
        <v>15.5</v>
      </c>
      <c r="R10" s="31">
        <v>15.5</v>
      </c>
      <c r="S10" s="31">
        <v>15.5</v>
      </c>
      <c r="T10" s="31">
        <v>15.5</v>
      </c>
      <c r="U10" s="31">
        <v>15.5</v>
      </c>
    </row>
    <row r="11" spans="1:27" x14ac:dyDescent="0.25">
      <c r="A11" s="55" t="s">
        <v>558</v>
      </c>
      <c r="B11" s="33" t="s">
        <v>341</v>
      </c>
      <c r="C11" s="25" t="s">
        <v>20</v>
      </c>
      <c r="D11" s="25" t="s">
        <v>20</v>
      </c>
      <c r="E11" s="25" t="s">
        <v>20</v>
      </c>
      <c r="F11" s="25" t="s">
        <v>20</v>
      </c>
      <c r="G11" s="25">
        <v>13</v>
      </c>
      <c r="H11" s="25">
        <v>13</v>
      </c>
      <c r="I11" s="25">
        <v>13</v>
      </c>
      <c r="J11" s="25">
        <v>13</v>
      </c>
      <c r="K11" s="25">
        <v>13</v>
      </c>
      <c r="L11" s="25">
        <v>13</v>
      </c>
      <c r="M11" s="25">
        <v>13</v>
      </c>
      <c r="N11" s="25">
        <v>13</v>
      </c>
      <c r="O11" s="25">
        <v>13</v>
      </c>
      <c r="P11" s="25">
        <v>13</v>
      </c>
      <c r="Q11" s="25">
        <v>13</v>
      </c>
      <c r="R11" s="25">
        <v>13</v>
      </c>
      <c r="S11" s="25">
        <v>13</v>
      </c>
      <c r="T11" s="25">
        <v>13</v>
      </c>
      <c r="U11" s="25">
        <v>13</v>
      </c>
    </row>
    <row r="12" spans="1:27" x14ac:dyDescent="0.25">
      <c r="A12" s="55" t="s">
        <v>409</v>
      </c>
      <c r="B12" s="33" t="s">
        <v>366</v>
      </c>
      <c r="C12" s="25" t="s">
        <v>20</v>
      </c>
      <c r="D12" s="25" t="s">
        <v>20</v>
      </c>
      <c r="E12" s="25" t="s">
        <v>20</v>
      </c>
      <c r="F12" s="25" t="s">
        <v>20</v>
      </c>
      <c r="G12" s="35">
        <f>(G9*10^9)*(G5*G5*6+72*G3)/(G11*10^9)</f>
        <v>100.43076923076923</v>
      </c>
      <c r="H12" s="35">
        <f t="shared" ref="H12:U12" si="13">(H9*10^9)*(H5*H5*6+72*H3)/(H11*10^9)</f>
        <v>138.09230769230768</v>
      </c>
      <c r="I12" s="35">
        <f t="shared" si="13"/>
        <v>175.75384615384615</v>
      </c>
      <c r="J12" s="35">
        <f t="shared" si="13"/>
        <v>251.07692307692307</v>
      </c>
      <c r="K12" s="35">
        <f t="shared" si="13"/>
        <v>326.39999999999998</v>
      </c>
      <c r="L12" s="35">
        <f t="shared" si="13"/>
        <v>76.892307692307696</v>
      </c>
      <c r="M12" s="35">
        <f t="shared" si="13"/>
        <v>114.55384615384615</v>
      </c>
      <c r="N12" s="35">
        <f t="shared" si="13"/>
        <v>152.21538461538461</v>
      </c>
      <c r="O12" s="35">
        <f t="shared" si="13"/>
        <v>227.53846153846155</v>
      </c>
      <c r="P12" s="35">
        <f t="shared" si="13"/>
        <v>302.86153846153849</v>
      </c>
      <c r="Q12" s="35">
        <f t="shared" si="13"/>
        <v>75.715384615384622</v>
      </c>
      <c r="R12" s="35">
        <f t="shared" si="13"/>
        <v>113.37692307692308</v>
      </c>
      <c r="S12" s="35">
        <f t="shared" si="13"/>
        <v>151.03846153846155</v>
      </c>
      <c r="T12" s="35">
        <f t="shared" si="13"/>
        <v>226.36153846153846</v>
      </c>
      <c r="U12" s="35">
        <f t="shared" si="13"/>
        <v>301.68461538461537</v>
      </c>
    </row>
    <row r="13" spans="1:27" x14ac:dyDescent="0.25">
      <c r="A13" s="55" t="s">
        <v>495</v>
      </c>
      <c r="B13" s="33" t="s">
        <v>341</v>
      </c>
      <c r="C13" s="123" t="s">
        <v>20</v>
      </c>
      <c r="D13" s="123" t="s">
        <v>20</v>
      </c>
      <c r="E13" s="123" t="s">
        <v>20</v>
      </c>
      <c r="F13" s="25" t="s">
        <v>20</v>
      </c>
      <c r="G13" s="35">
        <v>10</v>
      </c>
      <c r="H13" s="35">
        <v>10</v>
      </c>
      <c r="I13" s="35">
        <v>10</v>
      </c>
      <c r="J13" s="35">
        <v>10</v>
      </c>
      <c r="K13" s="35">
        <v>10</v>
      </c>
      <c r="L13" s="35">
        <v>10</v>
      </c>
      <c r="M13" s="35">
        <v>10</v>
      </c>
      <c r="N13" s="35">
        <v>10</v>
      </c>
      <c r="O13" s="35">
        <v>10</v>
      </c>
      <c r="P13" s="35">
        <v>10</v>
      </c>
      <c r="Q13" s="35">
        <v>10</v>
      </c>
      <c r="R13" s="35">
        <v>10</v>
      </c>
      <c r="S13" s="35">
        <v>10</v>
      </c>
      <c r="T13" s="35">
        <v>10</v>
      </c>
      <c r="U13" s="35">
        <v>10</v>
      </c>
    </row>
    <row r="14" spans="1:27" x14ac:dyDescent="0.25">
      <c r="A14" s="55" t="s">
        <v>496</v>
      </c>
      <c r="B14" s="33" t="s">
        <v>340</v>
      </c>
      <c r="C14" s="147">
        <f>1.23*C2/16</f>
        <v>19.68</v>
      </c>
      <c r="D14" s="147">
        <f t="shared" ref="D14:F14" si="14">1.23*D2/16</f>
        <v>39.36</v>
      </c>
      <c r="E14" s="147">
        <f t="shared" si="14"/>
        <v>59.04</v>
      </c>
      <c r="F14" s="147">
        <f t="shared" si="14"/>
        <v>78.72</v>
      </c>
      <c r="G14" s="25" t="s">
        <v>20</v>
      </c>
      <c r="H14" s="25" t="s">
        <v>20</v>
      </c>
      <c r="I14" s="25" t="s">
        <v>20</v>
      </c>
      <c r="J14" s="25" t="s">
        <v>20</v>
      </c>
      <c r="K14" s="25" t="s">
        <v>20</v>
      </c>
      <c r="L14" s="31" t="s">
        <v>20</v>
      </c>
      <c r="M14" s="31" t="s">
        <v>20</v>
      </c>
      <c r="N14" s="31" t="s">
        <v>20</v>
      </c>
      <c r="O14" s="31" t="s">
        <v>20</v>
      </c>
      <c r="P14" s="31" t="s">
        <v>20</v>
      </c>
      <c r="Q14" s="32" t="s">
        <v>20</v>
      </c>
      <c r="R14" s="32" t="s">
        <v>20</v>
      </c>
      <c r="S14" s="32" t="s">
        <v>20</v>
      </c>
      <c r="T14" s="32" t="s">
        <v>20</v>
      </c>
      <c r="U14" s="32" t="s">
        <v>20</v>
      </c>
    </row>
    <row r="15" spans="1:27" x14ac:dyDescent="0.25">
      <c r="A15" s="55" t="s">
        <v>410</v>
      </c>
      <c r="B15" s="33" t="s">
        <v>366</v>
      </c>
      <c r="C15" s="25" t="s">
        <v>20</v>
      </c>
      <c r="D15" s="25" t="s">
        <v>20</v>
      </c>
      <c r="E15" s="25" t="s">
        <v>20</v>
      </c>
      <c r="F15" s="25" t="s">
        <v>20</v>
      </c>
      <c r="G15" s="35">
        <f>G5*G8*G7*G13</f>
        <v>975.21406438213251</v>
      </c>
      <c r="H15" s="35">
        <f t="shared" ref="H15:U15" si="15">H5*H8*H7*H13</f>
        <v>990.87474976808699</v>
      </c>
      <c r="I15" s="35">
        <f t="shared" si="15"/>
        <v>984.96753006596828</v>
      </c>
      <c r="J15" s="35">
        <f t="shared" si="15"/>
        <v>968.21488211858946</v>
      </c>
      <c r="K15" s="35">
        <f t="shared" si="15"/>
        <v>971.37432908313724</v>
      </c>
      <c r="L15" s="35">
        <f t="shared" si="15"/>
        <v>147.11686519242025</v>
      </c>
      <c r="M15" s="35">
        <f t="shared" si="15"/>
        <v>149.38870320557555</v>
      </c>
      <c r="N15" s="35">
        <f t="shared" si="15"/>
        <v>149.78189828004585</v>
      </c>
      <c r="O15" s="35">
        <f t="shared" si="15"/>
        <v>146.89706962653449</v>
      </c>
      <c r="P15" s="35">
        <f t="shared" si="15"/>
        <v>144.85359803433818</v>
      </c>
      <c r="Q15" s="35">
        <f t="shared" si="15"/>
        <v>155.50013235050238</v>
      </c>
      <c r="R15" s="35">
        <f t="shared" si="15"/>
        <v>155.5877180237467</v>
      </c>
      <c r="S15" s="35">
        <f t="shared" si="15"/>
        <v>155.52931556098184</v>
      </c>
      <c r="T15" s="35">
        <f t="shared" si="15"/>
        <v>155.36190123422617</v>
      </c>
      <c r="U15" s="35">
        <f t="shared" si="15"/>
        <v>155.27516543812797</v>
      </c>
    </row>
    <row r="16" spans="1:27" x14ac:dyDescent="0.25">
      <c r="A16" s="57" t="s">
        <v>189</v>
      </c>
      <c r="B16" s="14" t="s">
        <v>337</v>
      </c>
      <c r="C16" s="25" t="s">
        <v>20</v>
      </c>
      <c r="D16" s="25" t="s">
        <v>20</v>
      </c>
      <c r="E16" s="25" t="s">
        <v>20</v>
      </c>
      <c r="F16" s="25" t="s">
        <v>20</v>
      </c>
      <c r="G16" s="25">
        <f>G20*G7*2^G8</f>
        <v>19.594409707037563</v>
      </c>
      <c r="H16" s="25">
        <f>H20*H7*2^H8</f>
        <v>21.222494041884637</v>
      </c>
      <c r="I16" s="25">
        <f>I20*I7*2^I8</f>
        <v>20.593067845642214</v>
      </c>
      <c r="J16" s="25">
        <f>J20*J7*2^J8</f>
        <v>18.907747924200262</v>
      </c>
      <c r="K16" s="25">
        <f>K20*K7*2^K8</f>
        <v>19.214677519131648</v>
      </c>
      <c r="L16" s="31">
        <f>G20*L7*2^L8</f>
        <v>2.7295160490598511</v>
      </c>
      <c r="M16" s="31">
        <f>H20*M7*2^M8</f>
        <v>2.8589075053218753</v>
      </c>
      <c r="N16" s="31">
        <f>I20*N7*2^N8</f>
        <v>2.8819164404808366</v>
      </c>
      <c r="O16" s="31">
        <f>K20*O7*2^O8</f>
        <v>2.7173127158210932</v>
      </c>
      <c r="P16" s="31">
        <f>K20*P7*2^P8</f>
        <v>2.6064361141963843</v>
      </c>
      <c r="Q16" s="32">
        <f>K20*Q7*2^Q8</f>
        <v>77.104607364206871</v>
      </c>
      <c r="R16" s="32">
        <f>L20*R7*2^R8</f>
        <v>77.380452697547852</v>
      </c>
      <c r="S16" s="32">
        <f>M20*S7*2^S8</f>
        <v>77.196408561558087</v>
      </c>
      <c r="T16" s="32">
        <f>N20*T7*2^T8</f>
        <v>76.671256780653579</v>
      </c>
      <c r="U16" s="32">
        <f>N20*U7*2^U8</f>
        <v>76.400586998294358</v>
      </c>
    </row>
    <row r="17" spans="1:21" x14ac:dyDescent="0.25">
      <c r="A17" s="58" t="s">
        <v>272</v>
      </c>
      <c r="B17" s="41" t="s">
        <v>339</v>
      </c>
      <c r="C17" s="2">
        <v>0.05</v>
      </c>
      <c r="D17" s="2">
        <v>0.05</v>
      </c>
      <c r="E17" s="2">
        <v>0.05</v>
      </c>
      <c r="F17" s="2">
        <v>0.05</v>
      </c>
      <c r="G17" s="25" t="s">
        <v>20</v>
      </c>
      <c r="H17" s="25" t="s">
        <v>20</v>
      </c>
      <c r="I17" s="25" t="s">
        <v>20</v>
      </c>
      <c r="J17" s="25" t="s">
        <v>20</v>
      </c>
      <c r="K17" s="25" t="s">
        <v>20</v>
      </c>
      <c r="L17" s="31" t="s">
        <v>20</v>
      </c>
      <c r="M17" s="31" t="s">
        <v>20</v>
      </c>
      <c r="N17" s="31" t="s">
        <v>20</v>
      </c>
      <c r="O17" s="31" t="s">
        <v>20</v>
      </c>
      <c r="P17" s="31" t="s">
        <v>20</v>
      </c>
      <c r="Q17" s="32" t="s">
        <v>20</v>
      </c>
      <c r="R17" s="32" t="s">
        <v>20</v>
      </c>
      <c r="S17" s="32" t="s">
        <v>20</v>
      </c>
      <c r="T17" s="32" t="s">
        <v>20</v>
      </c>
      <c r="U17" s="32" t="s">
        <v>20</v>
      </c>
    </row>
    <row r="18" spans="1:21" x14ac:dyDescent="0.25">
      <c r="A18" s="58" t="s">
        <v>273</v>
      </c>
      <c r="B18" s="40" t="s">
        <v>340</v>
      </c>
      <c r="C18" s="31">
        <f>C17*C3</f>
        <v>0.8</v>
      </c>
      <c r="D18" s="31">
        <f>D17*D3</f>
        <v>1.6</v>
      </c>
      <c r="E18" s="31">
        <f>E17*E3</f>
        <v>2.4000000000000004</v>
      </c>
      <c r="F18" s="31">
        <f>F17*F3</f>
        <v>3.2</v>
      </c>
      <c r="G18" s="31" t="s">
        <v>20</v>
      </c>
      <c r="H18" s="31" t="s">
        <v>20</v>
      </c>
      <c r="I18" s="31" t="s">
        <v>20</v>
      </c>
      <c r="J18" s="31" t="s">
        <v>20</v>
      </c>
      <c r="K18" s="31" t="s">
        <v>20</v>
      </c>
      <c r="L18" s="31" t="s">
        <v>20</v>
      </c>
      <c r="M18" s="31" t="s">
        <v>20</v>
      </c>
      <c r="N18" s="31" t="s">
        <v>20</v>
      </c>
      <c r="O18" s="31" t="s">
        <v>20</v>
      </c>
      <c r="P18" s="31" t="s">
        <v>20</v>
      </c>
      <c r="Q18" s="31" t="s">
        <v>20</v>
      </c>
      <c r="R18" s="31" t="s">
        <v>20</v>
      </c>
      <c r="S18" s="31" t="s">
        <v>20</v>
      </c>
      <c r="T18" s="31" t="s">
        <v>20</v>
      </c>
      <c r="U18" s="31" t="s">
        <v>20</v>
      </c>
    </row>
    <row r="19" spans="1:21" x14ac:dyDescent="0.25">
      <c r="A19" s="57" t="s">
        <v>411</v>
      </c>
      <c r="B19" s="33" t="s">
        <v>366</v>
      </c>
      <c r="C19" s="25" t="s">
        <v>20</v>
      </c>
      <c r="D19" s="25" t="s">
        <v>20</v>
      </c>
      <c r="E19" s="25" t="s">
        <v>20</v>
      </c>
      <c r="F19" s="25" t="s">
        <v>20</v>
      </c>
      <c r="G19" s="25">
        <f t="shared" ref="G19:U19" si="16">G16*G3</f>
        <v>313.51055531260101</v>
      </c>
      <c r="H19" s="25">
        <f t="shared" si="16"/>
        <v>509.33985700523129</v>
      </c>
      <c r="I19" s="25">
        <f t="shared" si="16"/>
        <v>658.97817106055084</v>
      </c>
      <c r="J19" s="25">
        <f t="shared" si="16"/>
        <v>907.57190036161251</v>
      </c>
      <c r="K19" s="25">
        <f t="shared" si="16"/>
        <v>1229.7393612244255</v>
      </c>
      <c r="L19" s="31">
        <f t="shared" si="16"/>
        <v>43.672256784957618</v>
      </c>
      <c r="M19" s="31">
        <f t="shared" si="16"/>
        <v>68.613780127725008</v>
      </c>
      <c r="N19" s="31">
        <f t="shared" si="16"/>
        <v>92.221326095386772</v>
      </c>
      <c r="O19" s="31">
        <f t="shared" si="16"/>
        <v>130.43101035941248</v>
      </c>
      <c r="P19" s="31">
        <f t="shared" si="16"/>
        <v>166.8119113085686</v>
      </c>
      <c r="Q19" s="32">
        <f t="shared" si="16"/>
        <v>1233.6737178273099</v>
      </c>
      <c r="R19" s="32">
        <f t="shared" si="16"/>
        <v>1857.1308647411483</v>
      </c>
      <c r="S19" s="32">
        <f t="shared" si="16"/>
        <v>2470.2850739698588</v>
      </c>
      <c r="T19" s="32">
        <f t="shared" si="16"/>
        <v>3680.2203254713718</v>
      </c>
      <c r="U19" s="32">
        <f t="shared" si="16"/>
        <v>4889.6375678908389</v>
      </c>
    </row>
    <row r="20" spans="1:21" x14ac:dyDescent="0.25">
      <c r="A20" s="57" t="s">
        <v>499</v>
      </c>
      <c r="B20" s="14" t="s">
        <v>341</v>
      </c>
      <c r="C20" s="25" t="s">
        <v>20</v>
      </c>
      <c r="D20" s="25" t="s">
        <v>20</v>
      </c>
      <c r="E20" s="25" t="s">
        <v>20</v>
      </c>
      <c r="F20" s="25" t="s">
        <v>20</v>
      </c>
      <c r="G20" s="43">
        <v>0.08</v>
      </c>
      <c r="H20" s="43">
        <v>0.08</v>
      </c>
      <c r="I20" s="43">
        <v>0.08</v>
      </c>
      <c r="J20" s="43">
        <v>0.08</v>
      </c>
      <c r="K20" s="25">
        <v>0.08</v>
      </c>
      <c r="L20" s="31">
        <f>G20</f>
        <v>0.08</v>
      </c>
      <c r="M20" s="31">
        <f>H20</f>
        <v>0.08</v>
      </c>
      <c r="N20" s="31">
        <f>I20</f>
        <v>0.08</v>
      </c>
      <c r="O20" s="31">
        <f>K20</f>
        <v>0.08</v>
      </c>
      <c r="P20" s="31">
        <f>K20</f>
        <v>0.08</v>
      </c>
      <c r="Q20" s="32">
        <f>Table5[[#This Row],[Case 1a]]</f>
        <v>0.08</v>
      </c>
      <c r="R20" s="32">
        <f>Table5[[#This Row],[Case 1a]]</f>
        <v>0.08</v>
      </c>
      <c r="S20" s="32">
        <f>Table5[[#This Row],[Case 1a]]</f>
        <v>0.08</v>
      </c>
      <c r="T20" s="32">
        <f>Table5[[#This Row],[Case 1a]]</f>
        <v>0.08</v>
      </c>
      <c r="U20" s="32">
        <f>Table5[[#This Row],[Case 1a]]</f>
        <v>0.08</v>
      </c>
    </row>
    <row r="21" spans="1:21" x14ac:dyDescent="0.25">
      <c r="A21" s="60" t="s">
        <v>501</v>
      </c>
      <c r="B21" s="14" t="s">
        <v>337</v>
      </c>
      <c r="C21" s="25" t="s">
        <v>20</v>
      </c>
      <c r="D21" s="25" t="s">
        <v>20</v>
      </c>
      <c r="E21" s="25" t="s">
        <v>20</v>
      </c>
      <c r="F21" s="25" t="s">
        <v>20</v>
      </c>
      <c r="G21" s="25">
        <v>10</v>
      </c>
      <c r="H21" s="25">
        <v>10</v>
      </c>
      <c r="I21" s="25">
        <v>10</v>
      </c>
      <c r="J21" s="25">
        <v>10</v>
      </c>
      <c r="K21" s="25">
        <v>10</v>
      </c>
      <c r="L21" s="31">
        <v>10</v>
      </c>
      <c r="M21" s="31">
        <v>10</v>
      </c>
      <c r="N21" s="31">
        <v>10</v>
      </c>
      <c r="O21" s="31">
        <v>10</v>
      </c>
      <c r="P21" s="31">
        <v>10</v>
      </c>
      <c r="Q21" s="32">
        <v>10</v>
      </c>
      <c r="R21" s="32">
        <v>10</v>
      </c>
      <c r="S21" s="32">
        <v>10</v>
      </c>
      <c r="T21" s="32">
        <v>10</v>
      </c>
      <c r="U21" s="32">
        <v>10</v>
      </c>
    </row>
    <row r="22" spans="1:21" x14ac:dyDescent="0.25">
      <c r="A22" s="60" t="s">
        <v>524</v>
      </c>
      <c r="B22" s="14" t="s">
        <v>339</v>
      </c>
      <c r="C22" s="148">
        <v>0</v>
      </c>
      <c r="D22" s="148">
        <v>0</v>
      </c>
      <c r="E22" s="148">
        <v>0</v>
      </c>
      <c r="F22" s="148">
        <v>0</v>
      </c>
      <c r="G22" s="25" t="s">
        <v>20</v>
      </c>
      <c r="H22" s="25" t="s">
        <v>20</v>
      </c>
      <c r="I22" s="25" t="s">
        <v>20</v>
      </c>
      <c r="J22" s="25" t="s">
        <v>20</v>
      </c>
      <c r="K22" s="25" t="s">
        <v>20</v>
      </c>
      <c r="L22" s="31" t="s">
        <v>20</v>
      </c>
      <c r="M22" s="31" t="s">
        <v>20</v>
      </c>
      <c r="N22" s="31" t="s">
        <v>20</v>
      </c>
      <c r="O22" s="31" t="s">
        <v>20</v>
      </c>
      <c r="P22" s="31" t="s">
        <v>20</v>
      </c>
      <c r="Q22" s="32" t="s">
        <v>20</v>
      </c>
      <c r="R22" s="32" t="s">
        <v>20</v>
      </c>
      <c r="S22" s="32" t="s">
        <v>20</v>
      </c>
      <c r="T22" s="32" t="s">
        <v>20</v>
      </c>
      <c r="U22" s="32" t="s">
        <v>20</v>
      </c>
    </row>
    <row r="23" spans="1:21" x14ac:dyDescent="0.25">
      <c r="A23" s="60" t="s">
        <v>412</v>
      </c>
      <c r="B23" s="14" t="s">
        <v>366</v>
      </c>
      <c r="C23" s="25" t="s">
        <v>20</v>
      </c>
      <c r="D23" s="25" t="s">
        <v>20</v>
      </c>
      <c r="E23" s="25" t="s">
        <v>20</v>
      </c>
      <c r="F23" s="25" t="s">
        <v>20</v>
      </c>
      <c r="G23" s="25">
        <f t="shared" ref="G23:U23" si="17">G21*G3</f>
        <v>160</v>
      </c>
      <c r="H23" s="25">
        <f t="shared" si="17"/>
        <v>240</v>
      </c>
      <c r="I23" s="25">
        <f t="shared" si="17"/>
        <v>320</v>
      </c>
      <c r="J23" s="25">
        <f t="shared" si="17"/>
        <v>480</v>
      </c>
      <c r="K23" s="25">
        <f t="shared" si="17"/>
        <v>640</v>
      </c>
      <c r="L23" s="31">
        <f t="shared" si="17"/>
        <v>160</v>
      </c>
      <c r="M23" s="31">
        <f t="shared" si="17"/>
        <v>240</v>
      </c>
      <c r="N23" s="31">
        <f t="shared" si="17"/>
        <v>320</v>
      </c>
      <c r="O23" s="31">
        <f t="shared" si="17"/>
        <v>480</v>
      </c>
      <c r="P23" s="31">
        <f t="shared" si="17"/>
        <v>640</v>
      </c>
      <c r="Q23" s="32">
        <f t="shared" si="17"/>
        <v>160</v>
      </c>
      <c r="R23" s="32">
        <f t="shared" si="17"/>
        <v>240</v>
      </c>
      <c r="S23" s="32">
        <f t="shared" si="17"/>
        <v>320</v>
      </c>
      <c r="T23" s="32">
        <f t="shared" si="17"/>
        <v>480</v>
      </c>
      <c r="U23" s="32">
        <f t="shared" si="17"/>
        <v>640</v>
      </c>
    </row>
    <row r="24" spans="1:21" x14ac:dyDescent="0.25">
      <c r="A24" s="60" t="s">
        <v>503</v>
      </c>
      <c r="B24" s="14" t="s">
        <v>340</v>
      </c>
      <c r="C24" s="25">
        <f>C22*C3</f>
        <v>0</v>
      </c>
      <c r="D24" s="25">
        <f>D22*D3</f>
        <v>0</v>
      </c>
      <c r="E24" s="25">
        <f>E22*E3</f>
        <v>0</v>
      </c>
      <c r="F24" s="25">
        <f>F22*F3</f>
        <v>0</v>
      </c>
      <c r="G24" s="25" t="s">
        <v>20</v>
      </c>
      <c r="H24" s="25" t="s">
        <v>20</v>
      </c>
      <c r="I24" s="25" t="s">
        <v>20</v>
      </c>
      <c r="J24" s="25" t="s">
        <v>20</v>
      </c>
      <c r="K24" s="25" t="s">
        <v>20</v>
      </c>
      <c r="L24" s="31" t="s">
        <v>20</v>
      </c>
      <c r="M24" s="31" t="s">
        <v>20</v>
      </c>
      <c r="N24" s="31" t="s">
        <v>20</v>
      </c>
      <c r="O24" s="31" t="s">
        <v>20</v>
      </c>
      <c r="P24" s="31" t="s">
        <v>20</v>
      </c>
      <c r="Q24" s="32" t="s">
        <v>20</v>
      </c>
      <c r="R24" s="32" t="s">
        <v>20</v>
      </c>
      <c r="S24" s="32" t="s">
        <v>20</v>
      </c>
      <c r="T24" s="32" t="s">
        <v>20</v>
      </c>
      <c r="U24" s="32" t="s">
        <v>20</v>
      </c>
    </row>
    <row r="25" spans="1:21" x14ac:dyDescent="0.25">
      <c r="A25" s="66" t="s">
        <v>416</v>
      </c>
      <c r="B25" s="14" t="s">
        <v>337</v>
      </c>
      <c r="C25" s="25" t="s">
        <v>20</v>
      </c>
      <c r="D25" s="25" t="s">
        <v>20</v>
      </c>
      <c r="E25" s="25" t="s">
        <v>20</v>
      </c>
      <c r="F25" s="25" t="s">
        <v>20</v>
      </c>
      <c r="G25" s="25">
        <v>60</v>
      </c>
      <c r="H25" s="25">
        <v>60</v>
      </c>
      <c r="I25" s="25">
        <v>60</v>
      </c>
      <c r="J25" s="25">
        <v>60</v>
      </c>
      <c r="K25" s="25">
        <v>60</v>
      </c>
      <c r="L25" s="25">
        <v>60</v>
      </c>
      <c r="M25" s="25">
        <v>60</v>
      </c>
      <c r="N25" s="25">
        <v>60</v>
      </c>
      <c r="O25" s="25">
        <v>60</v>
      </c>
      <c r="P25" s="25">
        <v>60</v>
      </c>
      <c r="Q25" s="25">
        <v>60</v>
      </c>
      <c r="R25" s="25">
        <v>60</v>
      </c>
      <c r="S25" s="25">
        <v>60</v>
      </c>
      <c r="T25" s="25">
        <v>60</v>
      </c>
      <c r="U25" s="25">
        <v>60</v>
      </c>
    </row>
    <row r="26" spans="1:21" x14ac:dyDescent="0.25">
      <c r="A26" s="66" t="s">
        <v>417</v>
      </c>
      <c r="B26" s="33" t="s">
        <v>339</v>
      </c>
      <c r="C26" s="145">
        <v>0.18</v>
      </c>
      <c r="D26" s="145">
        <v>0.18</v>
      </c>
      <c r="E26" s="145">
        <v>0.18</v>
      </c>
      <c r="F26" s="145">
        <v>0.18</v>
      </c>
      <c r="G26" s="25" t="s">
        <v>20</v>
      </c>
      <c r="H26" s="25" t="s">
        <v>20</v>
      </c>
      <c r="I26" s="25" t="s">
        <v>20</v>
      </c>
      <c r="J26" s="25" t="s">
        <v>20</v>
      </c>
      <c r="K26" s="25" t="s">
        <v>20</v>
      </c>
      <c r="L26" s="31" t="s">
        <v>20</v>
      </c>
      <c r="M26" s="31" t="s">
        <v>20</v>
      </c>
      <c r="N26" s="31" t="s">
        <v>20</v>
      </c>
      <c r="O26" s="31" t="s">
        <v>20</v>
      </c>
      <c r="P26" s="31" t="s">
        <v>20</v>
      </c>
      <c r="Q26" s="32" t="s">
        <v>20</v>
      </c>
      <c r="R26" s="32" t="s">
        <v>20</v>
      </c>
      <c r="S26" s="32" t="s">
        <v>20</v>
      </c>
      <c r="T26" s="32" t="s">
        <v>20</v>
      </c>
      <c r="U26" s="32" t="s">
        <v>20</v>
      </c>
    </row>
    <row r="27" spans="1:21" x14ac:dyDescent="0.25">
      <c r="A27" s="66" t="s">
        <v>468</v>
      </c>
      <c r="B27" s="33" t="s">
        <v>366</v>
      </c>
      <c r="C27" s="25" t="s">
        <v>20</v>
      </c>
      <c r="D27" s="25" t="s">
        <v>20</v>
      </c>
      <c r="E27" s="25" t="s">
        <v>20</v>
      </c>
      <c r="F27" s="25" t="s">
        <v>20</v>
      </c>
      <c r="G27" s="25">
        <f t="shared" ref="G27:U27" si="18">G25*G3</f>
        <v>960</v>
      </c>
      <c r="H27" s="25">
        <f t="shared" si="18"/>
        <v>1440</v>
      </c>
      <c r="I27" s="25">
        <f t="shared" si="18"/>
        <v>1920</v>
      </c>
      <c r="J27" s="25">
        <f t="shared" si="18"/>
        <v>2880</v>
      </c>
      <c r="K27" s="25">
        <f t="shared" si="18"/>
        <v>3840</v>
      </c>
      <c r="L27" s="31">
        <f t="shared" si="18"/>
        <v>960</v>
      </c>
      <c r="M27" s="31">
        <f t="shared" si="18"/>
        <v>1440</v>
      </c>
      <c r="N27" s="31">
        <f t="shared" si="18"/>
        <v>1920</v>
      </c>
      <c r="O27" s="31">
        <f t="shared" si="18"/>
        <v>2880</v>
      </c>
      <c r="P27" s="31">
        <f t="shared" si="18"/>
        <v>3840</v>
      </c>
      <c r="Q27" s="32">
        <f t="shared" si="18"/>
        <v>960</v>
      </c>
      <c r="R27" s="32">
        <f t="shared" si="18"/>
        <v>1440</v>
      </c>
      <c r="S27" s="32">
        <f t="shared" si="18"/>
        <v>1920</v>
      </c>
      <c r="T27" s="32">
        <f t="shared" si="18"/>
        <v>2880</v>
      </c>
      <c r="U27" s="32">
        <f t="shared" si="18"/>
        <v>3840</v>
      </c>
    </row>
    <row r="28" spans="1:21" x14ac:dyDescent="0.25">
      <c r="A28" s="66" t="s">
        <v>418</v>
      </c>
      <c r="B28" s="33" t="s">
        <v>340</v>
      </c>
      <c r="C28" s="25">
        <f>C26*C3</f>
        <v>2.88</v>
      </c>
      <c r="D28" s="25">
        <f>D26*D3</f>
        <v>5.76</v>
      </c>
      <c r="E28" s="25">
        <f>E26*E3</f>
        <v>8.64</v>
      </c>
      <c r="F28" s="25">
        <f>F26*F3</f>
        <v>11.52</v>
      </c>
      <c r="G28" s="25" t="s">
        <v>20</v>
      </c>
      <c r="H28" s="25" t="s">
        <v>20</v>
      </c>
      <c r="I28" s="25" t="s">
        <v>20</v>
      </c>
      <c r="J28" s="25" t="s">
        <v>20</v>
      </c>
      <c r="K28" s="25" t="s">
        <v>20</v>
      </c>
      <c r="L28" s="31" t="s">
        <v>20</v>
      </c>
      <c r="M28" s="31" t="s">
        <v>20</v>
      </c>
      <c r="N28" s="31" t="s">
        <v>20</v>
      </c>
      <c r="O28" s="31" t="s">
        <v>20</v>
      </c>
      <c r="P28" s="31" t="s">
        <v>20</v>
      </c>
      <c r="Q28" s="32" t="s">
        <v>20</v>
      </c>
      <c r="R28" s="32" t="s">
        <v>20</v>
      </c>
      <c r="S28" s="32" t="s">
        <v>20</v>
      </c>
      <c r="T28" s="32" t="s">
        <v>20</v>
      </c>
      <c r="U28" s="32" t="s">
        <v>20</v>
      </c>
    </row>
    <row r="29" spans="1:21" x14ac:dyDescent="0.25">
      <c r="A29" s="83" t="s">
        <v>419</v>
      </c>
      <c r="B29" s="33" t="s">
        <v>339</v>
      </c>
      <c r="C29" s="25">
        <v>0</v>
      </c>
      <c r="D29" s="25">
        <v>0</v>
      </c>
      <c r="E29" s="25">
        <v>0</v>
      </c>
      <c r="F29" s="25">
        <v>0</v>
      </c>
      <c r="G29" s="25" t="s">
        <v>20</v>
      </c>
      <c r="H29" s="25" t="s">
        <v>20</v>
      </c>
      <c r="I29" s="25" t="s">
        <v>20</v>
      </c>
      <c r="J29" s="25" t="s">
        <v>20</v>
      </c>
      <c r="K29" s="25" t="s">
        <v>20</v>
      </c>
      <c r="L29" s="31" t="s">
        <v>20</v>
      </c>
      <c r="M29" s="31" t="s">
        <v>20</v>
      </c>
      <c r="N29" s="31" t="s">
        <v>20</v>
      </c>
      <c r="O29" s="31" t="s">
        <v>20</v>
      </c>
      <c r="P29" s="31" t="s">
        <v>20</v>
      </c>
      <c r="Q29" s="32" t="s">
        <v>20</v>
      </c>
      <c r="R29" s="32" t="s">
        <v>20</v>
      </c>
      <c r="S29" s="32" t="s">
        <v>20</v>
      </c>
      <c r="T29" s="32" t="s">
        <v>20</v>
      </c>
      <c r="U29" s="32" t="s">
        <v>20</v>
      </c>
    </row>
    <row r="30" spans="1:21" x14ac:dyDescent="0.25">
      <c r="A30" s="56" t="s">
        <v>101</v>
      </c>
      <c r="B30" s="14" t="s">
        <v>337</v>
      </c>
      <c r="C30" s="25" t="s">
        <v>20</v>
      </c>
      <c r="D30" s="25" t="s">
        <v>20</v>
      </c>
      <c r="E30" s="25" t="s">
        <v>20</v>
      </c>
      <c r="F30" s="25" t="s">
        <v>20</v>
      </c>
      <c r="G30" s="25">
        <v>10</v>
      </c>
      <c r="H30" s="25">
        <v>10</v>
      </c>
      <c r="I30" s="25">
        <v>10</v>
      </c>
      <c r="J30" s="25">
        <v>10</v>
      </c>
      <c r="K30" s="25">
        <v>10</v>
      </c>
      <c r="L30" s="31">
        <v>10</v>
      </c>
      <c r="M30" s="31">
        <v>10</v>
      </c>
      <c r="N30" s="31">
        <v>10</v>
      </c>
      <c r="O30" s="31">
        <v>10</v>
      </c>
      <c r="P30" s="31">
        <v>10</v>
      </c>
      <c r="Q30" s="32">
        <v>10</v>
      </c>
      <c r="R30" s="32">
        <v>10</v>
      </c>
      <c r="S30" s="32">
        <v>10</v>
      </c>
      <c r="T30" s="32">
        <v>10</v>
      </c>
      <c r="U30" s="32">
        <v>10</v>
      </c>
    </row>
    <row r="31" spans="1:21" x14ac:dyDescent="0.25">
      <c r="A31" s="56" t="s">
        <v>314</v>
      </c>
      <c r="B31" s="14" t="s">
        <v>337</v>
      </c>
      <c r="C31" s="25" t="s">
        <v>20</v>
      </c>
      <c r="D31" s="25" t="s">
        <v>20</v>
      </c>
      <c r="E31" s="25" t="s">
        <v>20</v>
      </c>
      <c r="F31" s="25" t="s">
        <v>20</v>
      </c>
      <c r="G31" s="35">
        <v>30</v>
      </c>
      <c r="H31" s="35">
        <v>30</v>
      </c>
      <c r="I31" s="35">
        <v>30</v>
      </c>
      <c r="J31" s="35">
        <v>30</v>
      </c>
      <c r="K31" s="35">
        <v>30</v>
      </c>
      <c r="L31" s="31">
        <f>Table5[[#This Row],[Case 1a]]</f>
        <v>30</v>
      </c>
      <c r="M31" s="31">
        <f>Table5[[#This Row],[Case 1a]]</f>
        <v>30</v>
      </c>
      <c r="N31" s="31">
        <f>Table5[[#This Row],[Case 1a]]</f>
        <v>30</v>
      </c>
      <c r="O31" s="31">
        <f>Table5[[#This Row],[Case 1a]]</f>
        <v>30</v>
      </c>
      <c r="P31" s="31">
        <f>Table5[[#This Row],[Case 1a]]</f>
        <v>30</v>
      </c>
      <c r="Q31" s="32">
        <f>Table5[[#This Row],[Case 1a]]</f>
        <v>30</v>
      </c>
      <c r="R31" s="32">
        <f>Table5[[#This Row],[Case 1a]]</f>
        <v>30</v>
      </c>
      <c r="S31" s="32">
        <f>Table5[[#This Row],[Case 1a]]</f>
        <v>30</v>
      </c>
      <c r="T31" s="32">
        <f>Table5[[#This Row],[Case 1a]]</f>
        <v>30</v>
      </c>
      <c r="U31" s="32">
        <f>Table5[[#This Row],[Case 1a]]</f>
        <v>30</v>
      </c>
    </row>
    <row r="32" spans="1:21" x14ac:dyDescent="0.25">
      <c r="A32" s="63" t="s">
        <v>275</v>
      </c>
      <c r="B32" s="41" t="s">
        <v>339</v>
      </c>
      <c r="C32" s="2">
        <v>0.05</v>
      </c>
      <c r="D32" s="2">
        <v>0.05</v>
      </c>
      <c r="E32" s="2">
        <v>0.05</v>
      </c>
      <c r="F32" s="2">
        <v>0.05</v>
      </c>
      <c r="G32" s="25" t="s">
        <v>20</v>
      </c>
      <c r="H32" s="25" t="s">
        <v>20</v>
      </c>
      <c r="I32" s="25" t="s">
        <v>20</v>
      </c>
      <c r="J32" s="25" t="s">
        <v>20</v>
      </c>
      <c r="K32" s="25" t="s">
        <v>20</v>
      </c>
      <c r="L32" s="31" t="s">
        <v>20</v>
      </c>
      <c r="M32" s="31" t="s">
        <v>20</v>
      </c>
      <c r="N32" s="31" t="s">
        <v>20</v>
      </c>
      <c r="O32" s="31" t="s">
        <v>20</v>
      </c>
      <c r="P32" s="31" t="s">
        <v>20</v>
      </c>
      <c r="Q32" s="32" t="s">
        <v>20</v>
      </c>
      <c r="R32" s="32" t="s">
        <v>20</v>
      </c>
      <c r="S32" s="32" t="s">
        <v>20</v>
      </c>
      <c r="T32" s="32" t="s">
        <v>20</v>
      </c>
      <c r="U32" s="32" t="s">
        <v>20</v>
      </c>
    </row>
    <row r="33" spans="1:21" x14ac:dyDescent="0.25">
      <c r="A33" s="56" t="s">
        <v>276</v>
      </c>
      <c r="B33" s="41" t="s">
        <v>339</v>
      </c>
      <c r="C33" s="149">
        <v>0</v>
      </c>
      <c r="D33" s="149">
        <v>0</v>
      </c>
      <c r="E33" s="149">
        <v>0</v>
      </c>
      <c r="F33" s="149">
        <v>0</v>
      </c>
      <c r="G33" s="25" t="s">
        <v>20</v>
      </c>
      <c r="H33" s="25" t="s">
        <v>20</v>
      </c>
      <c r="I33" s="25" t="s">
        <v>20</v>
      </c>
      <c r="J33" s="25" t="s">
        <v>20</v>
      </c>
      <c r="K33" s="25" t="s">
        <v>20</v>
      </c>
      <c r="L33" s="31" t="s">
        <v>20</v>
      </c>
      <c r="M33" s="31" t="s">
        <v>20</v>
      </c>
      <c r="N33" s="31" t="s">
        <v>20</v>
      </c>
      <c r="O33" s="31" t="s">
        <v>20</v>
      </c>
      <c r="P33" s="31" t="s">
        <v>20</v>
      </c>
      <c r="Q33" s="32" t="s">
        <v>20</v>
      </c>
      <c r="R33" s="32" t="s">
        <v>20</v>
      </c>
      <c r="S33" s="32" t="s">
        <v>20</v>
      </c>
      <c r="T33" s="32" t="s">
        <v>20</v>
      </c>
      <c r="U33" s="32" t="s">
        <v>20</v>
      </c>
    </row>
    <row r="34" spans="1:21" x14ac:dyDescent="0.25">
      <c r="A34" s="63" t="s">
        <v>277</v>
      </c>
      <c r="B34" s="41" t="s">
        <v>339</v>
      </c>
      <c r="C34" s="2">
        <v>0.08</v>
      </c>
      <c r="D34" s="2">
        <v>0.08</v>
      </c>
      <c r="E34" s="2">
        <v>0.08</v>
      </c>
      <c r="F34" s="2">
        <v>0.08</v>
      </c>
      <c r="G34" s="25" t="s">
        <v>20</v>
      </c>
      <c r="H34" s="25" t="s">
        <v>20</v>
      </c>
      <c r="I34" s="25" t="s">
        <v>20</v>
      </c>
      <c r="J34" s="25" t="s">
        <v>20</v>
      </c>
      <c r="K34" s="25" t="s">
        <v>20</v>
      </c>
      <c r="L34" s="31" t="s">
        <v>20</v>
      </c>
      <c r="M34" s="31" t="s">
        <v>20</v>
      </c>
      <c r="N34" s="31" t="s">
        <v>20</v>
      </c>
      <c r="O34" s="31" t="s">
        <v>20</v>
      </c>
      <c r="P34" s="31" t="s">
        <v>20</v>
      </c>
      <c r="Q34" s="32" t="s">
        <v>20</v>
      </c>
      <c r="R34" s="32" t="s">
        <v>20</v>
      </c>
      <c r="S34" s="32" t="s">
        <v>20</v>
      </c>
      <c r="T34" s="32" t="s">
        <v>20</v>
      </c>
      <c r="U34" s="32" t="s">
        <v>20</v>
      </c>
    </row>
    <row r="35" spans="1:21" x14ac:dyDescent="0.25">
      <c r="A35" s="63" t="s">
        <v>278</v>
      </c>
      <c r="B35" s="41" t="s">
        <v>339</v>
      </c>
      <c r="C35" s="2">
        <v>0.04</v>
      </c>
      <c r="D35" s="2">
        <v>0.04</v>
      </c>
      <c r="E35" s="2">
        <v>0.04</v>
      </c>
      <c r="F35" s="2">
        <v>0.04</v>
      </c>
      <c r="G35" s="25" t="s">
        <v>20</v>
      </c>
      <c r="H35" s="25" t="s">
        <v>20</v>
      </c>
      <c r="I35" s="25" t="s">
        <v>20</v>
      </c>
      <c r="J35" s="25" t="s">
        <v>20</v>
      </c>
      <c r="K35" s="25" t="s">
        <v>20</v>
      </c>
      <c r="L35" s="31" t="s">
        <v>20</v>
      </c>
      <c r="M35" s="31" t="s">
        <v>20</v>
      </c>
      <c r="N35" s="31" t="s">
        <v>20</v>
      </c>
      <c r="O35" s="31" t="s">
        <v>20</v>
      </c>
      <c r="P35" s="31" t="s">
        <v>20</v>
      </c>
      <c r="Q35" s="32" t="s">
        <v>20</v>
      </c>
      <c r="R35" s="32" t="s">
        <v>20</v>
      </c>
      <c r="S35" s="32" t="s">
        <v>20</v>
      </c>
      <c r="T35" s="32" t="s">
        <v>20</v>
      </c>
      <c r="U35" s="32" t="s">
        <v>20</v>
      </c>
    </row>
    <row r="36" spans="1:21" x14ac:dyDescent="0.25">
      <c r="A36" s="54" t="s">
        <v>265</v>
      </c>
      <c r="B36" s="14" t="s">
        <v>337</v>
      </c>
      <c r="C36" s="31" t="s">
        <v>20</v>
      </c>
      <c r="D36" s="31" t="s">
        <v>20</v>
      </c>
      <c r="E36" s="31" t="s">
        <v>20</v>
      </c>
      <c r="F36" s="31" t="s">
        <v>20</v>
      </c>
      <c r="G36" s="31">
        <f>G30+G31</f>
        <v>40</v>
      </c>
      <c r="H36" s="31">
        <f>H30+H31</f>
        <v>40</v>
      </c>
      <c r="I36" s="31">
        <f>I30+I31</f>
        <v>40</v>
      </c>
      <c r="J36" s="31">
        <f>J30+J31</f>
        <v>40</v>
      </c>
      <c r="K36" s="31">
        <f>K30+K31</f>
        <v>40</v>
      </c>
      <c r="L36" s="31">
        <f>G30+G31</f>
        <v>40</v>
      </c>
      <c r="M36" s="31">
        <f>H30+H31</f>
        <v>40</v>
      </c>
      <c r="N36" s="31">
        <f>I30+I31</f>
        <v>40</v>
      </c>
      <c r="O36" s="31">
        <f>K30+K31</f>
        <v>40</v>
      </c>
      <c r="P36" s="31">
        <f>K30+K31</f>
        <v>40</v>
      </c>
      <c r="Q36" s="32">
        <f>K30+K31</f>
        <v>40</v>
      </c>
      <c r="R36" s="32">
        <f>L30+L31</f>
        <v>40</v>
      </c>
      <c r="S36" s="32">
        <f>M30+M31</f>
        <v>40</v>
      </c>
      <c r="T36" s="32">
        <f>N30+N31</f>
        <v>40</v>
      </c>
      <c r="U36" s="32">
        <f>N30+N31</f>
        <v>40</v>
      </c>
    </row>
    <row r="37" spans="1:21" x14ac:dyDescent="0.25">
      <c r="A37" s="54" t="s">
        <v>266</v>
      </c>
      <c r="B37" s="14" t="s">
        <v>337</v>
      </c>
      <c r="C37" s="31" t="s">
        <v>20</v>
      </c>
      <c r="D37" s="31" t="s">
        <v>20</v>
      </c>
      <c r="E37" s="31" t="s">
        <v>20</v>
      </c>
      <c r="F37" s="31" t="s">
        <v>20</v>
      </c>
      <c r="G37" s="31">
        <f t="shared" ref="G37:U37" si="19">G36*G2</f>
        <v>10240</v>
      </c>
      <c r="H37" s="31">
        <f t="shared" si="19"/>
        <v>15360</v>
      </c>
      <c r="I37" s="31">
        <f t="shared" si="19"/>
        <v>20480</v>
      </c>
      <c r="J37" s="31">
        <f t="shared" si="19"/>
        <v>30720</v>
      </c>
      <c r="K37" s="31">
        <f t="shared" si="19"/>
        <v>40960</v>
      </c>
      <c r="L37" s="31">
        <f t="shared" si="19"/>
        <v>10240</v>
      </c>
      <c r="M37" s="31">
        <f t="shared" si="19"/>
        <v>15360</v>
      </c>
      <c r="N37" s="31">
        <f t="shared" si="19"/>
        <v>20480</v>
      </c>
      <c r="O37" s="31">
        <f t="shared" si="19"/>
        <v>30720</v>
      </c>
      <c r="P37" s="31">
        <f t="shared" si="19"/>
        <v>40960</v>
      </c>
      <c r="Q37" s="32">
        <f t="shared" si="19"/>
        <v>10240</v>
      </c>
      <c r="R37" s="32">
        <f t="shared" si="19"/>
        <v>15360</v>
      </c>
      <c r="S37" s="32">
        <f t="shared" si="19"/>
        <v>20480</v>
      </c>
      <c r="T37" s="32">
        <f t="shared" si="19"/>
        <v>30720</v>
      </c>
      <c r="U37" s="32">
        <f t="shared" si="19"/>
        <v>40960</v>
      </c>
    </row>
    <row r="38" spans="1:21" x14ac:dyDescent="0.25">
      <c r="A38" s="54" t="s">
        <v>274</v>
      </c>
      <c r="B38" s="40" t="s">
        <v>340</v>
      </c>
      <c r="C38" s="31">
        <f>C34*C2</f>
        <v>20.48</v>
      </c>
      <c r="D38" s="31">
        <f>D34*D2</f>
        <v>40.96</v>
      </c>
      <c r="E38" s="31">
        <f>E34*E2</f>
        <v>61.44</v>
      </c>
      <c r="F38" s="31">
        <f>F34*F2</f>
        <v>81.92</v>
      </c>
      <c r="G38" s="31" t="s">
        <v>20</v>
      </c>
      <c r="H38" s="31" t="s">
        <v>20</v>
      </c>
      <c r="I38" s="31" t="s">
        <v>20</v>
      </c>
      <c r="J38" s="31" t="s">
        <v>20</v>
      </c>
      <c r="K38" s="31" t="s">
        <v>20</v>
      </c>
      <c r="L38" s="31" t="s">
        <v>20</v>
      </c>
      <c r="M38" s="31" t="s">
        <v>20</v>
      </c>
      <c r="N38" s="31" t="s">
        <v>20</v>
      </c>
      <c r="O38" s="31" t="s">
        <v>20</v>
      </c>
      <c r="P38" s="31" t="s">
        <v>20</v>
      </c>
      <c r="Q38" s="31" t="s">
        <v>20</v>
      </c>
      <c r="R38" s="31" t="s">
        <v>20</v>
      </c>
      <c r="S38" s="31" t="s">
        <v>20</v>
      </c>
      <c r="T38" s="31" t="s">
        <v>20</v>
      </c>
      <c r="U38" s="31" t="s">
        <v>20</v>
      </c>
    </row>
    <row r="39" spans="1:21" x14ac:dyDescent="0.25">
      <c r="A39" s="54" t="s">
        <v>280</v>
      </c>
      <c r="B39" s="40" t="s">
        <v>330</v>
      </c>
      <c r="C39" s="31">
        <f t="shared" ref="C39:U39" si="20">C2-1</f>
        <v>255</v>
      </c>
      <c r="D39" s="31">
        <f t="shared" si="20"/>
        <v>511</v>
      </c>
      <c r="E39" s="31">
        <f t="shared" si="20"/>
        <v>767</v>
      </c>
      <c r="F39" s="31">
        <f t="shared" si="20"/>
        <v>1023</v>
      </c>
      <c r="G39" s="31">
        <f t="shared" si="20"/>
        <v>255</v>
      </c>
      <c r="H39" s="31">
        <f t="shared" si="20"/>
        <v>383</v>
      </c>
      <c r="I39" s="31">
        <f t="shared" si="20"/>
        <v>511</v>
      </c>
      <c r="J39" s="31">
        <f t="shared" si="20"/>
        <v>767</v>
      </c>
      <c r="K39" s="31">
        <f t="shared" si="20"/>
        <v>1023</v>
      </c>
      <c r="L39" s="31">
        <f t="shared" si="20"/>
        <v>255</v>
      </c>
      <c r="M39" s="31">
        <f t="shared" si="20"/>
        <v>383</v>
      </c>
      <c r="N39" s="31">
        <f t="shared" si="20"/>
        <v>511</v>
      </c>
      <c r="O39" s="31">
        <f t="shared" si="20"/>
        <v>767</v>
      </c>
      <c r="P39" s="31">
        <f t="shared" si="20"/>
        <v>1023</v>
      </c>
      <c r="Q39" s="32">
        <f t="shared" si="20"/>
        <v>255</v>
      </c>
      <c r="R39" s="32">
        <f t="shared" si="20"/>
        <v>383</v>
      </c>
      <c r="S39" s="32">
        <f t="shared" si="20"/>
        <v>511</v>
      </c>
      <c r="T39" s="32">
        <f t="shared" si="20"/>
        <v>767</v>
      </c>
      <c r="U39" s="32">
        <f t="shared" si="20"/>
        <v>1023</v>
      </c>
    </row>
    <row r="40" spans="1:21" x14ac:dyDescent="0.25">
      <c r="A40" s="54" t="s">
        <v>485</v>
      </c>
      <c r="B40" s="40" t="s">
        <v>340</v>
      </c>
      <c r="C40" s="31">
        <f>C35*C39</f>
        <v>10.200000000000001</v>
      </c>
      <c r="D40" s="31">
        <f>D35*D39</f>
        <v>20.440000000000001</v>
      </c>
      <c r="E40" s="31">
        <f>E35*E39</f>
        <v>30.68</v>
      </c>
      <c r="F40" s="31">
        <f>F35*F39</f>
        <v>40.92</v>
      </c>
      <c r="G40" s="31" t="s">
        <v>20</v>
      </c>
      <c r="H40" s="31" t="s">
        <v>20</v>
      </c>
      <c r="I40" s="31" t="s">
        <v>20</v>
      </c>
      <c r="J40" s="31" t="s">
        <v>20</v>
      </c>
      <c r="K40" s="31" t="s">
        <v>20</v>
      </c>
      <c r="L40" s="31" t="s">
        <v>20</v>
      </c>
      <c r="M40" s="31" t="s">
        <v>20</v>
      </c>
      <c r="N40" s="31" t="s">
        <v>20</v>
      </c>
      <c r="O40" s="31" t="s">
        <v>20</v>
      </c>
      <c r="P40" s="31" t="s">
        <v>20</v>
      </c>
      <c r="Q40" s="32" t="s">
        <v>20</v>
      </c>
      <c r="R40" s="32" t="s">
        <v>20</v>
      </c>
      <c r="S40" s="32" t="s">
        <v>20</v>
      </c>
      <c r="T40" s="32" t="s">
        <v>20</v>
      </c>
      <c r="U40" s="32" t="s">
        <v>20</v>
      </c>
    </row>
    <row r="41" spans="1:21" x14ac:dyDescent="0.25">
      <c r="A41" s="56" t="s">
        <v>469</v>
      </c>
      <c r="B41" s="33" t="s">
        <v>366</v>
      </c>
      <c r="C41" s="25" t="s">
        <v>20</v>
      </c>
      <c r="D41" s="25" t="s">
        <v>20</v>
      </c>
      <c r="E41" s="25" t="s">
        <v>20</v>
      </c>
      <c r="F41" s="25" t="s">
        <v>20</v>
      </c>
      <c r="G41" s="25">
        <f t="shared" ref="G41:U41" si="21">G30*G2</f>
        <v>2560</v>
      </c>
      <c r="H41" s="25">
        <f t="shared" si="21"/>
        <v>3840</v>
      </c>
      <c r="I41" s="25">
        <f t="shared" si="21"/>
        <v>5120</v>
      </c>
      <c r="J41" s="25">
        <f t="shared" si="21"/>
        <v>7680</v>
      </c>
      <c r="K41" s="25">
        <f t="shared" si="21"/>
        <v>10240</v>
      </c>
      <c r="L41" s="31">
        <f t="shared" si="21"/>
        <v>2560</v>
      </c>
      <c r="M41" s="31">
        <f t="shared" si="21"/>
        <v>3840</v>
      </c>
      <c r="N41" s="31">
        <f t="shared" si="21"/>
        <v>5120</v>
      </c>
      <c r="O41" s="31">
        <f t="shared" si="21"/>
        <v>7680</v>
      </c>
      <c r="P41" s="31">
        <f t="shared" si="21"/>
        <v>10240</v>
      </c>
      <c r="Q41" s="32">
        <f t="shared" si="21"/>
        <v>2560</v>
      </c>
      <c r="R41" s="32">
        <f t="shared" si="21"/>
        <v>3840</v>
      </c>
      <c r="S41" s="32">
        <f t="shared" si="21"/>
        <v>5120</v>
      </c>
      <c r="T41" s="32">
        <f t="shared" si="21"/>
        <v>7680</v>
      </c>
      <c r="U41" s="32">
        <f t="shared" si="21"/>
        <v>10240</v>
      </c>
    </row>
    <row r="42" spans="1:21" x14ac:dyDescent="0.25">
      <c r="A42" s="64" t="s">
        <v>369</v>
      </c>
      <c r="B42" s="14" t="s">
        <v>337</v>
      </c>
      <c r="C42" s="25" t="s">
        <v>20</v>
      </c>
      <c r="D42" s="25" t="s">
        <v>20</v>
      </c>
      <c r="E42" s="25" t="s">
        <v>20</v>
      </c>
      <c r="F42" s="25" t="s">
        <v>20</v>
      </c>
      <c r="G42" s="25">
        <v>40</v>
      </c>
      <c r="H42" s="25">
        <v>40</v>
      </c>
      <c r="I42" s="25">
        <v>40</v>
      </c>
      <c r="J42" s="25">
        <v>40</v>
      </c>
      <c r="K42" s="25">
        <v>40</v>
      </c>
      <c r="L42" s="31">
        <f>Table5[[#This Row],[Case 1a]]</f>
        <v>40</v>
      </c>
      <c r="M42" s="31">
        <f>Table5[[#This Row],[Case 1a]]</f>
        <v>40</v>
      </c>
      <c r="N42" s="31">
        <f>Table5[[#This Row],[Case 1a]]</f>
        <v>40</v>
      </c>
      <c r="O42" s="31">
        <f>Table5[[#This Row],[Case 1a]]</f>
        <v>40</v>
      </c>
      <c r="P42" s="31">
        <f>Table5[[#This Row],[Case 1a]]</f>
        <v>40</v>
      </c>
      <c r="Q42" s="32">
        <f>Table5[[#This Row],[Case 1a]]</f>
        <v>40</v>
      </c>
      <c r="R42" s="32">
        <f>Table5[[#This Row],[Case 1a]]</f>
        <v>40</v>
      </c>
      <c r="S42" s="32">
        <f>Table5[[#This Row],[Case 1a]]</f>
        <v>40</v>
      </c>
      <c r="T42" s="32">
        <f>Table5[[#This Row],[Case 1a]]</f>
        <v>40</v>
      </c>
      <c r="U42" s="32">
        <f>Table5[[#This Row],[Case 1a]]</f>
        <v>40</v>
      </c>
    </row>
    <row r="43" spans="1:21" x14ac:dyDescent="0.25">
      <c r="A43" s="64" t="s">
        <v>370</v>
      </c>
      <c r="B43" s="14" t="s">
        <v>339</v>
      </c>
      <c r="C43" s="145">
        <v>2.5000000000000001E-2</v>
      </c>
      <c r="D43" s="145">
        <v>2.5000000000000001E-2</v>
      </c>
      <c r="E43" s="145">
        <v>2.5000000000000001E-2</v>
      </c>
      <c r="F43" s="145">
        <v>2.5000000000000001E-2</v>
      </c>
      <c r="G43" s="25" t="s">
        <v>20</v>
      </c>
      <c r="H43" s="25" t="s">
        <v>20</v>
      </c>
      <c r="I43" s="25" t="s">
        <v>20</v>
      </c>
      <c r="J43" s="25" t="s">
        <v>20</v>
      </c>
      <c r="K43" s="25" t="s">
        <v>20</v>
      </c>
      <c r="L43" s="31" t="s">
        <v>20</v>
      </c>
      <c r="M43" s="31" t="s">
        <v>20</v>
      </c>
      <c r="N43" s="31" t="s">
        <v>20</v>
      </c>
      <c r="O43" s="31" t="s">
        <v>20</v>
      </c>
      <c r="P43" s="31" t="s">
        <v>20</v>
      </c>
      <c r="Q43" s="32" t="s">
        <v>20</v>
      </c>
      <c r="R43" s="32" t="s">
        <v>20</v>
      </c>
      <c r="S43" s="32" t="s">
        <v>20</v>
      </c>
      <c r="T43" s="32" t="s">
        <v>20</v>
      </c>
      <c r="U43" s="32" t="s">
        <v>20</v>
      </c>
    </row>
    <row r="44" spans="1:21" x14ac:dyDescent="0.25">
      <c r="A44" s="64" t="s">
        <v>483</v>
      </c>
      <c r="B44" s="114" t="s">
        <v>330</v>
      </c>
      <c r="C44" s="29">
        <f t="shared" ref="C44:U44" si="22">(C2/4+C2)</f>
        <v>320</v>
      </c>
      <c r="D44" s="29">
        <f t="shared" si="22"/>
        <v>640</v>
      </c>
      <c r="E44" s="29">
        <f t="shared" si="22"/>
        <v>960</v>
      </c>
      <c r="F44" s="29">
        <f t="shared" si="22"/>
        <v>1280</v>
      </c>
      <c r="G44" s="29">
        <f t="shared" si="22"/>
        <v>320</v>
      </c>
      <c r="H44" s="29">
        <f t="shared" si="22"/>
        <v>480</v>
      </c>
      <c r="I44" s="29">
        <f t="shared" si="22"/>
        <v>640</v>
      </c>
      <c r="J44" s="29">
        <f t="shared" si="22"/>
        <v>960</v>
      </c>
      <c r="K44" s="29">
        <f t="shared" si="22"/>
        <v>1280</v>
      </c>
      <c r="L44" s="29">
        <f t="shared" si="22"/>
        <v>320</v>
      </c>
      <c r="M44" s="29">
        <f t="shared" si="22"/>
        <v>480</v>
      </c>
      <c r="N44" s="29">
        <f t="shared" si="22"/>
        <v>640</v>
      </c>
      <c r="O44" s="29">
        <f t="shared" si="22"/>
        <v>960</v>
      </c>
      <c r="P44" s="29">
        <f t="shared" si="22"/>
        <v>1280</v>
      </c>
      <c r="Q44" s="29">
        <f t="shared" si="22"/>
        <v>320</v>
      </c>
      <c r="R44" s="29">
        <f t="shared" si="22"/>
        <v>480</v>
      </c>
      <c r="S44" s="29">
        <f t="shared" si="22"/>
        <v>640</v>
      </c>
      <c r="T44" s="29">
        <f t="shared" si="22"/>
        <v>960</v>
      </c>
      <c r="U44" s="29">
        <f t="shared" si="22"/>
        <v>1280</v>
      </c>
    </row>
    <row r="45" spans="1:21" x14ac:dyDescent="0.25">
      <c r="A45" s="64" t="s">
        <v>471</v>
      </c>
      <c r="B45" s="14" t="s">
        <v>340</v>
      </c>
      <c r="C45" s="25">
        <f>C43*C44</f>
        <v>8</v>
      </c>
      <c r="D45" s="25">
        <f t="shared" ref="D45:F45" si="23">D43*D44</f>
        <v>16</v>
      </c>
      <c r="E45" s="25">
        <f t="shared" si="23"/>
        <v>24</v>
      </c>
      <c r="F45" s="25">
        <f t="shared" si="23"/>
        <v>32</v>
      </c>
      <c r="G45" s="25" t="s">
        <v>20</v>
      </c>
      <c r="H45" s="25" t="s">
        <v>20</v>
      </c>
      <c r="I45" s="25" t="s">
        <v>20</v>
      </c>
      <c r="J45" s="25" t="s">
        <v>20</v>
      </c>
      <c r="K45" s="25" t="s">
        <v>20</v>
      </c>
      <c r="L45" s="31" t="s">
        <v>20</v>
      </c>
      <c r="M45" s="31" t="s">
        <v>20</v>
      </c>
      <c r="N45" s="31" t="s">
        <v>20</v>
      </c>
      <c r="O45" s="31" t="s">
        <v>20</v>
      </c>
      <c r="P45" s="31" t="s">
        <v>20</v>
      </c>
      <c r="Q45" s="32" t="s">
        <v>20</v>
      </c>
      <c r="R45" s="32" t="s">
        <v>20</v>
      </c>
      <c r="S45" s="32" t="s">
        <v>20</v>
      </c>
      <c r="T45" s="32" t="s">
        <v>20</v>
      </c>
      <c r="U45" s="32" t="s">
        <v>20</v>
      </c>
    </row>
    <row r="46" spans="1:21" x14ac:dyDescent="0.25">
      <c r="A46" s="64" t="s">
        <v>414</v>
      </c>
      <c r="B46" s="33" t="s">
        <v>366</v>
      </c>
      <c r="C46" s="25" t="s">
        <v>20</v>
      </c>
      <c r="D46" s="25" t="s">
        <v>20</v>
      </c>
      <c r="E46" s="25" t="s">
        <v>20</v>
      </c>
      <c r="F46" s="25" t="s">
        <v>20</v>
      </c>
      <c r="G46" s="25">
        <f>G42*G44</f>
        <v>12800</v>
      </c>
      <c r="H46" s="25">
        <f>H42*H44</f>
        <v>19200</v>
      </c>
      <c r="I46" s="25">
        <f t="shared" ref="I46:U46" si="24">I42*I44</f>
        <v>25600</v>
      </c>
      <c r="J46" s="25">
        <f t="shared" si="24"/>
        <v>38400</v>
      </c>
      <c r="K46" s="25">
        <f t="shared" si="24"/>
        <v>51200</v>
      </c>
      <c r="L46" s="25">
        <f t="shared" si="24"/>
        <v>12800</v>
      </c>
      <c r="M46" s="25">
        <f t="shared" si="24"/>
        <v>19200</v>
      </c>
      <c r="N46" s="25">
        <f t="shared" si="24"/>
        <v>25600</v>
      </c>
      <c r="O46" s="25">
        <f t="shared" si="24"/>
        <v>38400</v>
      </c>
      <c r="P46" s="25">
        <f t="shared" si="24"/>
        <v>51200</v>
      </c>
      <c r="Q46" s="25">
        <f t="shared" si="24"/>
        <v>12800</v>
      </c>
      <c r="R46" s="25">
        <f t="shared" si="24"/>
        <v>19200</v>
      </c>
      <c r="S46" s="25">
        <f t="shared" si="24"/>
        <v>25600</v>
      </c>
      <c r="T46" s="25">
        <f t="shared" si="24"/>
        <v>38400</v>
      </c>
      <c r="U46" s="25">
        <f t="shared" si="24"/>
        <v>51200</v>
      </c>
    </row>
    <row r="47" spans="1:21" x14ac:dyDescent="0.25">
      <c r="A47" s="72" t="s">
        <v>521</v>
      </c>
      <c r="B47" s="33" t="s">
        <v>342</v>
      </c>
      <c r="C47" s="25" t="s">
        <v>20</v>
      </c>
      <c r="D47" s="25" t="s">
        <v>20</v>
      </c>
      <c r="E47" s="25" t="s">
        <v>20</v>
      </c>
      <c r="F47" s="25" t="s">
        <v>20</v>
      </c>
      <c r="G47" s="43">
        <v>7.0000000000000007E-2</v>
      </c>
      <c r="H47" s="43">
        <v>-1</v>
      </c>
      <c r="I47" s="43">
        <v>-2.5099999999999998</v>
      </c>
      <c r="J47" s="43">
        <v>-5.01</v>
      </c>
      <c r="K47" s="43">
        <v>-6.12</v>
      </c>
      <c r="L47" s="44">
        <v>4.3600000000000003</v>
      </c>
      <c r="M47" s="44">
        <v>3</v>
      </c>
      <c r="N47" s="44">
        <v>1.82</v>
      </c>
      <c r="O47" s="44">
        <v>-0.45</v>
      </c>
      <c r="P47" s="44">
        <v>-2.06</v>
      </c>
      <c r="Q47" s="109">
        <v>-2.94</v>
      </c>
      <c r="R47" s="109">
        <v>-4.67</v>
      </c>
      <c r="S47" s="109">
        <v>-5.94</v>
      </c>
      <c r="T47" s="109">
        <v>-7.76</v>
      </c>
      <c r="U47" s="109">
        <v>-9.0399999999999991</v>
      </c>
    </row>
    <row r="48" spans="1:21" x14ac:dyDescent="0.25">
      <c r="A48" s="72" t="s">
        <v>446</v>
      </c>
      <c r="B48" s="33" t="s">
        <v>342</v>
      </c>
      <c r="C48" s="25" t="s">
        <v>20</v>
      </c>
      <c r="D48" s="25" t="s">
        <v>20</v>
      </c>
      <c r="E48" s="25" t="s">
        <v>20</v>
      </c>
      <c r="F48" s="25" t="s">
        <v>20</v>
      </c>
      <c r="G48" s="43">
        <f>46+G47</f>
        <v>46.07</v>
      </c>
      <c r="H48" s="43">
        <f t="shared" ref="H48:U48" si="25">46+H47</f>
        <v>45</v>
      </c>
      <c r="I48" s="43">
        <f t="shared" si="25"/>
        <v>43.49</v>
      </c>
      <c r="J48" s="43">
        <f t="shared" si="25"/>
        <v>40.99</v>
      </c>
      <c r="K48" s="43">
        <f t="shared" si="25"/>
        <v>39.880000000000003</v>
      </c>
      <c r="L48" s="43">
        <f t="shared" si="25"/>
        <v>50.36</v>
      </c>
      <c r="M48" s="43">
        <f t="shared" si="25"/>
        <v>49</v>
      </c>
      <c r="N48" s="43">
        <f t="shared" si="25"/>
        <v>47.82</v>
      </c>
      <c r="O48" s="43">
        <f t="shared" si="25"/>
        <v>45.55</v>
      </c>
      <c r="P48" s="43">
        <f t="shared" si="25"/>
        <v>43.94</v>
      </c>
      <c r="Q48" s="43">
        <f t="shared" si="25"/>
        <v>43.06</v>
      </c>
      <c r="R48" s="43">
        <f t="shared" si="25"/>
        <v>41.33</v>
      </c>
      <c r="S48" s="43">
        <f t="shared" si="25"/>
        <v>40.06</v>
      </c>
      <c r="T48" s="43">
        <f t="shared" si="25"/>
        <v>38.24</v>
      </c>
      <c r="U48" s="43">
        <f t="shared" si="25"/>
        <v>36.96</v>
      </c>
    </row>
    <row r="49" spans="1:21" x14ac:dyDescent="0.25">
      <c r="A49" s="72" t="s">
        <v>447</v>
      </c>
      <c r="B49" s="33" t="s">
        <v>337</v>
      </c>
      <c r="C49" s="25" t="s">
        <v>20</v>
      </c>
      <c r="D49" s="25" t="s">
        <v>20</v>
      </c>
      <c r="E49" s="25" t="s">
        <v>20</v>
      </c>
      <c r="F49" s="25" t="s">
        <v>20</v>
      </c>
      <c r="G49" s="25">
        <f>10*LOG10(G50)</f>
        <v>21.987600346881511</v>
      </c>
      <c r="H49" s="25">
        <f>10*LOG10(H50)</f>
        <v>19.156687756324697</v>
      </c>
      <c r="I49" s="25">
        <f>10*LOG10(I50)</f>
        <v>16.397300390241703</v>
      </c>
      <c r="J49" s="25">
        <f>10*LOG10(J50)</f>
        <v>12.136387799684885</v>
      </c>
      <c r="K49" s="25">
        <f>10*LOG10(K50)</f>
        <v>9.7770004336018861</v>
      </c>
      <c r="L49" s="31">
        <f t="shared" ref="L49:P49" si="26">10*LOG10(L50)</f>
        <v>26.27760034688151</v>
      </c>
      <c r="M49" s="31">
        <f t="shared" si="26"/>
        <v>23.1566877563247</v>
      </c>
      <c r="N49" s="31">
        <f t="shared" si="26"/>
        <v>20.727300390241702</v>
      </c>
      <c r="O49" s="31">
        <f t="shared" si="26"/>
        <v>16.696387799684885</v>
      </c>
      <c r="P49" s="31">
        <f t="shared" si="26"/>
        <v>13.837000433601887</v>
      </c>
      <c r="Q49" s="32">
        <f t="shared" ref="Q49:U49" si="27">10*LOG10(Q50)</f>
        <v>18.977600346881506</v>
      </c>
      <c r="R49" s="32">
        <f t="shared" si="27"/>
        <v>15.486687756324699</v>
      </c>
      <c r="S49" s="32">
        <f t="shared" si="27"/>
        <v>12.967300390241698</v>
      </c>
      <c r="T49" s="32">
        <f t="shared" si="27"/>
        <v>9.3863877996848881</v>
      </c>
      <c r="U49" s="32">
        <f t="shared" si="27"/>
        <v>6.8570004336018853</v>
      </c>
    </row>
    <row r="50" spans="1:21" x14ac:dyDescent="0.25">
      <c r="A50" s="72" t="s">
        <v>319</v>
      </c>
      <c r="B50" s="14" t="s">
        <v>337</v>
      </c>
      <c r="C50" s="25" t="s">
        <v>20</v>
      </c>
      <c r="D50" s="25" t="s">
        <v>20</v>
      </c>
      <c r="E50" s="25" t="s">
        <v>20</v>
      </c>
      <c r="F50" s="25" t="s">
        <v>20</v>
      </c>
      <c r="G50" s="25">
        <f t="shared" ref="G50:U50" si="28">10^(G48/10)/G2</f>
        <v>158.03745769431384</v>
      </c>
      <c r="H50" s="25">
        <f t="shared" si="28"/>
        <v>82.350980733551665</v>
      </c>
      <c r="I50" s="25">
        <f t="shared" si="28"/>
        <v>43.624457477158913</v>
      </c>
      <c r="J50" s="25">
        <f t="shared" si="28"/>
        <v>16.354556818943699</v>
      </c>
      <c r="K50" s="25">
        <f t="shared" si="28"/>
        <v>9.499484607196937</v>
      </c>
      <c r="L50" s="31">
        <f t="shared" si="28"/>
        <v>424.38500922541647</v>
      </c>
      <c r="M50" s="31">
        <f t="shared" si="28"/>
        <v>206.8563111261152</v>
      </c>
      <c r="N50" s="31">
        <f t="shared" si="28"/>
        <v>118.23063960037398</v>
      </c>
      <c r="O50" s="31">
        <f t="shared" si="28"/>
        <v>46.734626906901759</v>
      </c>
      <c r="P50" s="31">
        <f t="shared" si="28"/>
        <v>24.193574781575094</v>
      </c>
      <c r="Q50" s="32">
        <f t="shared" si="28"/>
        <v>79.02418666712002</v>
      </c>
      <c r="R50" s="32">
        <f t="shared" si="28"/>
        <v>35.372746004873868</v>
      </c>
      <c r="S50" s="32">
        <f t="shared" si="28"/>
        <v>19.802956752669552</v>
      </c>
      <c r="T50" s="32">
        <f t="shared" si="28"/>
        <v>8.6823798074690544</v>
      </c>
      <c r="U50" s="32">
        <f t="shared" si="28"/>
        <v>4.849534389163443</v>
      </c>
    </row>
    <row r="51" spans="1:21" x14ac:dyDescent="0.25">
      <c r="A51" s="72" t="s">
        <v>320</v>
      </c>
      <c r="B51" s="14" t="s">
        <v>341</v>
      </c>
      <c r="C51" s="25" t="s">
        <v>20</v>
      </c>
      <c r="D51" s="25" t="s">
        <v>20</v>
      </c>
      <c r="E51" s="25" t="s">
        <v>20</v>
      </c>
      <c r="F51" s="25" t="s">
        <v>20</v>
      </c>
      <c r="G51" s="127">
        <v>0.185</v>
      </c>
      <c r="H51" s="127">
        <v>0.185</v>
      </c>
      <c r="I51" s="127">
        <v>0.185</v>
      </c>
      <c r="J51" s="127">
        <v>0.185</v>
      </c>
      <c r="K51" s="127">
        <v>0.185</v>
      </c>
      <c r="L51" s="127">
        <v>0.185</v>
      </c>
      <c r="M51" s="127">
        <v>0.185</v>
      </c>
      <c r="N51" s="127">
        <v>0.185</v>
      </c>
      <c r="O51" s="127">
        <v>0.185</v>
      </c>
      <c r="P51" s="127">
        <v>0.185</v>
      </c>
      <c r="Q51" s="127">
        <v>0.185</v>
      </c>
      <c r="R51" s="127">
        <v>0.185</v>
      </c>
      <c r="S51" s="127">
        <v>0.185</v>
      </c>
      <c r="T51" s="127">
        <v>0.185</v>
      </c>
      <c r="U51" s="127">
        <v>0.185</v>
      </c>
    </row>
    <row r="52" spans="1:21" x14ac:dyDescent="0.25">
      <c r="A52" s="72" t="s">
        <v>321</v>
      </c>
      <c r="B52" s="14" t="s">
        <v>337</v>
      </c>
      <c r="C52" s="25" t="s">
        <v>20</v>
      </c>
      <c r="D52" s="25" t="s">
        <v>20</v>
      </c>
      <c r="E52" s="25" t="s">
        <v>20</v>
      </c>
      <c r="F52" s="25" t="s">
        <v>20</v>
      </c>
      <c r="G52" s="25">
        <f>G50/G51</f>
        <v>854.25652807737208</v>
      </c>
      <c r="H52" s="25">
        <f>H50/H51</f>
        <v>445.14043639757659</v>
      </c>
      <c r="I52" s="25">
        <f>I50/I51</f>
        <v>235.80787825491305</v>
      </c>
      <c r="J52" s="25">
        <f>J50/J51</f>
        <v>88.403009832128106</v>
      </c>
      <c r="K52" s="25">
        <f>K50/K51</f>
        <v>51.348565444307766</v>
      </c>
      <c r="L52" s="31">
        <f t="shared" ref="L52" si="29">L50/L51</f>
        <v>2293.973022840089</v>
      </c>
      <c r="M52" s="31">
        <f t="shared" ref="M52:P52" si="30">M50/M51</f>
        <v>1118.1422223033255</v>
      </c>
      <c r="N52" s="31">
        <f t="shared" si="30"/>
        <v>639.08453838039986</v>
      </c>
      <c r="O52" s="31">
        <f t="shared" ref="O52" si="31">O50/O51</f>
        <v>252.61960490217169</v>
      </c>
      <c r="P52" s="31">
        <f t="shared" si="30"/>
        <v>130.7760799004059</v>
      </c>
      <c r="Q52" s="32">
        <f t="shared" ref="Q52:U52" si="32">Q50/Q51</f>
        <v>427.15776576821634</v>
      </c>
      <c r="R52" s="32">
        <f t="shared" si="32"/>
        <v>191.20403245877768</v>
      </c>
      <c r="S52" s="32">
        <f t="shared" si="32"/>
        <v>107.04300947388947</v>
      </c>
      <c r="T52" s="32">
        <f t="shared" ref="T52" si="33">T50/T51</f>
        <v>46.931782743075971</v>
      </c>
      <c r="U52" s="32">
        <f t="shared" si="32"/>
        <v>26.213699400883478</v>
      </c>
    </row>
    <row r="53" spans="1:21" x14ac:dyDescent="0.25">
      <c r="A53" s="72" t="s">
        <v>470</v>
      </c>
      <c r="B53" s="33" t="s">
        <v>366</v>
      </c>
      <c r="C53" s="25" t="s">
        <v>20</v>
      </c>
      <c r="D53" s="25" t="s">
        <v>20</v>
      </c>
      <c r="E53" s="25" t="s">
        <v>20</v>
      </c>
      <c r="F53" s="25" t="s">
        <v>20</v>
      </c>
      <c r="G53" s="25">
        <f t="shared" ref="G53:U53" si="34">G52*G2</f>
        <v>218689.67118780725</v>
      </c>
      <c r="H53" s="25">
        <f t="shared" si="34"/>
        <v>170933.9275766694</v>
      </c>
      <c r="I53" s="25">
        <f t="shared" si="34"/>
        <v>120733.63366651548</v>
      </c>
      <c r="J53" s="25">
        <f t="shared" si="34"/>
        <v>67893.511551074393</v>
      </c>
      <c r="K53" s="25">
        <f t="shared" si="34"/>
        <v>52580.931014971153</v>
      </c>
      <c r="L53" s="31">
        <f t="shared" si="34"/>
        <v>587257.09384706279</v>
      </c>
      <c r="M53" s="31">
        <f t="shared" si="34"/>
        <v>429366.613364477</v>
      </c>
      <c r="N53" s="31">
        <f t="shared" si="34"/>
        <v>327211.28365076473</v>
      </c>
      <c r="O53" s="31">
        <f t="shared" si="34"/>
        <v>194011.85656486786</v>
      </c>
      <c r="P53" s="31">
        <f t="shared" si="34"/>
        <v>133914.70581801565</v>
      </c>
      <c r="Q53" s="32">
        <f t="shared" si="34"/>
        <v>109352.38803666338</v>
      </c>
      <c r="R53" s="32">
        <f t="shared" si="34"/>
        <v>73422.348464170631</v>
      </c>
      <c r="S53" s="32">
        <f t="shared" si="34"/>
        <v>54806.020850631408</v>
      </c>
      <c r="T53" s="32">
        <f t="shared" si="34"/>
        <v>36043.609146682342</v>
      </c>
      <c r="U53" s="32">
        <f t="shared" si="34"/>
        <v>26842.828186504681</v>
      </c>
    </row>
    <row r="54" spans="1:21" x14ac:dyDescent="0.25">
      <c r="A54" s="80" t="s">
        <v>344</v>
      </c>
      <c r="B54" s="14" t="s">
        <v>338</v>
      </c>
      <c r="C54" s="25" t="s">
        <v>20</v>
      </c>
      <c r="D54" s="25" t="s">
        <v>20</v>
      </c>
      <c r="E54" s="25" t="s">
        <v>20</v>
      </c>
      <c r="F54" s="25" t="s">
        <v>20</v>
      </c>
      <c r="G54" s="25">
        <f t="shared" ref="G54:U54" si="35">G12+G15+G23+G41+G19+G46+G27</f>
        <v>17869.155388925501</v>
      </c>
      <c r="H54" s="25">
        <f t="shared" si="35"/>
        <v>26358.306914465626</v>
      </c>
      <c r="I54" s="25">
        <f t="shared" si="35"/>
        <v>34779.699547280368</v>
      </c>
      <c r="J54" s="25">
        <f t="shared" si="35"/>
        <v>51566.863705557123</v>
      </c>
      <c r="K54" s="25">
        <f t="shared" si="35"/>
        <v>68447.513690307562</v>
      </c>
      <c r="L54" s="31">
        <f t="shared" si="35"/>
        <v>16747.681429669683</v>
      </c>
      <c r="M54" s="31">
        <f t="shared" si="35"/>
        <v>25052.556329487146</v>
      </c>
      <c r="N54" s="31">
        <f t="shared" si="35"/>
        <v>33354.218608990821</v>
      </c>
      <c r="O54" s="31">
        <f t="shared" si="35"/>
        <v>49944.86654152441</v>
      </c>
      <c r="P54" s="31">
        <f t="shared" si="35"/>
        <v>66534.52704780444</v>
      </c>
      <c r="Q54" s="32">
        <f t="shared" si="35"/>
        <v>17944.889234793198</v>
      </c>
      <c r="R54" s="32">
        <f t="shared" si="35"/>
        <v>26846.095505841819</v>
      </c>
      <c r="S54" s="32">
        <f t="shared" si="35"/>
        <v>35736.8528510693</v>
      </c>
      <c r="T54" s="32">
        <f t="shared" si="35"/>
        <v>53501.943765167132</v>
      </c>
      <c r="U54" s="32">
        <f t="shared" si="35"/>
        <v>71266.597348713578</v>
      </c>
    </row>
    <row r="55" spans="1:21" x14ac:dyDescent="0.25">
      <c r="A55" s="80" t="s">
        <v>345</v>
      </c>
      <c r="B55" s="14" t="s">
        <v>337</v>
      </c>
      <c r="C55" s="25" t="s">
        <v>20</v>
      </c>
      <c r="D55" s="25" t="s">
        <v>20</v>
      </c>
      <c r="E55" s="25" t="s">
        <v>20</v>
      </c>
      <c r="F55" s="25" t="s">
        <v>20</v>
      </c>
      <c r="G55" s="25">
        <f t="shared" ref="G55:U55" si="36">G54/G2</f>
        <v>69.801388237990238</v>
      </c>
      <c r="H55" s="25">
        <f t="shared" si="36"/>
        <v>68.641424256420905</v>
      </c>
      <c r="I55" s="25">
        <f t="shared" si="36"/>
        <v>67.929100678281969</v>
      </c>
      <c r="J55" s="25">
        <f t="shared" si="36"/>
        <v>67.144353783277509</v>
      </c>
      <c r="K55" s="25">
        <f t="shared" si="36"/>
        <v>66.843275088190978</v>
      </c>
      <c r="L55" s="31">
        <f t="shared" si="36"/>
        <v>65.420630584647199</v>
      </c>
      <c r="M55" s="31">
        <f t="shared" si="36"/>
        <v>65.241032108039448</v>
      </c>
      <c r="N55" s="31">
        <f t="shared" si="36"/>
        <v>65.144958220685197</v>
      </c>
      <c r="O55" s="31">
        <f t="shared" si="36"/>
        <v>65.032378309276581</v>
      </c>
      <c r="P55" s="31">
        <f t="shared" si="36"/>
        <v>64.975124070121524</v>
      </c>
      <c r="Q55" s="32">
        <f t="shared" si="36"/>
        <v>70.097223573410929</v>
      </c>
      <c r="R55" s="32">
        <f t="shared" si="36"/>
        <v>69.911707046463064</v>
      </c>
      <c r="S55" s="32">
        <f t="shared" si="36"/>
        <v>69.798540724744726</v>
      </c>
      <c r="T55" s="32">
        <f t="shared" si="36"/>
        <v>69.66398927756137</v>
      </c>
      <c r="U55" s="32">
        <f t="shared" si="36"/>
        <v>69.596286473353103</v>
      </c>
    </row>
    <row r="56" spans="1:21" x14ac:dyDescent="0.25">
      <c r="A56" s="80" t="s">
        <v>83</v>
      </c>
      <c r="B56" s="14" t="s">
        <v>338</v>
      </c>
      <c r="C56" s="25" t="s">
        <v>20</v>
      </c>
      <c r="D56" s="25" t="s">
        <v>20</v>
      </c>
      <c r="E56" s="25" t="s">
        <v>20</v>
      </c>
      <c r="F56" s="25" t="s">
        <v>20</v>
      </c>
      <c r="G56" s="25">
        <f>G54+G53</f>
        <v>236558.82657673274</v>
      </c>
      <c r="H56" s="25">
        <f>H54+H53</f>
        <v>197292.23449113502</v>
      </c>
      <c r="I56" s="25">
        <f>I54+I53</f>
        <v>155513.33321379585</v>
      </c>
      <c r="J56" s="25">
        <f>J54+J53</f>
        <v>119460.37525663152</v>
      </c>
      <c r="K56" s="25">
        <f>K54+K53</f>
        <v>121028.44470527871</v>
      </c>
      <c r="L56" s="31">
        <f t="shared" ref="L56" si="37">L54+L53</f>
        <v>604004.77527673251</v>
      </c>
      <c r="M56" s="31">
        <f t="shared" ref="M56:P56" si="38">M54+M53</f>
        <v>454419.16969396413</v>
      </c>
      <c r="N56" s="31">
        <f t="shared" si="38"/>
        <v>360565.50225975557</v>
      </c>
      <c r="O56" s="31">
        <f t="shared" ref="O56" si="39">O54+O53</f>
        <v>243956.72310639228</v>
      </c>
      <c r="P56" s="31">
        <f t="shared" si="38"/>
        <v>200449.23286582009</v>
      </c>
      <c r="Q56" s="32">
        <f t="shared" ref="Q56:U56" si="40">Q54+Q53</f>
        <v>127297.27727145658</v>
      </c>
      <c r="R56" s="32">
        <f t="shared" si="40"/>
        <v>100268.44397001245</v>
      </c>
      <c r="S56" s="32">
        <f t="shared" si="40"/>
        <v>90542.873701700708</v>
      </c>
      <c r="T56" s="32">
        <f t="shared" ref="T56" si="41">T54+T53</f>
        <v>89545.552911849474</v>
      </c>
      <c r="U56" s="32">
        <f t="shared" si="40"/>
        <v>98109.425535218266</v>
      </c>
    </row>
    <row r="57" spans="1:21" x14ac:dyDescent="0.25">
      <c r="A57" s="80" t="s">
        <v>157</v>
      </c>
      <c r="B57" s="40" t="s">
        <v>340</v>
      </c>
      <c r="C57" s="31">
        <f>C38+C18+C40+C45+C28+C24+C14</f>
        <v>62.040000000000006</v>
      </c>
      <c r="D57" s="31">
        <f>D38+D18+D40+D45+D28+D24+D14</f>
        <v>124.12</v>
      </c>
      <c r="E57" s="31">
        <f>E38+E18+E40+E45+E28+E24+E14</f>
        <v>186.2</v>
      </c>
      <c r="F57" s="31">
        <f>F38+F18+F40+F45+F28+F24+F14</f>
        <v>248.28000000000003</v>
      </c>
      <c r="G57" s="31" t="s">
        <v>20</v>
      </c>
      <c r="H57" s="31" t="s">
        <v>20</v>
      </c>
      <c r="I57" s="31" t="s">
        <v>20</v>
      </c>
      <c r="J57" s="31" t="s">
        <v>20</v>
      </c>
      <c r="K57" s="31" t="s">
        <v>20</v>
      </c>
      <c r="L57" s="103" t="s">
        <v>20</v>
      </c>
      <c r="M57" s="103" t="s">
        <v>20</v>
      </c>
      <c r="N57" s="103" t="s">
        <v>20</v>
      </c>
      <c r="O57" s="103" t="s">
        <v>20</v>
      </c>
      <c r="P57" s="103" t="s">
        <v>20</v>
      </c>
      <c r="Q57" s="104" t="s">
        <v>20</v>
      </c>
      <c r="R57" s="104" t="s">
        <v>20</v>
      </c>
      <c r="S57" s="104" t="s">
        <v>20</v>
      </c>
      <c r="T57" s="104" t="s">
        <v>20</v>
      </c>
      <c r="U57" s="104" t="s">
        <v>20</v>
      </c>
    </row>
    <row r="61" spans="1:21" x14ac:dyDescent="0.25">
      <c r="A61" s="14" t="s">
        <v>269</v>
      </c>
      <c r="B61" s="14"/>
      <c r="C61" s="114"/>
      <c r="D61" s="114"/>
      <c r="E61" s="114"/>
    </row>
    <row r="62" spans="1:21" x14ac:dyDescent="0.25">
      <c r="A62" s="2">
        <v>1</v>
      </c>
      <c r="B62" s="2"/>
      <c r="C62" s="2"/>
      <c r="D62" s="2"/>
      <c r="E62" s="2"/>
      <c r="F62" t="s">
        <v>325</v>
      </c>
    </row>
    <row r="63" spans="1:21" x14ac:dyDescent="0.25">
      <c r="A63" s="2">
        <v>2</v>
      </c>
      <c r="B63" s="2"/>
      <c r="C63" s="2"/>
      <c r="D63" s="2"/>
      <c r="E63" t="s">
        <v>522</v>
      </c>
      <c r="F63" t="s">
        <v>523</v>
      </c>
    </row>
    <row r="64" spans="1:21" x14ac:dyDescent="0.25">
      <c r="A64" s="2"/>
      <c r="B64" s="2"/>
      <c r="C64" s="2"/>
      <c r="D64" s="2"/>
      <c r="E64" s="2"/>
    </row>
    <row r="65" spans="1:16" x14ac:dyDescent="0.25">
      <c r="A65" s="2"/>
    </row>
    <row r="66" spans="1:16" x14ac:dyDescent="0.25">
      <c r="A66" s="38"/>
    </row>
    <row r="68" spans="1:16" x14ac:dyDescent="0.25">
      <c r="B68" s="39">
        <v>256</v>
      </c>
      <c r="C68" s="39"/>
      <c r="D68" s="39"/>
      <c r="E68" s="39"/>
      <c r="F68" s="39">
        <v>384</v>
      </c>
      <c r="G68" s="39">
        <v>512</v>
      </c>
      <c r="H68" s="39">
        <v>768</v>
      </c>
      <c r="I68" s="39">
        <v>1024</v>
      </c>
      <c r="J68" s="113"/>
      <c r="L68" s="39">
        <v>256</v>
      </c>
      <c r="M68" s="39">
        <v>384</v>
      </c>
      <c r="N68" s="39">
        <v>512</v>
      </c>
      <c r="O68" s="39">
        <v>768</v>
      </c>
      <c r="P68" s="39">
        <v>1024</v>
      </c>
    </row>
    <row r="69" spans="1:16" x14ac:dyDescent="0.25">
      <c r="A69" t="str">
        <f>$A$12</f>
        <v>BB Precoding</v>
      </c>
      <c r="B69" s="78">
        <f>G12</f>
        <v>100.43076923076923</v>
      </c>
      <c r="C69" s="78"/>
      <c r="D69" s="78"/>
      <c r="E69" s="78"/>
      <c r="F69" s="78">
        <f>H12</f>
        <v>138.09230769230768</v>
      </c>
      <c r="G69" s="78">
        <f>I12</f>
        <v>175.75384615384615</v>
      </c>
      <c r="H69" s="78">
        <f>$J$12</f>
        <v>251.07692307692307</v>
      </c>
      <c r="I69" s="78">
        <f>K12</f>
        <v>326.39999999999998</v>
      </c>
      <c r="J69" s="78"/>
      <c r="K69" t="str">
        <f t="shared" ref="K69:K76" si="42">A69</f>
        <v>BB Precoding</v>
      </c>
      <c r="L69" s="78">
        <f t="shared" ref="L69:L76" si="43">B69/1000</f>
        <v>0.10043076923076923</v>
      </c>
      <c r="M69" s="78">
        <f>F69/1000</f>
        <v>0.13809230769230768</v>
      </c>
      <c r="N69" s="78">
        <f>G69/1000</f>
        <v>0.17575384615384615</v>
      </c>
      <c r="O69" s="78">
        <f>H69/1000</f>
        <v>0.25107692307692309</v>
      </c>
      <c r="P69" s="78">
        <f>I69/1000</f>
        <v>0.32639999999999997</v>
      </c>
    </row>
    <row r="70" spans="1:16" x14ac:dyDescent="0.25">
      <c r="A70" t="str">
        <f>$A$15</f>
        <v>SERDES</v>
      </c>
      <c r="B70" s="78">
        <f>G15</f>
        <v>975.21406438213251</v>
      </c>
      <c r="C70" s="78"/>
      <c r="D70" s="78"/>
      <c r="E70" s="78"/>
      <c r="F70" s="78">
        <f t="shared" ref="F70:G70" si="44">H15</f>
        <v>990.87474976808699</v>
      </c>
      <c r="G70" s="78">
        <f t="shared" si="44"/>
        <v>984.96753006596828</v>
      </c>
      <c r="H70" s="78">
        <f>$J$15</f>
        <v>968.21488211858946</v>
      </c>
      <c r="I70" s="78">
        <f>K15</f>
        <v>971.37432908313724</v>
      </c>
      <c r="J70" s="78"/>
      <c r="K70" t="str">
        <f t="shared" si="42"/>
        <v>SERDES</v>
      </c>
      <c r="L70" s="78">
        <f t="shared" si="43"/>
        <v>0.97521406438213254</v>
      </c>
      <c r="M70" s="78">
        <f t="shared" ref="M70:N76" si="45">F70/1000</f>
        <v>0.99087474976808698</v>
      </c>
      <c r="N70" s="78">
        <f t="shared" si="45"/>
        <v>0.98496753006596827</v>
      </c>
      <c r="O70" s="78">
        <f t="shared" ref="O70:O76" si="46">H70/1000</f>
        <v>0.96821488211858941</v>
      </c>
      <c r="P70" s="78">
        <f t="shared" ref="P70:P76" si="47">I70/1000</f>
        <v>0.97137432908313726</v>
      </c>
    </row>
    <row r="71" spans="1:16" x14ac:dyDescent="0.25">
      <c r="A71" t="str">
        <f>$A$19</f>
        <v>DAC</v>
      </c>
      <c r="B71" s="78">
        <f>G19</f>
        <v>313.51055531260101</v>
      </c>
      <c r="C71" s="78"/>
      <c r="D71" s="78"/>
      <c r="E71" s="78"/>
      <c r="F71" s="78">
        <f t="shared" ref="F71:G71" si="48">H19</f>
        <v>509.33985700523129</v>
      </c>
      <c r="G71" s="78">
        <f t="shared" si="48"/>
        <v>658.97817106055084</v>
      </c>
      <c r="H71" s="78">
        <f>$J$19</f>
        <v>907.57190036161251</v>
      </c>
      <c r="I71" s="78">
        <f>K19</f>
        <v>1229.7393612244255</v>
      </c>
      <c r="J71" s="78"/>
      <c r="K71" t="str">
        <f t="shared" si="42"/>
        <v>DAC</v>
      </c>
      <c r="L71" s="78">
        <f t="shared" si="43"/>
        <v>0.31351055531260102</v>
      </c>
      <c r="M71" s="78">
        <f t="shared" si="45"/>
        <v>0.50933985700523132</v>
      </c>
      <c r="N71" s="78">
        <f t="shared" si="45"/>
        <v>0.65897817106055079</v>
      </c>
      <c r="O71" s="78">
        <f t="shared" si="46"/>
        <v>0.9075719003616125</v>
      </c>
      <c r="P71" s="78">
        <f t="shared" si="47"/>
        <v>1.2297393612244254</v>
      </c>
    </row>
    <row r="72" spans="1:16" x14ac:dyDescent="0.25">
      <c r="A72" t="str">
        <f>$A$23</f>
        <v>Mixer</v>
      </c>
      <c r="B72" s="78">
        <f>G23</f>
        <v>160</v>
      </c>
      <c r="C72" s="78"/>
      <c r="D72" s="78"/>
      <c r="E72" s="78"/>
      <c r="F72" s="78">
        <f t="shared" ref="F72:G72" si="49">H23</f>
        <v>240</v>
      </c>
      <c r="G72" s="78">
        <f t="shared" si="49"/>
        <v>320</v>
      </c>
      <c r="H72" s="78">
        <f>$J$23</f>
        <v>480</v>
      </c>
      <c r="I72" s="78">
        <f>K23</f>
        <v>640</v>
      </c>
      <c r="J72" s="78"/>
      <c r="K72" t="str">
        <f t="shared" si="42"/>
        <v>Mixer</v>
      </c>
      <c r="L72" s="78">
        <f t="shared" si="43"/>
        <v>0.16</v>
      </c>
      <c r="M72" s="78">
        <f t="shared" si="45"/>
        <v>0.24</v>
      </c>
      <c r="N72" s="78">
        <f t="shared" si="45"/>
        <v>0.32</v>
      </c>
      <c r="O72" s="78">
        <f t="shared" si="46"/>
        <v>0.48</v>
      </c>
      <c r="P72" s="78">
        <f t="shared" si="47"/>
        <v>0.64</v>
      </c>
    </row>
    <row r="73" spans="1:16" x14ac:dyDescent="0.25">
      <c r="A73" t="str">
        <f>$A$27</f>
        <v xml:space="preserve"> VCO</v>
      </c>
      <c r="B73" s="78">
        <f>G27</f>
        <v>960</v>
      </c>
      <c r="C73" s="78"/>
      <c r="D73" s="78"/>
      <c r="E73" s="78"/>
      <c r="F73" s="78">
        <f t="shared" ref="F73:G73" si="50">H27</f>
        <v>1440</v>
      </c>
      <c r="G73" s="78">
        <f t="shared" si="50"/>
        <v>1920</v>
      </c>
      <c r="H73" s="78">
        <f>$J$27</f>
        <v>2880</v>
      </c>
      <c r="I73" s="78">
        <f>K27</f>
        <v>3840</v>
      </c>
      <c r="J73" s="78"/>
      <c r="K73" t="str">
        <f t="shared" si="42"/>
        <v xml:space="preserve"> VCO</v>
      </c>
      <c r="L73" s="78">
        <f t="shared" si="43"/>
        <v>0.96</v>
      </c>
      <c r="M73" s="78">
        <f t="shared" si="45"/>
        <v>1.44</v>
      </c>
      <c r="N73" s="78">
        <f t="shared" si="45"/>
        <v>1.92</v>
      </c>
      <c r="O73" s="78">
        <f t="shared" si="46"/>
        <v>2.88</v>
      </c>
      <c r="P73" s="78">
        <f t="shared" si="47"/>
        <v>3.84</v>
      </c>
    </row>
    <row r="74" spans="1:16" x14ac:dyDescent="0.25">
      <c r="A74" t="str">
        <f>$A$41</f>
        <v>PS</v>
      </c>
      <c r="B74" s="78">
        <f>G41</f>
        <v>2560</v>
      </c>
      <c r="C74" s="78"/>
      <c r="D74" s="78"/>
      <c r="E74" s="78"/>
      <c r="F74" s="78">
        <f t="shared" ref="F74:G74" si="51">H41</f>
        <v>3840</v>
      </c>
      <c r="G74" s="78">
        <f t="shared" si="51"/>
        <v>5120</v>
      </c>
      <c r="H74" s="78">
        <f>$J$41</f>
        <v>7680</v>
      </c>
      <c r="I74" s="78">
        <f>K41</f>
        <v>10240</v>
      </c>
      <c r="J74" s="78"/>
      <c r="K74" t="str">
        <f t="shared" si="42"/>
        <v>PS</v>
      </c>
      <c r="L74" s="78">
        <f t="shared" si="43"/>
        <v>2.56</v>
      </c>
      <c r="M74" s="78">
        <f t="shared" si="45"/>
        <v>3.84</v>
      </c>
      <c r="N74" s="78">
        <f t="shared" si="45"/>
        <v>5.12</v>
      </c>
      <c r="O74" s="78">
        <f t="shared" si="46"/>
        <v>7.68</v>
      </c>
      <c r="P74" s="78">
        <f t="shared" si="47"/>
        <v>10.24</v>
      </c>
    </row>
    <row r="75" spans="1:16" x14ac:dyDescent="0.25">
      <c r="A75" t="str">
        <f>$A$46</f>
        <v>RF Amp</v>
      </c>
      <c r="B75" s="78">
        <f>G46</f>
        <v>12800</v>
      </c>
      <c r="C75" s="78"/>
      <c r="D75" s="78"/>
      <c r="E75" s="78"/>
      <c r="F75" s="78">
        <f t="shared" ref="F75:G75" si="52">H46</f>
        <v>19200</v>
      </c>
      <c r="G75" s="78">
        <f t="shared" si="52"/>
        <v>25600</v>
      </c>
      <c r="H75" s="78">
        <f>$J$46</f>
        <v>38400</v>
      </c>
      <c r="I75" s="78">
        <f>K46</f>
        <v>51200</v>
      </c>
      <c r="J75" s="78"/>
      <c r="K75" t="str">
        <f t="shared" si="42"/>
        <v>RF Amp</v>
      </c>
      <c r="L75" s="78">
        <f t="shared" si="43"/>
        <v>12.8</v>
      </c>
      <c r="M75" s="78">
        <f t="shared" si="45"/>
        <v>19.2</v>
      </c>
      <c r="N75" s="78">
        <f t="shared" si="45"/>
        <v>25.6</v>
      </c>
      <c r="O75" s="78">
        <f t="shared" si="46"/>
        <v>38.4</v>
      </c>
      <c r="P75" s="78">
        <f t="shared" si="47"/>
        <v>51.2</v>
      </c>
    </row>
    <row r="76" spans="1:16" x14ac:dyDescent="0.25">
      <c r="A76" t="str">
        <f>$A$53</f>
        <v>PA</v>
      </c>
      <c r="B76" s="78">
        <f>G53</f>
        <v>218689.67118780725</v>
      </c>
      <c r="C76" s="78"/>
      <c r="D76" s="78"/>
      <c r="E76" s="78"/>
      <c r="F76" s="78">
        <f t="shared" ref="F76:G76" si="53">H53</f>
        <v>170933.9275766694</v>
      </c>
      <c r="G76" s="78">
        <f t="shared" si="53"/>
        <v>120733.63366651548</v>
      </c>
      <c r="H76" s="78">
        <f>$J$53</f>
        <v>67893.511551074393</v>
      </c>
      <c r="I76" s="78">
        <f>K53</f>
        <v>52580.931014971153</v>
      </c>
      <c r="J76" s="78"/>
      <c r="K76" t="str">
        <f t="shared" si="42"/>
        <v>PA</v>
      </c>
      <c r="L76" s="78">
        <f t="shared" si="43"/>
        <v>218.68967118780725</v>
      </c>
      <c r="M76" s="78">
        <f t="shared" si="45"/>
        <v>170.93392757666942</v>
      </c>
      <c r="N76" s="78">
        <f t="shared" si="45"/>
        <v>120.73363366651549</v>
      </c>
      <c r="O76" s="78">
        <f t="shared" si="46"/>
        <v>67.893511551074397</v>
      </c>
      <c r="P76" s="78">
        <f t="shared" si="47"/>
        <v>52.580931014971149</v>
      </c>
    </row>
    <row r="78" spans="1:16" x14ac:dyDescent="0.25">
      <c r="B78" s="39">
        <v>256</v>
      </c>
      <c r="C78" s="39"/>
      <c r="D78" s="39"/>
      <c r="E78" s="39"/>
      <c r="F78" s="39">
        <v>384</v>
      </c>
      <c r="G78" s="39">
        <v>512</v>
      </c>
      <c r="H78" s="39">
        <v>768</v>
      </c>
      <c r="I78" s="39">
        <v>1024</v>
      </c>
      <c r="J78" s="113"/>
      <c r="L78" s="39">
        <v>256</v>
      </c>
      <c r="M78" s="39">
        <v>384</v>
      </c>
      <c r="N78" s="39">
        <v>512</v>
      </c>
      <c r="O78" s="39">
        <v>768</v>
      </c>
      <c r="P78" s="39">
        <v>1024</v>
      </c>
    </row>
    <row r="79" spans="1:16" x14ac:dyDescent="0.25">
      <c r="A79" t="str">
        <f>$A$12</f>
        <v>BB Precoding</v>
      </c>
      <c r="B79" s="78">
        <f>L12</f>
        <v>76.892307692307696</v>
      </c>
      <c r="C79" s="78"/>
      <c r="D79" s="78"/>
      <c r="E79" s="78"/>
      <c r="F79" s="78">
        <f>M12</f>
        <v>114.55384615384615</v>
      </c>
      <c r="G79" s="78">
        <f>N12</f>
        <v>152.21538461538461</v>
      </c>
      <c r="H79" s="78">
        <f>$O$12</f>
        <v>227.53846153846155</v>
      </c>
      <c r="I79" s="78">
        <f>P12</f>
        <v>302.86153846153849</v>
      </c>
      <c r="J79" s="78"/>
      <c r="K79" s="78" t="str">
        <f>$A$12</f>
        <v>BB Precoding</v>
      </c>
      <c r="L79" s="78">
        <f t="shared" ref="L79:L86" si="54">B79/1000</f>
        <v>7.689230769230769E-2</v>
      </c>
      <c r="M79" s="78">
        <f>F79/1000</f>
        <v>0.11455384615384614</v>
      </c>
      <c r="N79" s="78">
        <f>G79/1000</f>
        <v>0.15221538461538461</v>
      </c>
      <c r="O79" s="78">
        <f>H79/1000</f>
        <v>0.22753846153846155</v>
      </c>
      <c r="P79" s="78">
        <f>I79/1000</f>
        <v>0.30286153846153846</v>
      </c>
    </row>
    <row r="80" spans="1:16" x14ac:dyDescent="0.25">
      <c r="A80" t="str">
        <f>$A$15</f>
        <v>SERDES</v>
      </c>
      <c r="B80" s="78">
        <f>L15</f>
        <v>147.11686519242025</v>
      </c>
      <c r="C80" s="78"/>
      <c r="D80" s="78"/>
      <c r="E80" s="78"/>
      <c r="F80" s="78">
        <f t="shared" ref="F80" si="55">M15</f>
        <v>149.38870320557555</v>
      </c>
      <c r="G80" s="78">
        <f>N15</f>
        <v>149.78189828004585</v>
      </c>
      <c r="H80" s="78">
        <f>$O$15</f>
        <v>146.89706962653449</v>
      </c>
      <c r="I80" s="78">
        <f>P15</f>
        <v>144.85359803433818</v>
      </c>
      <c r="J80" s="78"/>
      <c r="K80" s="78" t="str">
        <f>$A$15</f>
        <v>SERDES</v>
      </c>
      <c r="L80" s="78">
        <f t="shared" si="54"/>
        <v>0.14711686519242026</v>
      </c>
      <c r="M80" s="78">
        <f t="shared" ref="M80:N86" si="56">F80/1000</f>
        <v>0.14938870320557554</v>
      </c>
      <c r="N80" s="78">
        <f t="shared" si="56"/>
        <v>0.14978189828004584</v>
      </c>
      <c r="O80" s="78">
        <f t="shared" ref="O80:O86" si="57">H80/1000</f>
        <v>0.14689706962653448</v>
      </c>
      <c r="P80" s="78">
        <f t="shared" ref="P80:P86" si="58">I80/1000</f>
        <v>0.14485359803433817</v>
      </c>
    </row>
    <row r="81" spans="1:16" x14ac:dyDescent="0.25">
      <c r="A81" t="str">
        <f>$A$19</f>
        <v>DAC</v>
      </c>
      <c r="B81" s="78">
        <f>L19</f>
        <v>43.672256784957618</v>
      </c>
      <c r="C81" s="78"/>
      <c r="D81" s="78"/>
      <c r="E81" s="78"/>
      <c r="F81" s="78">
        <f t="shared" ref="F81" si="59">M19</f>
        <v>68.613780127725008</v>
      </c>
      <c r="G81" s="78">
        <f>N19</f>
        <v>92.221326095386772</v>
      </c>
      <c r="H81" s="78">
        <f>$O$19</f>
        <v>130.43101035941248</v>
      </c>
      <c r="I81" s="78">
        <f>P19</f>
        <v>166.8119113085686</v>
      </c>
      <c r="J81" s="78"/>
      <c r="K81" s="78" t="str">
        <f>$A$19</f>
        <v>DAC</v>
      </c>
      <c r="L81" s="78">
        <f t="shared" si="54"/>
        <v>4.3672256784957619E-2</v>
      </c>
      <c r="M81" s="78">
        <f t="shared" si="56"/>
        <v>6.861378012772501E-2</v>
      </c>
      <c r="N81" s="78">
        <f t="shared" si="56"/>
        <v>9.2221326095386774E-2</v>
      </c>
      <c r="O81" s="78">
        <f t="shared" si="57"/>
        <v>0.13043101035941249</v>
      </c>
      <c r="P81" s="78">
        <f t="shared" si="58"/>
        <v>0.16681191130856859</v>
      </c>
    </row>
    <row r="82" spans="1:16" x14ac:dyDescent="0.25">
      <c r="A82" t="str">
        <f>$A$23</f>
        <v>Mixer</v>
      </c>
      <c r="B82" s="78">
        <f>L23</f>
        <v>160</v>
      </c>
      <c r="C82" s="78"/>
      <c r="D82" s="78"/>
      <c r="E82" s="78"/>
      <c r="F82" s="78">
        <f t="shared" ref="F82" si="60">M23</f>
        <v>240</v>
      </c>
      <c r="G82" s="78">
        <f>N23</f>
        <v>320</v>
      </c>
      <c r="H82" s="78">
        <f>$O$23</f>
        <v>480</v>
      </c>
      <c r="I82" s="78">
        <f>P23</f>
        <v>640</v>
      </c>
      <c r="J82" s="78"/>
      <c r="K82" s="78" t="str">
        <f>$A$23</f>
        <v>Mixer</v>
      </c>
      <c r="L82" s="78">
        <f t="shared" si="54"/>
        <v>0.16</v>
      </c>
      <c r="M82" s="78">
        <f t="shared" si="56"/>
        <v>0.24</v>
      </c>
      <c r="N82" s="78">
        <f t="shared" si="56"/>
        <v>0.32</v>
      </c>
      <c r="O82" s="78">
        <f t="shared" si="57"/>
        <v>0.48</v>
      </c>
      <c r="P82" s="78">
        <f t="shared" si="58"/>
        <v>0.64</v>
      </c>
    </row>
    <row r="83" spans="1:16" x14ac:dyDescent="0.25">
      <c r="A83" t="str">
        <f>$A$27</f>
        <v xml:space="preserve"> VCO</v>
      </c>
      <c r="B83" s="78">
        <f>L27</f>
        <v>960</v>
      </c>
      <c r="C83" s="78"/>
      <c r="D83" s="78"/>
      <c r="E83" s="78"/>
      <c r="F83" s="78">
        <f t="shared" ref="F83" si="61">M27</f>
        <v>1440</v>
      </c>
      <c r="G83" s="78">
        <f>N27</f>
        <v>1920</v>
      </c>
      <c r="H83" s="78">
        <f>$O$27</f>
        <v>2880</v>
      </c>
      <c r="I83" s="78">
        <f>P27</f>
        <v>3840</v>
      </c>
      <c r="J83" s="78"/>
      <c r="K83" s="78" t="str">
        <f>$A$27</f>
        <v xml:space="preserve"> VCO</v>
      </c>
      <c r="L83" s="78">
        <f t="shared" si="54"/>
        <v>0.96</v>
      </c>
      <c r="M83" s="78">
        <f t="shared" si="56"/>
        <v>1.44</v>
      </c>
      <c r="N83" s="78">
        <f t="shared" si="56"/>
        <v>1.92</v>
      </c>
      <c r="O83" s="78">
        <f t="shared" si="57"/>
        <v>2.88</v>
      </c>
      <c r="P83" s="78">
        <f t="shared" si="58"/>
        <v>3.84</v>
      </c>
    </row>
    <row r="84" spans="1:16" x14ac:dyDescent="0.25">
      <c r="A84" t="str">
        <f>$A$41</f>
        <v>PS</v>
      </c>
      <c r="B84" s="78">
        <f>L41</f>
        <v>2560</v>
      </c>
      <c r="C84" s="78"/>
      <c r="D84" s="78"/>
      <c r="E84" s="78"/>
      <c r="F84" s="78">
        <f t="shared" ref="F84" si="62">M41</f>
        <v>3840</v>
      </c>
      <c r="G84" s="78">
        <f>N41</f>
        <v>5120</v>
      </c>
      <c r="H84" s="78">
        <f>$O$41</f>
        <v>7680</v>
      </c>
      <c r="I84" s="78">
        <f>P41</f>
        <v>10240</v>
      </c>
      <c r="J84" s="78"/>
      <c r="K84" s="78" t="str">
        <f>$A$41</f>
        <v>PS</v>
      </c>
      <c r="L84" s="78">
        <f t="shared" si="54"/>
        <v>2.56</v>
      </c>
      <c r="M84" s="78">
        <f t="shared" si="56"/>
        <v>3.84</v>
      </c>
      <c r="N84" s="78">
        <f t="shared" si="56"/>
        <v>5.12</v>
      </c>
      <c r="O84" s="78">
        <f t="shared" si="57"/>
        <v>7.68</v>
      </c>
      <c r="P84" s="78">
        <f t="shared" si="58"/>
        <v>10.24</v>
      </c>
    </row>
    <row r="85" spans="1:16" x14ac:dyDescent="0.25">
      <c r="A85" t="str">
        <f>$A$46</f>
        <v>RF Amp</v>
      </c>
      <c r="B85" s="78">
        <f>L46</f>
        <v>12800</v>
      </c>
      <c r="C85" s="78"/>
      <c r="D85" s="78"/>
      <c r="E85" s="78"/>
      <c r="F85" s="78">
        <f t="shared" ref="F85" si="63">M46</f>
        <v>19200</v>
      </c>
      <c r="G85" s="78">
        <f>N46</f>
        <v>25600</v>
      </c>
      <c r="H85" s="78">
        <f>$O$46</f>
        <v>38400</v>
      </c>
      <c r="I85" s="78">
        <f>P46</f>
        <v>51200</v>
      </c>
      <c r="J85" s="78"/>
      <c r="K85" s="78" t="str">
        <f>$A$46</f>
        <v>RF Amp</v>
      </c>
      <c r="L85" s="78">
        <f t="shared" si="54"/>
        <v>12.8</v>
      </c>
      <c r="M85" s="78">
        <f t="shared" si="56"/>
        <v>19.2</v>
      </c>
      <c r="N85" s="78">
        <f t="shared" si="56"/>
        <v>25.6</v>
      </c>
      <c r="O85" s="78">
        <f t="shared" si="57"/>
        <v>38.4</v>
      </c>
      <c r="P85" s="78">
        <f t="shared" si="58"/>
        <v>51.2</v>
      </c>
    </row>
    <row r="86" spans="1:16" x14ac:dyDescent="0.25">
      <c r="A86" t="str">
        <f>$A$53</f>
        <v>PA</v>
      </c>
      <c r="B86" s="78">
        <f>L53</f>
        <v>587257.09384706279</v>
      </c>
      <c r="C86" s="78"/>
      <c r="D86" s="78"/>
      <c r="E86" s="78"/>
      <c r="F86" s="78">
        <f t="shared" ref="F86" si="64">M53</f>
        <v>429366.613364477</v>
      </c>
      <c r="G86" s="78">
        <f>N53</f>
        <v>327211.28365076473</v>
      </c>
      <c r="H86" s="78">
        <f>$O$53</f>
        <v>194011.85656486786</v>
      </c>
      <c r="I86" s="78">
        <f>P53</f>
        <v>133914.70581801565</v>
      </c>
      <c r="J86" s="78"/>
      <c r="K86" s="78" t="str">
        <f>$A$53</f>
        <v>PA</v>
      </c>
      <c r="L86" s="78">
        <f t="shared" si="54"/>
        <v>587.25709384706283</v>
      </c>
      <c r="M86" s="78">
        <f t="shared" si="56"/>
        <v>429.36661336447702</v>
      </c>
      <c r="N86" s="78">
        <f t="shared" si="56"/>
        <v>327.21128365076476</v>
      </c>
      <c r="O86" s="78">
        <f t="shared" si="57"/>
        <v>194.01185656486786</v>
      </c>
      <c r="P86" s="78">
        <f t="shared" si="58"/>
        <v>133.91470581801565</v>
      </c>
    </row>
    <row r="88" spans="1:16" x14ac:dyDescent="0.25">
      <c r="B88" s="39">
        <v>256</v>
      </c>
      <c r="C88" s="39"/>
      <c r="D88" s="39"/>
      <c r="E88" s="39"/>
      <c r="F88" s="39">
        <v>384</v>
      </c>
      <c r="G88" s="39">
        <v>512</v>
      </c>
      <c r="H88" s="39">
        <v>768</v>
      </c>
      <c r="I88" s="39">
        <v>1024</v>
      </c>
      <c r="J88" s="113"/>
      <c r="L88" s="39">
        <v>256</v>
      </c>
      <c r="M88" s="39">
        <v>384</v>
      </c>
      <c r="N88" s="39">
        <v>512</v>
      </c>
      <c r="O88" s="39">
        <v>768</v>
      </c>
      <c r="P88" s="39">
        <v>1024</v>
      </c>
    </row>
    <row r="89" spans="1:16" x14ac:dyDescent="0.25">
      <c r="A89" t="str">
        <f>$A$12</f>
        <v>BB Precoding</v>
      </c>
      <c r="B89" s="78">
        <f>Q12</f>
        <v>75.715384615384622</v>
      </c>
      <c r="C89" s="78"/>
      <c r="D89" s="78"/>
      <c r="E89" s="78"/>
      <c r="F89" s="78">
        <f>R12</f>
        <v>113.37692307692308</v>
      </c>
      <c r="G89" s="78">
        <f>S12</f>
        <v>151.03846153846155</v>
      </c>
      <c r="H89" s="78">
        <f>$T$12</f>
        <v>226.36153846153846</v>
      </c>
      <c r="I89" s="78">
        <f>U12</f>
        <v>301.68461538461537</v>
      </c>
      <c r="J89" s="78"/>
      <c r="K89" s="78" t="str">
        <f>$A$12</f>
        <v>BB Precoding</v>
      </c>
      <c r="L89" s="78">
        <f t="shared" ref="L89:L96" si="65">B89/1000</f>
        <v>7.5715384615384615E-2</v>
      </c>
      <c r="M89" s="78">
        <f>F89/1000</f>
        <v>0.11337692307692308</v>
      </c>
      <c r="N89" s="78">
        <f>G89/1000</f>
        <v>0.15103846153846154</v>
      </c>
      <c r="O89" s="78">
        <f>H89/1000</f>
        <v>0.22636153846153845</v>
      </c>
      <c r="P89" s="78">
        <f>I89/1000</f>
        <v>0.30168461538461538</v>
      </c>
    </row>
    <row r="90" spans="1:16" x14ac:dyDescent="0.25">
      <c r="A90" t="str">
        <f>$A$15</f>
        <v>SERDES</v>
      </c>
      <c r="B90" s="78">
        <f>Q15</f>
        <v>155.50013235050238</v>
      </c>
      <c r="C90" s="78"/>
      <c r="D90" s="78"/>
      <c r="E90" s="78"/>
      <c r="F90" s="78">
        <f t="shared" ref="F90:G90" si="66">R15</f>
        <v>155.5877180237467</v>
      </c>
      <c r="G90" s="78">
        <f t="shared" si="66"/>
        <v>155.52931556098184</v>
      </c>
      <c r="H90" s="78">
        <f>$T$15</f>
        <v>155.36190123422617</v>
      </c>
      <c r="I90" s="78">
        <f>U15</f>
        <v>155.27516543812797</v>
      </c>
      <c r="J90" s="78"/>
      <c r="K90" s="78" t="str">
        <f>$A$15</f>
        <v>SERDES</v>
      </c>
      <c r="L90" s="78">
        <f t="shared" si="65"/>
        <v>0.15550013235050239</v>
      </c>
      <c r="M90" s="78">
        <f t="shared" ref="M90:N96" si="67">F90/1000</f>
        <v>0.15558771802374671</v>
      </c>
      <c r="N90" s="78">
        <f t="shared" si="67"/>
        <v>0.15552931556098185</v>
      </c>
      <c r="O90" s="78">
        <f t="shared" ref="O90:O96" si="68">H90/1000</f>
        <v>0.15536190123422616</v>
      </c>
      <c r="P90" s="78">
        <f t="shared" ref="P90:P96" si="69">I90/1000</f>
        <v>0.15527516543812797</v>
      </c>
    </row>
    <row r="91" spans="1:16" x14ac:dyDescent="0.25">
      <c r="A91" t="str">
        <f>$A$19</f>
        <v>DAC</v>
      </c>
      <c r="B91" s="78">
        <f>Q19</f>
        <v>1233.6737178273099</v>
      </c>
      <c r="C91" s="78"/>
      <c r="D91" s="78"/>
      <c r="E91" s="78"/>
      <c r="F91" s="78">
        <f t="shared" ref="F91:G91" si="70">R19</f>
        <v>1857.1308647411483</v>
      </c>
      <c r="G91" s="78">
        <f t="shared" si="70"/>
        <v>2470.2850739698588</v>
      </c>
      <c r="H91" s="78">
        <f>$T$19</f>
        <v>3680.2203254713718</v>
      </c>
      <c r="I91" s="78">
        <f>U19</f>
        <v>4889.6375678908389</v>
      </c>
      <c r="J91" s="78"/>
      <c r="K91" s="78" t="str">
        <f>$A$19</f>
        <v>DAC</v>
      </c>
      <c r="L91" s="78">
        <f t="shared" si="65"/>
        <v>1.2336737178273098</v>
      </c>
      <c r="M91" s="78">
        <f t="shared" si="67"/>
        <v>1.8571308647411484</v>
      </c>
      <c r="N91" s="78">
        <f t="shared" si="67"/>
        <v>2.4702850739698587</v>
      </c>
      <c r="O91" s="78">
        <f t="shared" si="68"/>
        <v>3.6802203254713719</v>
      </c>
      <c r="P91" s="78">
        <f t="shared" si="69"/>
        <v>4.8896375678908388</v>
      </c>
    </row>
    <row r="92" spans="1:16" x14ac:dyDescent="0.25">
      <c r="A92" t="str">
        <f>$A$23</f>
        <v>Mixer</v>
      </c>
      <c r="B92" s="78">
        <f>Q23</f>
        <v>160</v>
      </c>
      <c r="C92" s="78"/>
      <c r="D92" s="78"/>
      <c r="E92" s="78"/>
      <c r="F92" s="78">
        <f t="shared" ref="F92:G92" si="71">R23</f>
        <v>240</v>
      </c>
      <c r="G92" s="78">
        <f t="shared" si="71"/>
        <v>320</v>
      </c>
      <c r="H92" s="78">
        <f>$T$23</f>
        <v>480</v>
      </c>
      <c r="I92" s="78">
        <f>U23</f>
        <v>640</v>
      </c>
      <c r="J92" s="78"/>
      <c r="K92" s="78" t="str">
        <f>$A$23</f>
        <v>Mixer</v>
      </c>
      <c r="L92" s="78">
        <f t="shared" si="65"/>
        <v>0.16</v>
      </c>
      <c r="M92" s="78">
        <f t="shared" si="67"/>
        <v>0.24</v>
      </c>
      <c r="N92" s="78">
        <f t="shared" si="67"/>
        <v>0.32</v>
      </c>
      <c r="O92" s="78">
        <f t="shared" si="68"/>
        <v>0.48</v>
      </c>
      <c r="P92" s="78">
        <f t="shared" si="69"/>
        <v>0.64</v>
      </c>
    </row>
    <row r="93" spans="1:16" x14ac:dyDescent="0.25">
      <c r="A93" t="str">
        <f>$A$27</f>
        <v xml:space="preserve"> VCO</v>
      </c>
      <c r="B93" s="78">
        <f>Q27</f>
        <v>960</v>
      </c>
      <c r="C93" s="78"/>
      <c r="D93" s="78"/>
      <c r="E93" s="78"/>
      <c r="F93" s="78">
        <f t="shared" ref="F93:G93" si="72">R27</f>
        <v>1440</v>
      </c>
      <c r="G93" s="78">
        <f t="shared" si="72"/>
        <v>1920</v>
      </c>
      <c r="H93" s="78">
        <f>$T$27</f>
        <v>2880</v>
      </c>
      <c r="I93" s="78">
        <f>U27</f>
        <v>3840</v>
      </c>
      <c r="J93" s="78"/>
      <c r="K93" s="78" t="str">
        <f>$A$27</f>
        <v xml:space="preserve"> VCO</v>
      </c>
      <c r="L93" s="78">
        <f t="shared" si="65"/>
        <v>0.96</v>
      </c>
      <c r="M93" s="78">
        <f t="shared" si="67"/>
        <v>1.44</v>
      </c>
      <c r="N93" s="78">
        <f t="shared" si="67"/>
        <v>1.92</v>
      </c>
      <c r="O93" s="78">
        <f t="shared" si="68"/>
        <v>2.88</v>
      </c>
      <c r="P93" s="78">
        <f t="shared" si="69"/>
        <v>3.84</v>
      </c>
    </row>
    <row r="94" spans="1:16" x14ac:dyDescent="0.25">
      <c r="A94" t="str">
        <f>$A$41</f>
        <v>PS</v>
      </c>
      <c r="B94" s="78">
        <f>Q41</f>
        <v>2560</v>
      </c>
      <c r="C94" s="78"/>
      <c r="D94" s="78"/>
      <c r="E94" s="78"/>
      <c r="F94" s="78">
        <f t="shared" ref="F94:G94" si="73">R41</f>
        <v>3840</v>
      </c>
      <c r="G94" s="78">
        <f t="shared" si="73"/>
        <v>5120</v>
      </c>
      <c r="H94" s="78">
        <f>$T$41</f>
        <v>7680</v>
      </c>
      <c r="I94" s="78">
        <f>U41</f>
        <v>10240</v>
      </c>
      <c r="J94" s="78"/>
      <c r="K94" s="78" t="str">
        <f>$A$41</f>
        <v>PS</v>
      </c>
      <c r="L94" s="78">
        <f t="shared" si="65"/>
        <v>2.56</v>
      </c>
      <c r="M94" s="78">
        <f t="shared" si="67"/>
        <v>3.84</v>
      </c>
      <c r="N94" s="78">
        <f t="shared" si="67"/>
        <v>5.12</v>
      </c>
      <c r="O94" s="78">
        <f t="shared" si="68"/>
        <v>7.68</v>
      </c>
      <c r="P94" s="78">
        <f t="shared" si="69"/>
        <v>10.24</v>
      </c>
    </row>
    <row r="95" spans="1:16" x14ac:dyDescent="0.25">
      <c r="A95" t="str">
        <f>$A$46</f>
        <v>RF Amp</v>
      </c>
      <c r="B95" s="78">
        <f>Q46</f>
        <v>12800</v>
      </c>
      <c r="C95" s="78"/>
      <c r="D95" s="78"/>
      <c r="E95" s="78"/>
      <c r="F95" s="78">
        <f t="shared" ref="F95:G95" si="74">R46</f>
        <v>19200</v>
      </c>
      <c r="G95" s="78">
        <f t="shared" si="74"/>
        <v>25600</v>
      </c>
      <c r="H95" s="78">
        <f>$T$46</f>
        <v>38400</v>
      </c>
      <c r="I95" s="78">
        <f>U46</f>
        <v>51200</v>
      </c>
      <c r="J95" s="78"/>
      <c r="K95" s="78" t="str">
        <f>$A$46</f>
        <v>RF Amp</v>
      </c>
      <c r="L95" s="78">
        <f t="shared" si="65"/>
        <v>12.8</v>
      </c>
      <c r="M95" s="78">
        <f t="shared" si="67"/>
        <v>19.2</v>
      </c>
      <c r="N95" s="78">
        <f t="shared" si="67"/>
        <v>25.6</v>
      </c>
      <c r="O95" s="78">
        <f t="shared" si="68"/>
        <v>38.4</v>
      </c>
      <c r="P95" s="78">
        <f t="shared" si="69"/>
        <v>51.2</v>
      </c>
    </row>
    <row r="96" spans="1:16" x14ac:dyDescent="0.25">
      <c r="A96" t="str">
        <f>$A$53</f>
        <v>PA</v>
      </c>
      <c r="B96" s="78">
        <f>Q53</f>
        <v>109352.38803666338</v>
      </c>
      <c r="C96" s="78"/>
      <c r="D96" s="78"/>
      <c r="E96" s="78"/>
      <c r="F96" s="78">
        <f t="shared" ref="F96:G96" si="75">R53</f>
        <v>73422.348464170631</v>
      </c>
      <c r="G96" s="78">
        <f t="shared" si="75"/>
        <v>54806.020850631408</v>
      </c>
      <c r="H96" s="78">
        <f>$T$53</f>
        <v>36043.609146682342</v>
      </c>
      <c r="I96" s="78">
        <f>U53</f>
        <v>26842.828186504681</v>
      </c>
      <c r="J96" s="78"/>
      <c r="K96" s="78" t="str">
        <f>$A$53</f>
        <v>PA</v>
      </c>
      <c r="L96" s="78">
        <f t="shared" si="65"/>
        <v>109.35238803666338</v>
      </c>
      <c r="M96" s="78">
        <f t="shared" si="67"/>
        <v>73.422348464170625</v>
      </c>
      <c r="N96" s="78">
        <f t="shared" si="67"/>
        <v>54.806020850631405</v>
      </c>
      <c r="O96" s="78">
        <f t="shared" si="68"/>
        <v>36.043609146682343</v>
      </c>
      <c r="P96" s="78">
        <f t="shared" si="69"/>
        <v>26.842828186504683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99"/>
  <sheetViews>
    <sheetView workbookViewId="0">
      <selection activeCell="H7" sqref="H7"/>
    </sheetView>
  </sheetViews>
  <sheetFormatPr defaultRowHeight="15" x14ac:dyDescent="0.25"/>
  <cols>
    <col min="1" max="1" width="31.28515625" customWidth="1"/>
    <col min="2" max="2" width="11.7109375" customWidth="1"/>
    <col min="3" max="5" width="11.7109375" hidden="1" customWidth="1"/>
    <col min="6" max="6" width="13.140625" customWidth="1"/>
    <col min="7" max="7" width="12.5703125" customWidth="1"/>
    <col min="8" max="8" width="11.42578125" customWidth="1"/>
    <col min="9" max="9" width="13.5703125" customWidth="1"/>
    <col min="10" max="10" width="12.7109375" customWidth="1"/>
    <col min="11" max="11" width="11.5703125" customWidth="1"/>
    <col min="12" max="12" width="12.28515625" customWidth="1"/>
    <col min="13" max="13" width="11.5703125" customWidth="1"/>
    <col min="14" max="14" width="11.7109375" customWidth="1"/>
    <col min="15" max="15" width="12" customWidth="1"/>
    <col min="16" max="16" width="12.42578125" customWidth="1"/>
    <col min="17" max="17" width="13" customWidth="1"/>
    <col min="18" max="18" width="12.5703125" customWidth="1"/>
  </cols>
  <sheetData>
    <row r="1" spans="1:18" x14ac:dyDescent="0.25">
      <c r="A1" s="14" t="s">
        <v>343</v>
      </c>
      <c r="B1" s="14" t="s">
        <v>326</v>
      </c>
      <c r="C1" s="2" t="s">
        <v>335</v>
      </c>
      <c r="D1" s="2" t="s">
        <v>479</v>
      </c>
      <c r="E1" s="2" t="s">
        <v>480</v>
      </c>
      <c r="F1" s="2" t="s">
        <v>481</v>
      </c>
      <c r="G1" s="2" t="s">
        <v>449</v>
      </c>
      <c r="H1" s="2" t="s">
        <v>448</v>
      </c>
      <c r="I1" s="2" t="s">
        <v>450</v>
      </c>
      <c r="J1" s="2" t="s">
        <v>451</v>
      </c>
      <c r="K1" s="101" t="s">
        <v>452</v>
      </c>
      <c r="L1" s="101" t="s">
        <v>453</v>
      </c>
      <c r="M1" s="101" t="s">
        <v>454</v>
      </c>
      <c r="N1" s="101" t="s">
        <v>455</v>
      </c>
      <c r="O1" s="102" t="s">
        <v>457</v>
      </c>
      <c r="P1" s="102" t="s">
        <v>456</v>
      </c>
      <c r="Q1" s="102" t="s">
        <v>458</v>
      </c>
      <c r="R1" s="102" t="s">
        <v>459</v>
      </c>
    </row>
    <row r="2" spans="1:18" x14ac:dyDescent="0.25">
      <c r="A2" s="67" t="s">
        <v>356</v>
      </c>
      <c r="B2" s="40" t="s">
        <v>330</v>
      </c>
      <c r="C2" s="39">
        <v>128</v>
      </c>
      <c r="D2" s="39">
        <v>256</v>
      </c>
      <c r="E2" s="39">
        <v>384</v>
      </c>
      <c r="F2" s="39">
        <v>768</v>
      </c>
      <c r="G2" s="39">
        <v>64</v>
      </c>
      <c r="H2" s="39">
        <v>128</v>
      </c>
      <c r="I2" s="39">
        <v>192</v>
      </c>
      <c r="J2" s="113">
        <v>256</v>
      </c>
      <c r="K2" s="113">
        <v>384</v>
      </c>
      <c r="L2" s="113">
        <v>512</v>
      </c>
      <c r="M2" s="113">
        <v>768</v>
      </c>
      <c r="N2" s="113">
        <v>1024</v>
      </c>
      <c r="O2" s="113">
        <v>384</v>
      </c>
      <c r="P2" s="113">
        <v>512</v>
      </c>
      <c r="Q2" s="113">
        <v>768</v>
      </c>
      <c r="R2" s="113">
        <v>1024</v>
      </c>
    </row>
    <row r="3" spans="1:18" x14ac:dyDescent="0.25">
      <c r="A3" s="67" t="s">
        <v>355</v>
      </c>
      <c r="B3" s="40" t="s">
        <v>330</v>
      </c>
      <c r="C3" s="39">
        <v>8</v>
      </c>
      <c r="D3" s="39">
        <v>8</v>
      </c>
      <c r="E3" s="39">
        <v>8</v>
      </c>
      <c r="F3" s="39">
        <v>8</v>
      </c>
      <c r="G3" s="39">
        <v>8</v>
      </c>
      <c r="H3" s="39">
        <v>8</v>
      </c>
      <c r="I3" s="39">
        <v>8</v>
      </c>
      <c r="J3" s="39">
        <v>8</v>
      </c>
      <c r="K3" s="39">
        <v>2</v>
      </c>
      <c r="L3" s="39">
        <v>2</v>
      </c>
      <c r="M3" s="39">
        <v>2</v>
      </c>
      <c r="N3" s="39">
        <v>2</v>
      </c>
      <c r="O3" s="39">
        <v>1</v>
      </c>
      <c r="P3" s="39">
        <v>1</v>
      </c>
      <c r="Q3" s="39">
        <v>1</v>
      </c>
      <c r="R3" s="39">
        <v>1</v>
      </c>
    </row>
    <row r="4" spans="1:18" x14ac:dyDescent="0.25">
      <c r="A4" s="67" t="s">
        <v>263</v>
      </c>
      <c r="B4" s="40" t="s">
        <v>330</v>
      </c>
      <c r="C4" s="39">
        <f>C2</f>
        <v>128</v>
      </c>
      <c r="D4" s="39">
        <f>D2</f>
        <v>256</v>
      </c>
      <c r="E4" s="39">
        <f>E2</f>
        <v>384</v>
      </c>
      <c r="F4" s="39">
        <f>F2</f>
        <v>768</v>
      </c>
      <c r="G4" s="39">
        <f>G2</f>
        <v>64</v>
      </c>
      <c r="H4" s="39">
        <f t="shared" ref="H4:J4" si="0">H2</f>
        <v>128</v>
      </c>
      <c r="I4" s="39">
        <f t="shared" si="0"/>
        <v>192</v>
      </c>
      <c r="J4" s="39">
        <f t="shared" si="0"/>
        <v>256</v>
      </c>
      <c r="K4" s="39">
        <f>K2</f>
        <v>384</v>
      </c>
      <c r="L4" s="39">
        <f t="shared" ref="L4:N4" si="1">L2</f>
        <v>512</v>
      </c>
      <c r="M4" s="39">
        <f t="shared" si="1"/>
        <v>768</v>
      </c>
      <c r="N4" s="39">
        <f t="shared" si="1"/>
        <v>1024</v>
      </c>
      <c r="O4" s="39">
        <f>O2</f>
        <v>384</v>
      </c>
      <c r="P4" s="39">
        <f t="shared" ref="P4:R4" si="2">P2</f>
        <v>512</v>
      </c>
      <c r="Q4" s="39">
        <f t="shared" si="2"/>
        <v>768</v>
      </c>
      <c r="R4" s="39">
        <f t="shared" si="2"/>
        <v>1024</v>
      </c>
    </row>
    <row r="5" spans="1:18" x14ac:dyDescent="0.25">
      <c r="A5" s="67" t="s">
        <v>331</v>
      </c>
      <c r="B5" s="40" t="s">
        <v>330</v>
      </c>
      <c r="C5" s="39">
        <f>C4*C3</f>
        <v>1024</v>
      </c>
      <c r="D5" s="39">
        <f>D4*D3</f>
        <v>2048</v>
      </c>
      <c r="E5" s="39">
        <f>E4*E3</f>
        <v>3072</v>
      </c>
      <c r="F5" s="39">
        <f>F4*F3</f>
        <v>6144</v>
      </c>
      <c r="G5" s="39">
        <f t="shared" ref="G5" si="3">G4*G3</f>
        <v>512</v>
      </c>
      <c r="H5" s="39">
        <f t="shared" ref="H5:J5" si="4">H4*H3</f>
        <v>1024</v>
      </c>
      <c r="I5" s="39">
        <f t="shared" si="4"/>
        <v>1536</v>
      </c>
      <c r="J5" s="39">
        <f t="shared" si="4"/>
        <v>2048</v>
      </c>
      <c r="K5" s="39">
        <f t="shared" ref="K5:R5" si="5">K4*K3</f>
        <v>768</v>
      </c>
      <c r="L5" s="39">
        <f t="shared" si="5"/>
        <v>1024</v>
      </c>
      <c r="M5" s="39">
        <f t="shared" si="5"/>
        <v>1536</v>
      </c>
      <c r="N5" s="39">
        <f t="shared" si="5"/>
        <v>2048</v>
      </c>
      <c r="O5" s="39">
        <f t="shared" si="5"/>
        <v>384</v>
      </c>
      <c r="P5" s="39">
        <f t="shared" si="5"/>
        <v>512</v>
      </c>
      <c r="Q5" s="39">
        <f t="shared" si="5"/>
        <v>768</v>
      </c>
      <c r="R5" s="39">
        <f t="shared" si="5"/>
        <v>1024</v>
      </c>
    </row>
    <row r="6" spans="1:18" x14ac:dyDescent="0.25">
      <c r="A6" s="67" t="s">
        <v>464</v>
      </c>
      <c r="B6" s="40" t="s">
        <v>342</v>
      </c>
      <c r="C6" s="39" t="s">
        <v>20</v>
      </c>
      <c r="D6" s="39" t="s">
        <v>20</v>
      </c>
      <c r="E6" s="39" t="s">
        <v>20</v>
      </c>
      <c r="F6" s="39" t="s">
        <v>20</v>
      </c>
      <c r="G6" s="39">
        <v>8</v>
      </c>
      <c r="H6" s="39">
        <v>8</v>
      </c>
      <c r="I6" s="39">
        <v>8</v>
      </c>
      <c r="J6" s="39">
        <v>8</v>
      </c>
      <c r="K6" s="39">
        <v>2</v>
      </c>
      <c r="L6" s="39">
        <v>2</v>
      </c>
      <c r="M6" s="39">
        <v>2</v>
      </c>
      <c r="N6" s="39">
        <v>2</v>
      </c>
      <c r="O6" s="39">
        <v>1</v>
      </c>
      <c r="P6" s="39">
        <v>1</v>
      </c>
      <c r="Q6" s="39">
        <v>1</v>
      </c>
      <c r="R6" s="39">
        <v>1</v>
      </c>
    </row>
    <row r="7" spans="1:18" x14ac:dyDescent="0.25">
      <c r="A7" s="67" t="s">
        <v>262</v>
      </c>
      <c r="B7" s="40" t="s">
        <v>330</v>
      </c>
      <c r="C7" s="31">
        <f>C3</f>
        <v>8</v>
      </c>
      <c r="D7" s="31">
        <f>D3</f>
        <v>8</v>
      </c>
      <c r="E7" s="31">
        <f>E3</f>
        <v>8</v>
      </c>
      <c r="F7" s="31">
        <f>F3</f>
        <v>8</v>
      </c>
      <c r="G7" s="31">
        <f t="shared" ref="G7:R7" si="6">(10+10-1.76+G11+G54+10*LOG10(G2/G3))/6</f>
        <v>7.1084833116532389</v>
      </c>
      <c r="H7" s="31">
        <f t="shared" si="6"/>
        <v>7.0601999710932075</v>
      </c>
      <c r="I7" s="31">
        <f t="shared" si="6"/>
        <v>7.0353520695193437</v>
      </c>
      <c r="J7" s="31">
        <f t="shared" si="6"/>
        <v>7.0269166305331767</v>
      </c>
      <c r="K7" s="31">
        <f t="shared" si="6"/>
        <v>4.3038353811725827</v>
      </c>
      <c r="L7" s="31">
        <f t="shared" si="6"/>
        <v>4.2920666088530828</v>
      </c>
      <c r="M7" s="31">
        <f t="shared" si="6"/>
        <v>4.2788853739458848</v>
      </c>
      <c r="N7" s="31">
        <f t="shared" si="6"/>
        <v>4.2687832682930518</v>
      </c>
      <c r="O7" s="31">
        <f t="shared" si="6"/>
        <v>9.1522187072792178</v>
      </c>
      <c r="P7" s="31">
        <f t="shared" si="6"/>
        <v>9.1487832682930499</v>
      </c>
      <c r="Q7" s="31">
        <f t="shared" si="6"/>
        <v>9.1389353667191866</v>
      </c>
      <c r="R7" s="31">
        <f t="shared" si="6"/>
        <v>9.1338332610663517</v>
      </c>
    </row>
    <row r="8" spans="1:18" x14ac:dyDescent="0.25">
      <c r="A8" s="67" t="s">
        <v>260</v>
      </c>
      <c r="B8" s="40" t="s">
        <v>342</v>
      </c>
      <c r="C8" s="44">
        <f>C10*5</f>
        <v>4.25</v>
      </c>
      <c r="D8" s="44">
        <f>D10*5</f>
        <v>4.25</v>
      </c>
      <c r="E8" s="44">
        <f>E10*5</f>
        <v>4.25</v>
      </c>
      <c r="F8" s="44">
        <f>F10*2</f>
        <v>1.7</v>
      </c>
      <c r="G8" s="44">
        <f t="shared" ref="G8:R8" si="7">G10*2</f>
        <v>1.7</v>
      </c>
      <c r="H8" s="44">
        <f t="shared" si="7"/>
        <v>1.7</v>
      </c>
      <c r="I8" s="44">
        <f t="shared" si="7"/>
        <v>1.7</v>
      </c>
      <c r="J8" s="44">
        <f t="shared" si="7"/>
        <v>1.7</v>
      </c>
      <c r="K8" s="44">
        <f t="shared" si="7"/>
        <v>1.7</v>
      </c>
      <c r="L8" s="44">
        <f t="shared" si="7"/>
        <v>1.7</v>
      </c>
      <c r="M8" s="44">
        <f t="shared" si="7"/>
        <v>1.7</v>
      </c>
      <c r="N8" s="44">
        <f t="shared" si="7"/>
        <v>1.7</v>
      </c>
      <c r="O8" s="44">
        <f t="shared" si="7"/>
        <v>1.7</v>
      </c>
      <c r="P8" s="44">
        <f t="shared" si="7"/>
        <v>1.7</v>
      </c>
      <c r="Q8" s="44">
        <f t="shared" si="7"/>
        <v>1.7</v>
      </c>
      <c r="R8" s="44">
        <f t="shared" si="7"/>
        <v>1.7</v>
      </c>
    </row>
    <row r="9" spans="1:18" x14ac:dyDescent="0.25">
      <c r="A9" s="67" t="s">
        <v>261</v>
      </c>
      <c r="B9" s="40" t="s">
        <v>342</v>
      </c>
      <c r="C9" s="39">
        <v>8</v>
      </c>
      <c r="D9" s="39">
        <v>8</v>
      </c>
      <c r="E9" s="39">
        <v>8</v>
      </c>
      <c r="F9" s="39">
        <v>8</v>
      </c>
      <c r="G9" s="39">
        <v>8</v>
      </c>
      <c r="H9" s="39">
        <v>8</v>
      </c>
      <c r="I9" s="39">
        <v>8</v>
      </c>
      <c r="J9" s="31">
        <v>8</v>
      </c>
      <c r="K9" s="31">
        <v>5</v>
      </c>
      <c r="L9" s="31">
        <v>5</v>
      </c>
      <c r="M9" s="31">
        <v>5</v>
      </c>
      <c r="N9" s="31">
        <v>5</v>
      </c>
      <c r="O9" s="31">
        <v>10</v>
      </c>
      <c r="P9" s="31">
        <v>10</v>
      </c>
      <c r="Q9" s="31">
        <v>10</v>
      </c>
      <c r="R9" s="31">
        <v>10</v>
      </c>
    </row>
    <row r="10" spans="1:18" x14ac:dyDescent="0.25">
      <c r="A10" s="67" t="s">
        <v>268</v>
      </c>
      <c r="B10" s="40" t="s">
        <v>342</v>
      </c>
      <c r="C10" s="44">
        <v>0.85</v>
      </c>
      <c r="D10" s="44">
        <v>0.85</v>
      </c>
      <c r="E10" s="44">
        <v>0.85</v>
      </c>
      <c r="F10" s="44">
        <v>0.85</v>
      </c>
      <c r="G10" s="44">
        <v>0.85</v>
      </c>
      <c r="H10" s="44">
        <v>0.85</v>
      </c>
      <c r="I10" s="44">
        <v>0.85</v>
      </c>
      <c r="J10" s="31">
        <v>0.85</v>
      </c>
      <c r="K10" s="31">
        <v>0.85</v>
      </c>
      <c r="L10" s="31">
        <v>0.85</v>
      </c>
      <c r="M10" s="31">
        <v>0.85</v>
      </c>
      <c r="N10" s="31">
        <v>0.85</v>
      </c>
      <c r="O10" s="31">
        <v>0.85</v>
      </c>
      <c r="P10" s="31">
        <v>0.85</v>
      </c>
      <c r="Q10" s="31">
        <v>0.85</v>
      </c>
      <c r="R10" s="31">
        <v>0.85</v>
      </c>
    </row>
    <row r="11" spans="1:18" x14ac:dyDescent="0.25">
      <c r="A11" s="62" t="s">
        <v>473</v>
      </c>
      <c r="B11" s="33" t="s">
        <v>342</v>
      </c>
      <c r="C11" s="25" t="s">
        <v>20</v>
      </c>
      <c r="D11" s="25" t="s">
        <v>20</v>
      </c>
      <c r="E11" s="25" t="s">
        <v>20</v>
      </c>
      <c r="F11" s="25" t="s">
        <v>20</v>
      </c>
      <c r="G11" s="31">
        <v>18.7</v>
      </c>
      <c r="H11" s="31">
        <v>18.7</v>
      </c>
      <c r="I11" s="31">
        <v>18.7</v>
      </c>
      <c r="J11" s="31">
        <v>18.7</v>
      </c>
      <c r="K11" s="31">
        <v>-14.7</v>
      </c>
      <c r="L11" s="31">
        <v>-14.7</v>
      </c>
      <c r="M11" s="31">
        <v>-14.7</v>
      </c>
      <c r="N11" s="31">
        <v>-14.7</v>
      </c>
      <c r="O11" s="31">
        <v>15.5</v>
      </c>
      <c r="P11" s="31">
        <v>15.5</v>
      </c>
      <c r="Q11" s="31">
        <v>15.5</v>
      </c>
      <c r="R11" s="31">
        <v>15.5</v>
      </c>
    </row>
    <row r="12" spans="1:18" x14ac:dyDescent="0.25">
      <c r="A12" s="55" t="s">
        <v>558</v>
      </c>
      <c r="B12" s="33" t="s">
        <v>341</v>
      </c>
      <c r="C12" s="25" t="s">
        <v>20</v>
      </c>
      <c r="D12" s="25" t="s">
        <v>20</v>
      </c>
      <c r="E12" s="25" t="s">
        <v>20</v>
      </c>
      <c r="F12" s="25" t="s">
        <v>20</v>
      </c>
      <c r="G12" s="25">
        <v>13</v>
      </c>
      <c r="H12" s="25">
        <v>13</v>
      </c>
      <c r="I12" s="25">
        <v>13</v>
      </c>
      <c r="J12" s="25">
        <v>13</v>
      </c>
      <c r="K12" s="25">
        <v>13</v>
      </c>
      <c r="L12" s="25">
        <v>13</v>
      </c>
      <c r="M12" s="25">
        <v>13</v>
      </c>
      <c r="N12" s="25">
        <v>13</v>
      </c>
      <c r="O12" s="25">
        <v>13</v>
      </c>
      <c r="P12" s="25">
        <v>13</v>
      </c>
      <c r="Q12" s="25">
        <v>13</v>
      </c>
      <c r="R12" s="25">
        <v>13</v>
      </c>
    </row>
    <row r="13" spans="1:18" x14ac:dyDescent="0.25">
      <c r="A13" s="59" t="s">
        <v>409</v>
      </c>
      <c r="B13" s="33" t="s">
        <v>366</v>
      </c>
      <c r="C13" s="25" t="s">
        <v>20</v>
      </c>
      <c r="D13" s="25" t="s">
        <v>20</v>
      </c>
      <c r="E13" s="25" t="s">
        <v>20</v>
      </c>
      <c r="F13" s="25" t="s">
        <v>20</v>
      </c>
      <c r="G13" s="35">
        <f>(G10*10^9)*(G6*G3*6+72*G3)/(G12*10^9)</f>
        <v>62.769230769230766</v>
      </c>
      <c r="H13" s="35">
        <f t="shared" ref="H13:R13" si="8">(H10*10^9)*(H6*H3*6+72*H3)/(H12*10^9)</f>
        <v>62.769230769230766</v>
      </c>
      <c r="I13" s="35">
        <f t="shared" si="8"/>
        <v>62.769230769230766</v>
      </c>
      <c r="J13" s="35">
        <f t="shared" si="8"/>
        <v>62.769230769230766</v>
      </c>
      <c r="K13" s="35">
        <f t="shared" si="8"/>
        <v>10.984615384615385</v>
      </c>
      <c r="L13" s="35">
        <f t="shared" si="8"/>
        <v>10.984615384615385</v>
      </c>
      <c r="M13" s="35">
        <f t="shared" si="8"/>
        <v>10.984615384615385</v>
      </c>
      <c r="N13" s="35">
        <f t="shared" si="8"/>
        <v>10.984615384615385</v>
      </c>
      <c r="O13" s="35">
        <f t="shared" si="8"/>
        <v>5.0999999999999996</v>
      </c>
      <c r="P13" s="35">
        <f t="shared" si="8"/>
        <v>5.0999999999999996</v>
      </c>
      <c r="Q13" s="35">
        <f t="shared" si="8"/>
        <v>5.0999999999999996</v>
      </c>
      <c r="R13" s="35">
        <f t="shared" si="8"/>
        <v>5.0999999999999996</v>
      </c>
    </row>
    <row r="14" spans="1:18" x14ac:dyDescent="0.25">
      <c r="A14" s="124" t="s">
        <v>490</v>
      </c>
      <c r="B14" s="125" t="s">
        <v>341</v>
      </c>
      <c r="C14" s="122" t="s">
        <v>20</v>
      </c>
      <c r="D14" s="122" t="s">
        <v>20</v>
      </c>
      <c r="E14" s="122" t="s">
        <v>20</v>
      </c>
      <c r="F14" s="31" t="s">
        <v>20</v>
      </c>
      <c r="G14" s="45">
        <f>10</f>
        <v>10</v>
      </c>
      <c r="H14" s="45">
        <f>10</f>
        <v>10</v>
      </c>
      <c r="I14" s="45">
        <f>10</f>
        <v>10</v>
      </c>
      <c r="J14" s="45">
        <f>10</f>
        <v>10</v>
      </c>
      <c r="K14" s="45">
        <f>10</f>
        <v>10</v>
      </c>
      <c r="L14" s="45">
        <f>10</f>
        <v>10</v>
      </c>
      <c r="M14" s="45">
        <f>10</f>
        <v>10</v>
      </c>
      <c r="N14" s="45">
        <f>10</f>
        <v>10</v>
      </c>
      <c r="O14" s="45">
        <f>10</f>
        <v>10</v>
      </c>
      <c r="P14" s="45">
        <f>10</f>
        <v>10</v>
      </c>
      <c r="Q14" s="45">
        <f>10</f>
        <v>10</v>
      </c>
      <c r="R14" s="45">
        <f>10</f>
        <v>10</v>
      </c>
    </row>
    <row r="15" spans="1:18" x14ac:dyDescent="0.25">
      <c r="A15" s="59" t="s">
        <v>374</v>
      </c>
      <c r="B15" s="33" t="s">
        <v>340</v>
      </c>
      <c r="C15" s="147">
        <v>0</v>
      </c>
      <c r="D15" s="147">
        <v>0</v>
      </c>
      <c r="E15" s="147">
        <v>0</v>
      </c>
      <c r="F15" s="147">
        <v>0</v>
      </c>
      <c r="G15" s="25" t="s">
        <v>20</v>
      </c>
      <c r="H15" s="25" t="s">
        <v>20</v>
      </c>
      <c r="I15" s="25" t="s">
        <v>20</v>
      </c>
      <c r="J15" s="42" t="s">
        <v>20</v>
      </c>
      <c r="K15" s="31" t="s">
        <v>20</v>
      </c>
      <c r="L15" s="31" t="s">
        <v>20</v>
      </c>
      <c r="M15" s="31" t="s">
        <v>20</v>
      </c>
      <c r="N15" s="31" t="s">
        <v>20</v>
      </c>
      <c r="O15" s="31" t="s">
        <v>20</v>
      </c>
      <c r="P15" s="31" t="s">
        <v>20</v>
      </c>
      <c r="Q15" s="31" t="s">
        <v>20</v>
      </c>
      <c r="R15" s="31" t="s">
        <v>20</v>
      </c>
    </row>
    <row r="16" spans="1:18" x14ac:dyDescent="0.25">
      <c r="A16" s="59" t="s">
        <v>410</v>
      </c>
      <c r="B16" s="33" t="s">
        <v>366</v>
      </c>
      <c r="C16" s="25" t="s">
        <v>20</v>
      </c>
      <c r="D16" s="25" t="s">
        <v>20</v>
      </c>
      <c r="E16" s="25" t="s">
        <v>20</v>
      </c>
      <c r="F16" s="25" t="s">
        <v>20</v>
      </c>
      <c r="G16" s="35">
        <f>G14*G3*G8*G7</f>
        <v>966.75373038484054</v>
      </c>
      <c r="H16" s="35">
        <f t="shared" ref="H16:R16" si="9">H14*H3*H8*H7</f>
        <v>960.18719606867626</v>
      </c>
      <c r="I16" s="35">
        <f t="shared" si="9"/>
        <v>956.80788145463077</v>
      </c>
      <c r="J16" s="35">
        <f t="shared" si="9"/>
        <v>955.66066175251206</v>
      </c>
      <c r="K16" s="35">
        <f t="shared" si="9"/>
        <v>146.3304029598678</v>
      </c>
      <c r="L16" s="35">
        <f t="shared" si="9"/>
        <v>145.9302647010048</v>
      </c>
      <c r="M16" s="35">
        <f t="shared" si="9"/>
        <v>145.48210271416008</v>
      </c>
      <c r="N16" s="35">
        <f t="shared" si="9"/>
        <v>145.13863112196375</v>
      </c>
      <c r="O16" s="35">
        <f t="shared" si="9"/>
        <v>155.5877180237467</v>
      </c>
      <c r="P16" s="35">
        <f t="shared" si="9"/>
        <v>155.52931556098184</v>
      </c>
      <c r="Q16" s="35">
        <f t="shared" si="9"/>
        <v>155.36190123422617</v>
      </c>
      <c r="R16" s="35">
        <f t="shared" si="9"/>
        <v>155.27516543812797</v>
      </c>
    </row>
    <row r="17" spans="1:18" x14ac:dyDescent="0.25">
      <c r="A17" s="68" t="s">
        <v>272</v>
      </c>
      <c r="B17" s="40" t="s">
        <v>339</v>
      </c>
      <c r="C17" s="44">
        <v>0.05</v>
      </c>
      <c r="D17" s="44">
        <v>0.05</v>
      </c>
      <c r="E17" s="44">
        <v>0.05</v>
      </c>
      <c r="F17" s="44">
        <v>0.05</v>
      </c>
      <c r="G17" s="31" t="s">
        <v>20</v>
      </c>
      <c r="H17" s="31" t="s">
        <v>20</v>
      </c>
      <c r="I17" s="31" t="s">
        <v>20</v>
      </c>
      <c r="J17" s="31" t="s">
        <v>20</v>
      </c>
      <c r="K17" s="31" t="s">
        <v>20</v>
      </c>
      <c r="L17" s="31" t="s">
        <v>20</v>
      </c>
      <c r="M17" s="31" t="s">
        <v>20</v>
      </c>
      <c r="N17" s="31" t="s">
        <v>20</v>
      </c>
      <c r="O17" s="31" t="s">
        <v>20</v>
      </c>
      <c r="P17" s="31" t="s">
        <v>20</v>
      </c>
      <c r="Q17" s="31" t="s">
        <v>20</v>
      </c>
      <c r="R17" s="31" t="s">
        <v>20</v>
      </c>
    </row>
    <row r="18" spans="1:18" x14ac:dyDescent="0.25">
      <c r="A18" s="68" t="s">
        <v>189</v>
      </c>
      <c r="B18" s="40" t="s">
        <v>337</v>
      </c>
      <c r="C18" s="31" t="s">
        <v>20</v>
      </c>
      <c r="D18" s="31" t="s">
        <v>20</v>
      </c>
      <c r="E18" s="31" t="s">
        <v>20</v>
      </c>
      <c r="F18" s="31" t="s">
        <v>20</v>
      </c>
      <c r="G18" s="31">
        <f t="shared" ref="G18:R18" si="10">G20*2^G9*G8</f>
        <v>34.816000000000003</v>
      </c>
      <c r="H18" s="31">
        <f t="shared" si="10"/>
        <v>34.816000000000003</v>
      </c>
      <c r="I18" s="31">
        <f t="shared" si="10"/>
        <v>34.816000000000003</v>
      </c>
      <c r="J18" s="31">
        <f t="shared" si="10"/>
        <v>34.816000000000003</v>
      </c>
      <c r="K18" s="31">
        <f t="shared" si="10"/>
        <v>4.3520000000000003</v>
      </c>
      <c r="L18" s="31">
        <f t="shared" si="10"/>
        <v>4.3520000000000003</v>
      </c>
      <c r="M18" s="31">
        <f t="shared" si="10"/>
        <v>4.3520000000000003</v>
      </c>
      <c r="N18" s="31">
        <f t="shared" si="10"/>
        <v>4.3520000000000003</v>
      </c>
      <c r="O18" s="31">
        <f t="shared" si="10"/>
        <v>139.26400000000001</v>
      </c>
      <c r="P18" s="31">
        <f t="shared" si="10"/>
        <v>139.26400000000001</v>
      </c>
      <c r="Q18" s="31">
        <f t="shared" si="10"/>
        <v>139.26400000000001</v>
      </c>
      <c r="R18" s="31">
        <f t="shared" si="10"/>
        <v>139.26400000000001</v>
      </c>
    </row>
    <row r="19" spans="1:18" x14ac:dyDescent="0.25">
      <c r="A19" s="68" t="s">
        <v>273</v>
      </c>
      <c r="B19" s="40" t="s">
        <v>340</v>
      </c>
      <c r="C19" s="31">
        <f>C17*C3</f>
        <v>0.4</v>
      </c>
      <c r="D19" s="31">
        <f>D17*D3</f>
        <v>0.4</v>
      </c>
      <c r="E19" s="31">
        <f>E17*E3</f>
        <v>0.4</v>
      </c>
      <c r="F19" s="31">
        <f>F17*F3</f>
        <v>0.4</v>
      </c>
      <c r="G19" s="31" t="s">
        <v>20</v>
      </c>
      <c r="H19" s="31" t="s">
        <v>20</v>
      </c>
      <c r="I19" s="31" t="s">
        <v>20</v>
      </c>
      <c r="J19" s="31" t="s">
        <v>20</v>
      </c>
      <c r="K19" s="31" t="s">
        <v>20</v>
      </c>
      <c r="L19" s="31" t="s">
        <v>20</v>
      </c>
      <c r="M19" s="31" t="s">
        <v>20</v>
      </c>
      <c r="N19" s="31" t="s">
        <v>20</v>
      </c>
      <c r="O19" s="31" t="s">
        <v>20</v>
      </c>
      <c r="P19" s="31" t="s">
        <v>20</v>
      </c>
      <c r="Q19" s="31" t="s">
        <v>20</v>
      </c>
      <c r="R19" s="31" t="s">
        <v>20</v>
      </c>
    </row>
    <row r="20" spans="1:18" x14ac:dyDescent="0.25">
      <c r="A20" s="68" t="s">
        <v>267</v>
      </c>
      <c r="B20" s="40" t="s">
        <v>341</v>
      </c>
      <c r="C20" s="31" t="s">
        <v>20</v>
      </c>
      <c r="D20" s="31" t="s">
        <v>20</v>
      </c>
      <c r="E20" s="31" t="s">
        <v>20</v>
      </c>
      <c r="F20" s="31" t="s">
        <v>20</v>
      </c>
      <c r="G20" s="44">
        <v>0.08</v>
      </c>
      <c r="H20" s="44">
        <v>0.08</v>
      </c>
      <c r="I20" s="44">
        <v>0.08</v>
      </c>
      <c r="J20" s="31">
        <v>0.08</v>
      </c>
      <c r="K20" s="31">
        <v>0.08</v>
      </c>
      <c r="L20" s="31">
        <v>0.08</v>
      </c>
      <c r="M20" s="31">
        <v>0.08</v>
      </c>
      <c r="N20" s="31">
        <v>0.08</v>
      </c>
      <c r="O20" s="31">
        <v>0.08</v>
      </c>
      <c r="P20" s="31">
        <v>0.08</v>
      </c>
      <c r="Q20" s="31">
        <v>0.08</v>
      </c>
      <c r="R20" s="31">
        <v>0.08</v>
      </c>
    </row>
    <row r="21" spans="1:18" x14ac:dyDescent="0.25">
      <c r="A21" s="68" t="s">
        <v>411</v>
      </c>
      <c r="B21" s="33" t="s">
        <v>366</v>
      </c>
      <c r="C21" s="31" t="s">
        <v>20</v>
      </c>
      <c r="D21" s="31" t="s">
        <v>20</v>
      </c>
      <c r="E21" s="31" t="s">
        <v>20</v>
      </c>
      <c r="F21" s="31" t="s">
        <v>20</v>
      </c>
      <c r="G21" s="31">
        <f t="shared" ref="G21:R21" si="11">G18*G7</f>
        <v>247.48895497851919</v>
      </c>
      <c r="H21" s="31">
        <f t="shared" si="11"/>
        <v>245.80792219358113</v>
      </c>
      <c r="I21" s="31">
        <f t="shared" si="11"/>
        <v>244.94281765238549</v>
      </c>
      <c r="J21" s="31">
        <f t="shared" si="11"/>
        <v>244.64912940864309</v>
      </c>
      <c r="K21" s="31">
        <f t="shared" si="11"/>
        <v>18.730291578863081</v>
      </c>
      <c r="L21" s="31">
        <f t="shared" si="11"/>
        <v>18.679073881728616</v>
      </c>
      <c r="M21" s="31">
        <f t="shared" si="11"/>
        <v>18.621709147412492</v>
      </c>
      <c r="N21" s="31">
        <f t="shared" si="11"/>
        <v>18.577744783611362</v>
      </c>
      <c r="O21" s="31">
        <f t="shared" si="11"/>
        <v>1274.5745860505331</v>
      </c>
      <c r="P21" s="31">
        <f t="shared" si="11"/>
        <v>1274.0961530755633</v>
      </c>
      <c r="Q21" s="31">
        <f t="shared" si="11"/>
        <v>1272.724694910781</v>
      </c>
      <c r="R21" s="31">
        <f t="shared" si="11"/>
        <v>1272.0141552691446</v>
      </c>
    </row>
    <row r="22" spans="1:18" x14ac:dyDescent="0.25">
      <c r="A22" s="69" t="s">
        <v>312</v>
      </c>
      <c r="B22" s="40" t="s">
        <v>337</v>
      </c>
      <c r="C22" s="31" t="s">
        <v>20</v>
      </c>
      <c r="D22" s="31" t="s">
        <v>20</v>
      </c>
      <c r="E22" s="31" t="s">
        <v>20</v>
      </c>
      <c r="F22" s="31" t="s">
        <v>20</v>
      </c>
      <c r="G22" s="31">
        <v>10</v>
      </c>
      <c r="H22" s="31">
        <v>10</v>
      </c>
      <c r="I22" s="31">
        <v>10</v>
      </c>
      <c r="J22" s="31">
        <v>10</v>
      </c>
      <c r="K22" s="31">
        <v>10</v>
      </c>
      <c r="L22" s="31">
        <v>10</v>
      </c>
      <c r="M22" s="31">
        <v>10</v>
      </c>
      <c r="N22" s="31">
        <v>10</v>
      </c>
      <c r="O22" s="31">
        <v>10</v>
      </c>
      <c r="P22" s="31">
        <v>10</v>
      </c>
      <c r="Q22" s="31">
        <v>10</v>
      </c>
      <c r="R22" s="31">
        <v>10</v>
      </c>
    </row>
    <row r="23" spans="1:18" x14ac:dyDescent="0.25">
      <c r="A23" s="69" t="s">
        <v>412</v>
      </c>
      <c r="B23" s="33" t="s">
        <v>366</v>
      </c>
      <c r="C23" s="42" t="s">
        <v>20</v>
      </c>
      <c r="D23" s="42" t="s">
        <v>20</v>
      </c>
      <c r="E23" s="42" t="s">
        <v>20</v>
      </c>
      <c r="F23" s="42" t="s">
        <v>20</v>
      </c>
      <c r="G23" s="42">
        <f t="shared" ref="G23:R23" si="12">G22*G3</f>
        <v>80</v>
      </c>
      <c r="H23" s="42">
        <f t="shared" si="12"/>
        <v>80</v>
      </c>
      <c r="I23" s="42">
        <f t="shared" si="12"/>
        <v>80</v>
      </c>
      <c r="J23" s="42">
        <f t="shared" si="12"/>
        <v>80</v>
      </c>
      <c r="K23" s="31">
        <f t="shared" si="12"/>
        <v>20</v>
      </c>
      <c r="L23" s="31">
        <f t="shared" si="12"/>
        <v>20</v>
      </c>
      <c r="M23" s="31">
        <f t="shared" si="12"/>
        <v>20</v>
      </c>
      <c r="N23" s="31">
        <f t="shared" si="12"/>
        <v>20</v>
      </c>
      <c r="O23" s="31">
        <f t="shared" si="12"/>
        <v>10</v>
      </c>
      <c r="P23" s="31">
        <f t="shared" si="12"/>
        <v>10</v>
      </c>
      <c r="Q23" s="31">
        <f t="shared" si="12"/>
        <v>10</v>
      </c>
      <c r="R23" s="31">
        <f t="shared" si="12"/>
        <v>10</v>
      </c>
    </row>
    <row r="24" spans="1:18" x14ac:dyDescent="0.25">
      <c r="A24" s="69" t="s">
        <v>313</v>
      </c>
      <c r="B24" s="40" t="s">
        <v>339</v>
      </c>
      <c r="C24" s="44">
        <v>0</v>
      </c>
      <c r="D24" s="44">
        <v>0</v>
      </c>
      <c r="E24" s="44">
        <v>0</v>
      </c>
      <c r="F24" s="44">
        <v>0</v>
      </c>
      <c r="G24" s="31" t="s">
        <v>20</v>
      </c>
      <c r="H24" s="31" t="s">
        <v>20</v>
      </c>
      <c r="I24" s="31" t="s">
        <v>20</v>
      </c>
      <c r="J24" s="31" t="s">
        <v>20</v>
      </c>
      <c r="K24" s="31" t="s">
        <v>20</v>
      </c>
      <c r="L24" s="31" t="s">
        <v>20</v>
      </c>
      <c r="M24" s="31" t="s">
        <v>20</v>
      </c>
      <c r="N24" s="31" t="s">
        <v>20</v>
      </c>
      <c r="O24" s="31" t="s">
        <v>20</v>
      </c>
      <c r="P24" s="31" t="s">
        <v>20</v>
      </c>
      <c r="Q24" s="31" t="s">
        <v>20</v>
      </c>
      <c r="R24" s="31" t="s">
        <v>20</v>
      </c>
    </row>
    <row r="25" spans="1:18" x14ac:dyDescent="0.25">
      <c r="A25" s="69" t="s">
        <v>336</v>
      </c>
      <c r="B25" s="41" t="s">
        <v>340</v>
      </c>
      <c r="C25" s="42">
        <f>C24*C3</f>
        <v>0</v>
      </c>
      <c r="D25" s="42">
        <f>D24*D3</f>
        <v>0</v>
      </c>
      <c r="E25" s="42">
        <f>E24*E3</f>
        <v>0</v>
      </c>
      <c r="F25" s="42">
        <f>F24*F3</f>
        <v>0</v>
      </c>
      <c r="G25" s="42" t="s">
        <v>20</v>
      </c>
      <c r="H25" s="42" t="s">
        <v>20</v>
      </c>
      <c r="I25" s="42" t="s">
        <v>20</v>
      </c>
      <c r="J25" s="42" t="s">
        <v>20</v>
      </c>
      <c r="K25" s="31" t="s">
        <v>20</v>
      </c>
      <c r="L25" s="31" t="s">
        <v>20</v>
      </c>
      <c r="M25" s="31" t="s">
        <v>20</v>
      </c>
      <c r="N25" s="31" t="s">
        <v>20</v>
      </c>
      <c r="O25" s="31" t="s">
        <v>20</v>
      </c>
      <c r="P25" s="31" t="s">
        <v>20</v>
      </c>
      <c r="Q25" s="31" t="s">
        <v>20</v>
      </c>
      <c r="R25" s="31" t="s">
        <v>20</v>
      </c>
    </row>
    <row r="26" spans="1:18" x14ac:dyDescent="0.25">
      <c r="A26" s="66" t="s">
        <v>416</v>
      </c>
      <c r="B26" s="14" t="s">
        <v>337</v>
      </c>
      <c r="C26" s="25" t="s">
        <v>20</v>
      </c>
      <c r="D26" s="25" t="s">
        <v>20</v>
      </c>
      <c r="E26" s="25" t="s">
        <v>20</v>
      </c>
      <c r="F26" s="25" t="s">
        <v>20</v>
      </c>
      <c r="G26" s="25">
        <v>60</v>
      </c>
      <c r="H26" s="25">
        <v>60</v>
      </c>
      <c r="I26" s="25">
        <v>60</v>
      </c>
      <c r="J26" s="42">
        <v>60</v>
      </c>
      <c r="K26" s="31">
        <v>60</v>
      </c>
      <c r="L26" s="31">
        <v>60</v>
      </c>
      <c r="M26" s="31">
        <v>60</v>
      </c>
      <c r="N26" s="31">
        <v>60</v>
      </c>
      <c r="O26" s="31">
        <v>60</v>
      </c>
      <c r="P26" s="31">
        <v>60</v>
      </c>
      <c r="Q26" s="31">
        <v>60</v>
      </c>
      <c r="R26" s="31">
        <v>60</v>
      </c>
    </row>
    <row r="27" spans="1:18" x14ac:dyDescent="0.25">
      <c r="A27" s="66" t="s">
        <v>417</v>
      </c>
      <c r="B27" s="33" t="s">
        <v>339</v>
      </c>
      <c r="C27" s="145">
        <v>0.18</v>
      </c>
      <c r="D27" s="145">
        <v>0.18</v>
      </c>
      <c r="E27" s="145">
        <v>0.18</v>
      </c>
      <c r="F27" s="145">
        <v>0.18</v>
      </c>
      <c r="G27" s="25" t="s">
        <v>20</v>
      </c>
      <c r="H27" s="25" t="s">
        <v>20</v>
      </c>
      <c r="I27" s="25" t="s">
        <v>20</v>
      </c>
      <c r="J27" s="42" t="s">
        <v>20</v>
      </c>
      <c r="K27" s="31" t="s">
        <v>20</v>
      </c>
      <c r="L27" s="31" t="s">
        <v>20</v>
      </c>
      <c r="M27" s="31" t="s">
        <v>20</v>
      </c>
      <c r="N27" s="31" t="s">
        <v>20</v>
      </c>
      <c r="O27" s="31" t="s">
        <v>20</v>
      </c>
      <c r="P27" s="31" t="s">
        <v>20</v>
      </c>
      <c r="Q27" s="31" t="s">
        <v>20</v>
      </c>
      <c r="R27" s="31" t="s">
        <v>20</v>
      </c>
    </row>
    <row r="28" spans="1:18" x14ac:dyDescent="0.25">
      <c r="A28" s="66" t="s">
        <v>420</v>
      </c>
      <c r="B28" s="33" t="s">
        <v>366</v>
      </c>
      <c r="C28" s="25" t="s">
        <v>20</v>
      </c>
      <c r="D28" s="25" t="s">
        <v>20</v>
      </c>
      <c r="E28" s="25" t="s">
        <v>20</v>
      </c>
      <c r="F28" s="25" t="s">
        <v>20</v>
      </c>
      <c r="G28" s="25">
        <f t="shared" ref="G28:R28" si="13">G26*G3</f>
        <v>480</v>
      </c>
      <c r="H28" s="25">
        <f t="shared" si="13"/>
        <v>480</v>
      </c>
      <c r="I28" s="25">
        <f t="shared" si="13"/>
        <v>480</v>
      </c>
      <c r="J28" s="42">
        <f t="shared" si="13"/>
        <v>480</v>
      </c>
      <c r="K28" s="31">
        <f t="shared" si="13"/>
        <v>120</v>
      </c>
      <c r="L28" s="31">
        <f t="shared" si="13"/>
        <v>120</v>
      </c>
      <c r="M28" s="31">
        <f t="shared" si="13"/>
        <v>120</v>
      </c>
      <c r="N28" s="31">
        <f t="shared" si="13"/>
        <v>120</v>
      </c>
      <c r="O28" s="31">
        <f t="shared" si="13"/>
        <v>60</v>
      </c>
      <c r="P28" s="31">
        <f t="shared" si="13"/>
        <v>60</v>
      </c>
      <c r="Q28" s="31">
        <f t="shared" si="13"/>
        <v>60</v>
      </c>
      <c r="R28" s="31">
        <f t="shared" si="13"/>
        <v>60</v>
      </c>
    </row>
    <row r="29" spans="1:18" x14ac:dyDescent="0.25">
      <c r="A29" s="66" t="s">
        <v>418</v>
      </c>
      <c r="B29" s="33" t="s">
        <v>340</v>
      </c>
      <c r="C29" s="25">
        <f>C27*C3</f>
        <v>1.44</v>
      </c>
      <c r="D29" s="25">
        <f>D27*D3</f>
        <v>1.44</v>
      </c>
      <c r="E29" s="25">
        <f>E27*E3</f>
        <v>1.44</v>
      </c>
      <c r="F29" s="25">
        <f>F27*F3</f>
        <v>1.44</v>
      </c>
      <c r="G29" s="25" t="s">
        <v>20</v>
      </c>
      <c r="H29" s="25" t="s">
        <v>20</v>
      </c>
      <c r="I29" s="25" t="s">
        <v>20</v>
      </c>
      <c r="J29" s="42" t="s">
        <v>20</v>
      </c>
      <c r="K29" s="31" t="s">
        <v>20</v>
      </c>
      <c r="L29" s="31" t="s">
        <v>20</v>
      </c>
      <c r="M29" s="31" t="s">
        <v>20</v>
      </c>
      <c r="N29" s="31" t="s">
        <v>20</v>
      </c>
      <c r="O29" s="31" t="s">
        <v>20</v>
      </c>
      <c r="P29" s="31" t="s">
        <v>20</v>
      </c>
      <c r="Q29" s="31" t="s">
        <v>20</v>
      </c>
      <c r="R29" s="31" t="s">
        <v>20</v>
      </c>
    </row>
    <row r="30" spans="1:18" x14ac:dyDescent="0.25">
      <c r="A30" s="84" t="s">
        <v>316</v>
      </c>
      <c r="B30" s="33" t="s">
        <v>339</v>
      </c>
      <c r="C30" s="31">
        <v>0</v>
      </c>
      <c r="D30" s="31">
        <v>0</v>
      </c>
      <c r="E30" s="31">
        <v>0</v>
      </c>
      <c r="F30" s="31">
        <v>0</v>
      </c>
      <c r="G30" s="31" t="s">
        <v>20</v>
      </c>
      <c r="H30" s="31" t="s">
        <v>20</v>
      </c>
      <c r="I30" s="31" t="s">
        <v>20</v>
      </c>
      <c r="J30" s="31" t="s">
        <v>20</v>
      </c>
      <c r="K30" s="31" t="s">
        <v>20</v>
      </c>
      <c r="L30" s="31" t="s">
        <v>20</v>
      </c>
      <c r="M30" s="31" t="s">
        <v>20</v>
      </c>
      <c r="N30" s="31" t="s">
        <v>20</v>
      </c>
      <c r="O30" s="31" t="s">
        <v>20</v>
      </c>
      <c r="P30" s="31" t="s">
        <v>20</v>
      </c>
      <c r="Q30" s="31" t="s">
        <v>20</v>
      </c>
      <c r="R30" s="31" t="s">
        <v>20</v>
      </c>
    </row>
    <row r="31" spans="1:18" x14ac:dyDescent="0.25">
      <c r="A31" s="70" t="s">
        <v>265</v>
      </c>
      <c r="B31" s="40" t="s">
        <v>337</v>
      </c>
      <c r="C31" s="31" t="s">
        <v>20</v>
      </c>
      <c r="D31" s="31" t="s">
        <v>20</v>
      </c>
      <c r="E31" s="31" t="s">
        <v>20</v>
      </c>
      <c r="F31" s="31" t="s">
        <v>20</v>
      </c>
      <c r="G31" s="31">
        <f>G35+G36</f>
        <v>10</v>
      </c>
      <c r="H31" s="31">
        <f>H35+H36</f>
        <v>10</v>
      </c>
      <c r="I31" s="31">
        <f>I35+I36</f>
        <v>10</v>
      </c>
      <c r="J31" s="31">
        <f>J35+J36</f>
        <v>10</v>
      </c>
      <c r="K31" s="31">
        <f t="shared" ref="K31" si="14">K35+K36</f>
        <v>10</v>
      </c>
      <c r="L31" s="31">
        <f t="shared" ref="L31:N31" si="15">L35+L36</f>
        <v>10</v>
      </c>
      <c r="M31" s="31">
        <f t="shared" si="15"/>
        <v>10</v>
      </c>
      <c r="N31" s="31">
        <f t="shared" si="15"/>
        <v>10</v>
      </c>
      <c r="O31" s="31">
        <f>O35+O36</f>
        <v>10</v>
      </c>
      <c r="P31" s="31">
        <f>P35+P36</f>
        <v>10</v>
      </c>
      <c r="Q31" s="31">
        <f>Q35+Q36</f>
        <v>10</v>
      </c>
      <c r="R31" s="31">
        <f>R35+R36</f>
        <v>10</v>
      </c>
    </row>
    <row r="32" spans="1:18" x14ac:dyDescent="0.25">
      <c r="A32" s="70" t="s">
        <v>266</v>
      </c>
      <c r="B32" s="40" t="s">
        <v>338</v>
      </c>
      <c r="C32" s="31" t="s">
        <v>20</v>
      </c>
      <c r="D32" s="31" t="s">
        <v>20</v>
      </c>
      <c r="E32" s="31" t="s">
        <v>20</v>
      </c>
      <c r="F32" s="31" t="s">
        <v>20</v>
      </c>
      <c r="G32" s="31">
        <f t="shared" ref="G32:R32" si="16">G31*G5</f>
        <v>5120</v>
      </c>
      <c r="H32" s="31">
        <f t="shared" si="16"/>
        <v>10240</v>
      </c>
      <c r="I32" s="31">
        <f t="shared" si="16"/>
        <v>15360</v>
      </c>
      <c r="J32" s="31">
        <f t="shared" si="16"/>
        <v>20480</v>
      </c>
      <c r="K32" s="31">
        <f t="shared" si="16"/>
        <v>7680</v>
      </c>
      <c r="L32" s="31">
        <f t="shared" si="16"/>
        <v>10240</v>
      </c>
      <c r="M32" s="31">
        <f t="shared" si="16"/>
        <v>15360</v>
      </c>
      <c r="N32" s="31">
        <f t="shared" si="16"/>
        <v>20480</v>
      </c>
      <c r="O32" s="31">
        <f t="shared" si="16"/>
        <v>3840</v>
      </c>
      <c r="P32" s="31">
        <f t="shared" si="16"/>
        <v>5120</v>
      </c>
      <c r="Q32" s="31">
        <f t="shared" si="16"/>
        <v>7680</v>
      </c>
      <c r="R32" s="31">
        <f t="shared" si="16"/>
        <v>10240</v>
      </c>
    </row>
    <row r="33" spans="1:18" x14ac:dyDescent="0.25">
      <c r="A33" s="70" t="s">
        <v>280</v>
      </c>
      <c r="B33" s="40" t="s">
        <v>330</v>
      </c>
      <c r="C33" s="39">
        <f>(C4-1)*C3</f>
        <v>1016</v>
      </c>
      <c r="D33" s="39">
        <f>(D4-1)*D3</f>
        <v>2040</v>
      </c>
      <c r="E33" s="39">
        <f>(E4-1)*E3</f>
        <v>3064</v>
      </c>
      <c r="F33" s="39">
        <f>(F4-1)*F3</f>
        <v>6136</v>
      </c>
      <c r="G33" s="31" t="s">
        <v>20</v>
      </c>
      <c r="H33" s="31" t="s">
        <v>20</v>
      </c>
      <c r="I33" s="31" t="s">
        <v>20</v>
      </c>
      <c r="J33" s="31" t="s">
        <v>20</v>
      </c>
      <c r="K33" s="31" t="s">
        <v>20</v>
      </c>
      <c r="L33" s="31" t="s">
        <v>20</v>
      </c>
      <c r="M33" s="31" t="s">
        <v>20</v>
      </c>
      <c r="N33" s="31" t="s">
        <v>20</v>
      </c>
      <c r="O33" s="31" t="s">
        <v>20</v>
      </c>
      <c r="P33" s="31" t="s">
        <v>20</v>
      </c>
      <c r="Q33" s="31" t="s">
        <v>20</v>
      </c>
      <c r="R33" s="31" t="s">
        <v>20</v>
      </c>
    </row>
    <row r="34" spans="1:18" x14ac:dyDescent="0.25">
      <c r="A34" s="70" t="s">
        <v>279</v>
      </c>
      <c r="B34" s="40" t="s">
        <v>339</v>
      </c>
      <c r="C34" s="31">
        <f>C42*C33</f>
        <v>40.64</v>
      </c>
      <c r="D34" s="31">
        <f>D42*D33</f>
        <v>81.600000000000009</v>
      </c>
      <c r="E34" s="31">
        <f>E42*E33</f>
        <v>122.56</v>
      </c>
      <c r="F34" s="31">
        <f>F42*F33</f>
        <v>245.44</v>
      </c>
      <c r="G34" s="31" t="s">
        <v>20</v>
      </c>
      <c r="H34" s="31" t="s">
        <v>20</v>
      </c>
      <c r="I34" s="31" t="s">
        <v>20</v>
      </c>
      <c r="J34" s="31" t="s">
        <v>20</v>
      </c>
      <c r="K34" s="31" t="s">
        <v>20</v>
      </c>
      <c r="L34" s="31" t="s">
        <v>20</v>
      </c>
      <c r="M34" s="31" t="s">
        <v>20</v>
      </c>
      <c r="N34" s="31" t="s">
        <v>20</v>
      </c>
      <c r="O34" s="31" t="s">
        <v>20</v>
      </c>
      <c r="P34" s="31" t="s">
        <v>20</v>
      </c>
      <c r="Q34" s="31" t="s">
        <v>20</v>
      </c>
      <c r="R34" s="31" t="s">
        <v>20</v>
      </c>
    </row>
    <row r="35" spans="1:18" x14ac:dyDescent="0.25">
      <c r="A35" s="70" t="s">
        <v>329</v>
      </c>
      <c r="B35" s="40" t="s">
        <v>337</v>
      </c>
      <c r="C35" s="31" t="s">
        <v>20</v>
      </c>
      <c r="D35" s="31" t="s">
        <v>20</v>
      </c>
      <c r="E35" s="31" t="s">
        <v>20</v>
      </c>
      <c r="F35" s="31" t="s">
        <v>20</v>
      </c>
      <c r="G35" s="31">
        <v>10</v>
      </c>
      <c r="H35" s="31">
        <v>10</v>
      </c>
      <c r="I35" s="31">
        <v>10</v>
      </c>
      <c r="J35" s="31">
        <v>10</v>
      </c>
      <c r="K35" s="31">
        <v>10</v>
      </c>
      <c r="L35" s="31">
        <v>10</v>
      </c>
      <c r="M35" s="31">
        <v>10</v>
      </c>
      <c r="N35" s="31">
        <v>10</v>
      </c>
      <c r="O35" s="31">
        <v>10</v>
      </c>
      <c r="P35" s="31">
        <v>10</v>
      </c>
      <c r="Q35" s="31">
        <v>10</v>
      </c>
      <c r="R35" s="31">
        <v>10</v>
      </c>
    </row>
    <row r="36" spans="1:18" x14ac:dyDescent="0.25">
      <c r="A36" s="70" t="s">
        <v>314</v>
      </c>
      <c r="B36" s="40" t="s">
        <v>337</v>
      </c>
      <c r="C36" s="45" t="s">
        <v>20</v>
      </c>
      <c r="D36" s="45" t="s">
        <v>20</v>
      </c>
      <c r="E36" s="45" t="s">
        <v>20</v>
      </c>
      <c r="F36" s="45" t="s">
        <v>20</v>
      </c>
      <c r="G36" s="45">
        <v>0</v>
      </c>
      <c r="H36" s="45">
        <v>0</v>
      </c>
      <c r="I36" s="45">
        <v>0</v>
      </c>
      <c r="J36" s="45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</row>
    <row r="37" spans="1:18" x14ac:dyDescent="0.25">
      <c r="A37" s="70" t="s">
        <v>275</v>
      </c>
      <c r="B37" s="40" t="s">
        <v>339</v>
      </c>
      <c r="C37" s="44">
        <v>0.08</v>
      </c>
      <c r="D37" s="44">
        <v>0.08</v>
      </c>
      <c r="E37" s="44">
        <v>0.08</v>
      </c>
      <c r="F37" s="44">
        <v>0.08</v>
      </c>
      <c r="G37" s="31" t="s">
        <v>20</v>
      </c>
      <c r="H37" s="31" t="s">
        <v>20</v>
      </c>
      <c r="I37" s="31" t="s">
        <v>20</v>
      </c>
      <c r="J37" s="31" t="s">
        <v>20</v>
      </c>
      <c r="K37" s="31" t="s">
        <v>20</v>
      </c>
      <c r="L37" s="31" t="s">
        <v>20</v>
      </c>
      <c r="M37" s="31" t="s">
        <v>20</v>
      </c>
      <c r="N37" s="31" t="s">
        <v>20</v>
      </c>
      <c r="O37" s="31" t="s">
        <v>20</v>
      </c>
      <c r="P37" s="31" t="s">
        <v>20</v>
      </c>
      <c r="Q37" s="31" t="s">
        <v>20</v>
      </c>
      <c r="R37" s="31" t="s">
        <v>20</v>
      </c>
    </row>
    <row r="38" spans="1:18" x14ac:dyDescent="0.25">
      <c r="A38" s="70" t="s">
        <v>276</v>
      </c>
      <c r="B38" s="40" t="s">
        <v>339</v>
      </c>
      <c r="C38" s="82">
        <v>0</v>
      </c>
      <c r="D38" s="82">
        <v>0</v>
      </c>
      <c r="E38" s="82">
        <v>0</v>
      </c>
      <c r="F38" s="82">
        <v>0</v>
      </c>
      <c r="G38" s="31" t="s">
        <v>20</v>
      </c>
      <c r="H38" s="31" t="s">
        <v>20</v>
      </c>
      <c r="I38" s="31" t="s">
        <v>20</v>
      </c>
      <c r="J38" s="31" t="s">
        <v>20</v>
      </c>
      <c r="K38" s="31" t="s">
        <v>20</v>
      </c>
      <c r="L38" s="31" t="s">
        <v>20</v>
      </c>
      <c r="M38" s="31" t="s">
        <v>20</v>
      </c>
      <c r="N38" s="31" t="s">
        <v>20</v>
      </c>
      <c r="O38" s="31" t="s">
        <v>20</v>
      </c>
      <c r="P38" s="31" t="s">
        <v>20</v>
      </c>
      <c r="Q38" s="31" t="s">
        <v>20</v>
      </c>
      <c r="R38" s="31" t="s">
        <v>20</v>
      </c>
    </row>
    <row r="39" spans="1:18" x14ac:dyDescent="0.25">
      <c r="A39" s="70" t="s">
        <v>277</v>
      </c>
      <c r="B39" s="40" t="s">
        <v>339</v>
      </c>
      <c r="C39" s="46">
        <f>C37+C38</f>
        <v>0.08</v>
      </c>
      <c r="D39" s="46">
        <f>D37+D38</f>
        <v>0.08</v>
      </c>
      <c r="E39" s="46">
        <f>E37+E38</f>
        <v>0.08</v>
      </c>
      <c r="F39" s="46">
        <f>F37+F38</f>
        <v>0.08</v>
      </c>
      <c r="G39" s="31" t="s">
        <v>20</v>
      </c>
      <c r="H39" s="31" t="s">
        <v>20</v>
      </c>
      <c r="I39" s="31" t="s">
        <v>20</v>
      </c>
      <c r="J39" s="31" t="s">
        <v>20</v>
      </c>
      <c r="K39" s="31" t="s">
        <v>20</v>
      </c>
      <c r="L39" s="31" t="s">
        <v>20</v>
      </c>
      <c r="M39" s="31" t="s">
        <v>20</v>
      </c>
      <c r="N39" s="31" t="s">
        <v>20</v>
      </c>
      <c r="O39" s="31" t="s">
        <v>20</v>
      </c>
      <c r="P39" s="31" t="s">
        <v>20</v>
      </c>
      <c r="Q39" s="31" t="s">
        <v>20</v>
      </c>
      <c r="R39" s="31" t="s">
        <v>20</v>
      </c>
    </row>
    <row r="40" spans="1:18" x14ac:dyDescent="0.25">
      <c r="A40" s="70" t="s">
        <v>274</v>
      </c>
      <c r="B40" s="40" t="s">
        <v>340</v>
      </c>
      <c r="C40" s="31">
        <f>C39*C4*C3</f>
        <v>81.92</v>
      </c>
      <c r="D40" s="31">
        <f>D39*D4*D3</f>
        <v>163.84</v>
      </c>
      <c r="E40" s="31">
        <f>E39*E4*E3</f>
        <v>245.76</v>
      </c>
      <c r="F40" s="31">
        <f>F39*F4*F3</f>
        <v>491.52</v>
      </c>
      <c r="G40" s="31" t="s">
        <v>20</v>
      </c>
      <c r="H40" s="31" t="s">
        <v>20</v>
      </c>
      <c r="I40" s="31" t="s">
        <v>20</v>
      </c>
      <c r="J40" s="31" t="s">
        <v>20</v>
      </c>
      <c r="K40" s="31" t="s">
        <v>20</v>
      </c>
      <c r="L40" s="31" t="s">
        <v>20</v>
      </c>
      <c r="M40" s="31" t="s">
        <v>20</v>
      </c>
      <c r="N40" s="31" t="s">
        <v>20</v>
      </c>
      <c r="O40" s="31" t="s">
        <v>20</v>
      </c>
      <c r="P40" s="31" t="s">
        <v>20</v>
      </c>
      <c r="Q40" s="31" t="s">
        <v>20</v>
      </c>
      <c r="R40" s="31" t="s">
        <v>20</v>
      </c>
    </row>
    <row r="41" spans="1:18" x14ac:dyDescent="0.25">
      <c r="A41" s="70" t="s">
        <v>469</v>
      </c>
      <c r="B41" s="40" t="s">
        <v>366</v>
      </c>
      <c r="C41" s="31" t="s">
        <v>20</v>
      </c>
      <c r="D41" s="31" t="s">
        <v>20</v>
      </c>
      <c r="E41" s="31" t="s">
        <v>20</v>
      </c>
      <c r="F41" s="31" t="s">
        <v>20</v>
      </c>
      <c r="G41" s="31">
        <f t="shared" ref="G41:R41" si="17">G35*G5</f>
        <v>5120</v>
      </c>
      <c r="H41" s="31">
        <f t="shared" si="17"/>
        <v>10240</v>
      </c>
      <c r="I41" s="31">
        <f t="shared" si="17"/>
        <v>15360</v>
      </c>
      <c r="J41" s="31">
        <f t="shared" si="17"/>
        <v>20480</v>
      </c>
      <c r="K41" s="31">
        <f t="shared" si="17"/>
        <v>7680</v>
      </c>
      <c r="L41" s="31">
        <f t="shared" si="17"/>
        <v>10240</v>
      </c>
      <c r="M41" s="31">
        <f t="shared" si="17"/>
        <v>15360</v>
      </c>
      <c r="N41" s="31">
        <f t="shared" si="17"/>
        <v>20480</v>
      </c>
      <c r="O41" s="31">
        <f t="shared" si="17"/>
        <v>3840</v>
      </c>
      <c r="P41" s="31">
        <f t="shared" si="17"/>
        <v>5120</v>
      </c>
      <c r="Q41" s="31">
        <f t="shared" si="17"/>
        <v>7680</v>
      </c>
      <c r="R41" s="31">
        <f t="shared" si="17"/>
        <v>10240</v>
      </c>
    </row>
    <row r="42" spans="1:18" x14ac:dyDescent="0.25">
      <c r="A42" s="70" t="s">
        <v>278</v>
      </c>
      <c r="B42" s="40" t="s">
        <v>339</v>
      </c>
      <c r="C42" s="44">
        <v>0.04</v>
      </c>
      <c r="D42" s="44">
        <v>0.04</v>
      </c>
      <c r="E42" s="44">
        <v>0.04</v>
      </c>
      <c r="F42" s="44">
        <v>0.04</v>
      </c>
      <c r="G42" s="31" t="s">
        <v>20</v>
      </c>
      <c r="H42" s="31" t="s">
        <v>20</v>
      </c>
      <c r="I42" s="31" t="s">
        <v>20</v>
      </c>
      <c r="J42" s="31" t="s">
        <v>20</v>
      </c>
      <c r="K42" s="31" t="s">
        <v>20</v>
      </c>
      <c r="L42" s="31" t="s">
        <v>20</v>
      </c>
      <c r="M42" s="31" t="s">
        <v>20</v>
      </c>
      <c r="N42" s="31" t="s">
        <v>20</v>
      </c>
      <c r="O42" s="31" t="s">
        <v>20</v>
      </c>
      <c r="P42" s="31" t="s">
        <v>20</v>
      </c>
      <c r="Q42" s="31" t="s">
        <v>20</v>
      </c>
      <c r="R42" s="31" t="s">
        <v>20</v>
      </c>
    </row>
    <row r="43" spans="1:18" x14ac:dyDescent="0.25">
      <c r="A43" s="70" t="s">
        <v>332</v>
      </c>
      <c r="B43" s="40" t="s">
        <v>339</v>
      </c>
      <c r="C43" s="44">
        <f>C42</f>
        <v>0.04</v>
      </c>
      <c r="D43" s="44">
        <f>D42</f>
        <v>0.04</v>
      </c>
      <c r="E43" s="44">
        <f>E42</f>
        <v>0.04</v>
      </c>
      <c r="F43" s="44">
        <f>F42</f>
        <v>0.04</v>
      </c>
      <c r="G43" s="31" t="s">
        <v>20</v>
      </c>
      <c r="H43" s="31" t="s">
        <v>20</v>
      </c>
      <c r="I43" s="31" t="s">
        <v>20</v>
      </c>
      <c r="J43" s="31" t="s">
        <v>20</v>
      </c>
      <c r="K43" s="31" t="s">
        <v>20</v>
      </c>
      <c r="L43" s="31" t="s">
        <v>20</v>
      </c>
      <c r="M43" s="31" t="s">
        <v>20</v>
      </c>
      <c r="N43" s="31" t="s">
        <v>20</v>
      </c>
      <c r="O43" s="31" t="s">
        <v>20</v>
      </c>
      <c r="P43" s="31" t="s">
        <v>20</v>
      </c>
      <c r="Q43" s="31" t="s">
        <v>20</v>
      </c>
      <c r="R43" s="31" t="s">
        <v>20</v>
      </c>
    </row>
    <row r="44" spans="1:18" x14ac:dyDescent="0.25">
      <c r="A44" s="70" t="s">
        <v>486</v>
      </c>
      <c r="B44" s="40" t="s">
        <v>340</v>
      </c>
      <c r="C44" s="31">
        <f>C43*(C45+C33)</f>
        <v>76.48</v>
      </c>
      <c r="D44" s="31">
        <f t="shared" ref="D44:F44" si="18">D43*(D45+D33)</f>
        <v>153.28</v>
      </c>
      <c r="E44" s="31">
        <f t="shared" si="18"/>
        <v>230.08</v>
      </c>
      <c r="F44" s="31">
        <f t="shared" si="18"/>
        <v>460.48</v>
      </c>
      <c r="G44" s="31" t="s">
        <v>20</v>
      </c>
      <c r="H44" s="31" t="s">
        <v>20</v>
      </c>
      <c r="I44" s="31" t="s">
        <v>20</v>
      </c>
      <c r="J44" s="31" t="s">
        <v>20</v>
      </c>
      <c r="K44" s="31" t="s">
        <v>20</v>
      </c>
      <c r="L44" s="31" t="s">
        <v>20</v>
      </c>
      <c r="M44" s="31" t="s">
        <v>20</v>
      </c>
      <c r="N44" s="31" t="s">
        <v>20</v>
      </c>
      <c r="O44" s="31" t="s">
        <v>20</v>
      </c>
      <c r="P44" s="31" t="s">
        <v>20</v>
      </c>
      <c r="Q44" s="31" t="s">
        <v>20</v>
      </c>
      <c r="R44" s="31" t="s">
        <v>20</v>
      </c>
    </row>
    <row r="45" spans="1:18" x14ac:dyDescent="0.25">
      <c r="A45" s="70" t="s">
        <v>333</v>
      </c>
      <c r="B45" s="40" t="s">
        <v>330</v>
      </c>
      <c r="C45" s="39">
        <f>(C3-1)*C2</f>
        <v>896</v>
      </c>
      <c r="D45" s="39">
        <f>(D3-1)*D2</f>
        <v>1792</v>
      </c>
      <c r="E45" s="39">
        <f>(E3-1)*E2</f>
        <v>2688</v>
      </c>
      <c r="F45" s="39">
        <f>(F3-1)*F2</f>
        <v>5376</v>
      </c>
      <c r="G45" s="31">
        <f>Table9[[#This Row],[HW Area4]]</f>
        <v>5376</v>
      </c>
      <c r="H45" s="31">
        <f>Table9[[#This Row],[HW Area4]]</f>
        <v>5376</v>
      </c>
      <c r="I45" s="31">
        <f>Table9[[#This Row],[HW Area4]]</f>
        <v>5376</v>
      </c>
      <c r="J45" s="31">
        <f>Table9[[#This Row],[HW Area4]]</f>
        <v>5376</v>
      </c>
      <c r="K45" s="31">
        <f>Table9[[#This Row],[Case 1a]]</f>
        <v>5376</v>
      </c>
      <c r="L45" s="31">
        <f>Table9[[#This Row],[Case 1a]]</f>
        <v>5376</v>
      </c>
      <c r="M45" s="31">
        <f>Table9[[#This Row],[Case 1a]]</f>
        <v>5376</v>
      </c>
      <c r="N45" s="31">
        <f>Table9[[#This Row],[Case 1a]]</f>
        <v>5376</v>
      </c>
      <c r="O45" s="31">
        <f>Table9[[#This Row],[Case 1b]]</f>
        <v>5376</v>
      </c>
      <c r="P45" s="31">
        <f>Table9[[#This Row],[Case 1b]]</f>
        <v>5376</v>
      </c>
      <c r="Q45" s="31">
        <f>Table9[[#This Row],[Case 1b]]</f>
        <v>5376</v>
      </c>
      <c r="R45" s="31">
        <f>Table9[[#This Row],[Case 1b]]</f>
        <v>5376</v>
      </c>
    </row>
    <row r="46" spans="1:18" x14ac:dyDescent="0.25">
      <c r="A46" s="71" t="s">
        <v>353</v>
      </c>
      <c r="B46" s="40" t="s">
        <v>337</v>
      </c>
      <c r="C46" s="31" t="s">
        <v>20</v>
      </c>
      <c r="D46" s="31" t="s">
        <v>20</v>
      </c>
      <c r="E46" s="31" t="s">
        <v>20</v>
      </c>
      <c r="F46" s="31" t="s">
        <v>20</v>
      </c>
      <c r="G46" s="31">
        <v>40</v>
      </c>
      <c r="H46" s="31">
        <v>40</v>
      </c>
      <c r="I46" s="31">
        <v>40</v>
      </c>
      <c r="J46" s="31">
        <v>40</v>
      </c>
      <c r="K46" s="31">
        <v>40</v>
      </c>
      <c r="L46" s="31">
        <v>40</v>
      </c>
      <c r="M46" s="31">
        <v>40</v>
      </c>
      <c r="N46" s="31">
        <v>40</v>
      </c>
      <c r="O46" s="31">
        <v>40</v>
      </c>
      <c r="P46" s="31">
        <v>40</v>
      </c>
      <c r="Q46" s="31">
        <v>40</v>
      </c>
      <c r="R46" s="31">
        <v>40</v>
      </c>
    </row>
    <row r="47" spans="1:18" x14ac:dyDescent="0.25">
      <c r="A47" s="71" t="s">
        <v>482</v>
      </c>
      <c r="B47" s="40" t="s">
        <v>330</v>
      </c>
      <c r="C47" s="31">
        <f t="shared" ref="C47:R47" si="19">(2*C3*C2/3)+C2</f>
        <v>810.66666666666663</v>
      </c>
      <c r="D47" s="31">
        <f t="shared" si="19"/>
        <v>1621.3333333333333</v>
      </c>
      <c r="E47" s="31">
        <f t="shared" si="19"/>
        <v>2432</v>
      </c>
      <c r="F47" s="31">
        <f t="shared" si="19"/>
        <v>4864</v>
      </c>
      <c r="G47" s="31">
        <f t="shared" si="19"/>
        <v>405.33333333333331</v>
      </c>
      <c r="H47" s="31">
        <f t="shared" si="19"/>
        <v>810.66666666666663</v>
      </c>
      <c r="I47" s="31">
        <f t="shared" si="19"/>
        <v>1216</v>
      </c>
      <c r="J47" s="31">
        <f t="shared" si="19"/>
        <v>1621.3333333333333</v>
      </c>
      <c r="K47" s="31">
        <f t="shared" si="19"/>
        <v>896</v>
      </c>
      <c r="L47" s="31">
        <f t="shared" si="19"/>
        <v>1194.6666666666665</v>
      </c>
      <c r="M47" s="31">
        <f t="shared" si="19"/>
        <v>1792</v>
      </c>
      <c r="N47" s="31">
        <f t="shared" si="19"/>
        <v>2389.333333333333</v>
      </c>
      <c r="O47" s="31">
        <f t="shared" si="19"/>
        <v>640</v>
      </c>
      <c r="P47" s="31">
        <f t="shared" si="19"/>
        <v>853.33333333333326</v>
      </c>
      <c r="Q47" s="31">
        <f t="shared" si="19"/>
        <v>1280</v>
      </c>
      <c r="R47" s="31">
        <f t="shared" si="19"/>
        <v>1706.6666666666665</v>
      </c>
    </row>
    <row r="48" spans="1:18" x14ac:dyDescent="0.25">
      <c r="A48" s="71" t="s">
        <v>414</v>
      </c>
      <c r="B48" s="33" t="s">
        <v>366</v>
      </c>
      <c r="C48" s="42" t="s">
        <v>20</v>
      </c>
      <c r="D48" s="42" t="s">
        <v>20</v>
      </c>
      <c r="E48" s="42" t="s">
        <v>20</v>
      </c>
      <c r="F48" s="42" t="s">
        <v>20</v>
      </c>
      <c r="G48" s="42">
        <f t="shared" ref="G48:R48" si="20">G46*(2*G3*G2/3)+G51*G2</f>
        <v>16213.333333333332</v>
      </c>
      <c r="H48" s="42">
        <f t="shared" si="20"/>
        <v>32426.666666666664</v>
      </c>
      <c r="I48" s="42">
        <f t="shared" si="20"/>
        <v>48640</v>
      </c>
      <c r="J48" s="42">
        <f t="shared" si="20"/>
        <v>64853.333333333328</v>
      </c>
      <c r="K48" s="42">
        <f t="shared" si="20"/>
        <v>35840</v>
      </c>
      <c r="L48" s="42">
        <f t="shared" si="20"/>
        <v>47786.666666666664</v>
      </c>
      <c r="M48" s="42">
        <f t="shared" si="20"/>
        <v>71680</v>
      </c>
      <c r="N48" s="42">
        <f t="shared" si="20"/>
        <v>95573.333333333328</v>
      </c>
      <c r="O48" s="42">
        <f t="shared" si="20"/>
        <v>25600</v>
      </c>
      <c r="P48" s="42">
        <f t="shared" si="20"/>
        <v>34133.333333333328</v>
      </c>
      <c r="Q48" s="42">
        <f t="shared" si="20"/>
        <v>51200</v>
      </c>
      <c r="R48" s="42">
        <f t="shared" si="20"/>
        <v>68266.666666666657</v>
      </c>
    </row>
    <row r="49" spans="1:18" x14ac:dyDescent="0.25">
      <c r="A49" s="71" t="s">
        <v>354</v>
      </c>
      <c r="B49" s="40" t="s">
        <v>339</v>
      </c>
      <c r="C49" s="146">
        <v>2.5000000000000001E-2</v>
      </c>
      <c r="D49" s="146">
        <v>2.5000000000000001E-2</v>
      </c>
      <c r="E49" s="146">
        <v>2.5000000000000001E-2</v>
      </c>
      <c r="F49" s="146">
        <v>2.5000000000000001E-2</v>
      </c>
      <c r="G49" s="31" t="s">
        <v>20</v>
      </c>
      <c r="H49" s="31" t="s">
        <v>20</v>
      </c>
      <c r="I49" s="31" t="s">
        <v>20</v>
      </c>
      <c r="J49" s="31" t="s">
        <v>20</v>
      </c>
      <c r="K49" s="31" t="s">
        <v>20</v>
      </c>
      <c r="L49" s="31" t="s">
        <v>20</v>
      </c>
      <c r="M49" s="31" t="s">
        <v>20</v>
      </c>
      <c r="N49" s="31" t="s">
        <v>20</v>
      </c>
      <c r="O49" s="31" t="s">
        <v>20</v>
      </c>
      <c r="P49" s="31" t="s">
        <v>20</v>
      </c>
      <c r="Q49" s="31" t="s">
        <v>20</v>
      </c>
      <c r="R49" s="31" t="s">
        <v>20</v>
      </c>
    </row>
    <row r="50" spans="1:18" x14ac:dyDescent="0.25">
      <c r="A50" s="71" t="s">
        <v>484</v>
      </c>
      <c r="B50" s="41" t="s">
        <v>340</v>
      </c>
      <c r="C50" s="42">
        <f>C49*C47</f>
        <v>20.266666666666666</v>
      </c>
      <c r="D50" s="42">
        <f t="shared" ref="D50:F50" si="21">D49*D47</f>
        <v>40.533333333333331</v>
      </c>
      <c r="E50" s="42">
        <f t="shared" si="21"/>
        <v>60.800000000000004</v>
      </c>
      <c r="F50" s="42">
        <f t="shared" si="21"/>
        <v>121.60000000000001</v>
      </c>
      <c r="G50" s="42" t="s">
        <v>20</v>
      </c>
      <c r="H50" s="42" t="s">
        <v>20</v>
      </c>
      <c r="I50" s="42" t="s">
        <v>20</v>
      </c>
      <c r="J50" s="42" t="s">
        <v>20</v>
      </c>
      <c r="K50" s="31" t="s">
        <v>20</v>
      </c>
      <c r="L50" s="31" t="s">
        <v>20</v>
      </c>
      <c r="M50" s="31" t="s">
        <v>20</v>
      </c>
      <c r="N50" s="31" t="s">
        <v>20</v>
      </c>
      <c r="O50" s="31" t="s">
        <v>20</v>
      </c>
      <c r="P50" s="31" t="s">
        <v>20</v>
      </c>
      <c r="Q50" s="31" t="s">
        <v>20</v>
      </c>
      <c r="R50" s="31" t="s">
        <v>20</v>
      </c>
    </row>
    <row r="51" spans="1:18" x14ac:dyDescent="0.25">
      <c r="A51" s="71" t="s">
        <v>350</v>
      </c>
      <c r="B51" s="40" t="s">
        <v>337</v>
      </c>
      <c r="C51" s="31" t="s">
        <v>20</v>
      </c>
      <c r="D51" s="31" t="s">
        <v>20</v>
      </c>
      <c r="E51" s="31" t="s">
        <v>20</v>
      </c>
      <c r="F51" s="31" t="s">
        <v>20</v>
      </c>
      <c r="G51" s="31">
        <v>40</v>
      </c>
      <c r="H51" s="31">
        <v>40</v>
      </c>
      <c r="I51" s="31">
        <v>40</v>
      </c>
      <c r="J51" s="31">
        <v>40</v>
      </c>
      <c r="K51" s="31">
        <v>40</v>
      </c>
      <c r="L51" s="31">
        <v>40</v>
      </c>
      <c r="M51" s="31">
        <v>40</v>
      </c>
      <c r="N51" s="31">
        <v>40</v>
      </c>
      <c r="O51" s="31">
        <v>40</v>
      </c>
      <c r="P51" s="31">
        <v>40</v>
      </c>
      <c r="Q51" s="31">
        <v>40</v>
      </c>
      <c r="R51" s="31">
        <v>40</v>
      </c>
    </row>
    <row r="52" spans="1:18" x14ac:dyDescent="0.25">
      <c r="A52" s="71" t="s">
        <v>351</v>
      </c>
      <c r="B52" s="40" t="s">
        <v>339</v>
      </c>
      <c r="C52" s="146">
        <v>2.5000000000000001E-2</v>
      </c>
      <c r="D52" s="146">
        <v>2.5000000000000001E-2</v>
      </c>
      <c r="E52" s="146">
        <v>2.5000000000000001E-2</v>
      </c>
      <c r="F52" s="146">
        <v>2.5000000000000001E-2</v>
      </c>
      <c r="G52" s="31" t="s">
        <v>20</v>
      </c>
      <c r="H52" s="31" t="s">
        <v>20</v>
      </c>
      <c r="I52" s="31" t="s">
        <v>20</v>
      </c>
      <c r="J52" s="31" t="s">
        <v>20</v>
      </c>
      <c r="K52" s="31" t="s">
        <v>20</v>
      </c>
      <c r="L52" s="31" t="s">
        <v>20</v>
      </c>
      <c r="M52" s="31" t="s">
        <v>20</v>
      </c>
      <c r="N52" s="31" t="s">
        <v>20</v>
      </c>
      <c r="O52" s="31" t="s">
        <v>20</v>
      </c>
      <c r="P52" s="31" t="s">
        <v>20</v>
      </c>
      <c r="Q52" s="31" t="s">
        <v>20</v>
      </c>
      <c r="R52" s="31" t="s">
        <v>20</v>
      </c>
    </row>
    <row r="53" spans="1:18" x14ac:dyDescent="0.25">
      <c r="A53" s="71" t="s">
        <v>352</v>
      </c>
      <c r="B53" s="41" t="s">
        <v>339</v>
      </c>
      <c r="C53" s="42">
        <f>C52*C2</f>
        <v>3.2</v>
      </c>
      <c r="D53" s="42">
        <f>D52*D2</f>
        <v>6.4</v>
      </c>
      <c r="E53" s="42">
        <f>E52*E2</f>
        <v>9.6000000000000014</v>
      </c>
      <c r="F53" s="42">
        <f>F52*F2</f>
        <v>19.200000000000003</v>
      </c>
      <c r="G53" s="42" t="s">
        <v>20</v>
      </c>
      <c r="H53" s="42" t="s">
        <v>20</v>
      </c>
      <c r="I53" s="42" t="s">
        <v>20</v>
      </c>
      <c r="J53" s="42" t="s">
        <v>20</v>
      </c>
      <c r="K53" s="31" t="s">
        <v>20</v>
      </c>
      <c r="L53" s="31" t="s">
        <v>20</v>
      </c>
      <c r="M53" s="31" t="s">
        <v>20</v>
      </c>
      <c r="N53" s="31" t="s">
        <v>20</v>
      </c>
      <c r="O53" s="31" t="s">
        <v>20</v>
      </c>
      <c r="P53" s="31" t="s">
        <v>20</v>
      </c>
      <c r="Q53" s="31" t="s">
        <v>20</v>
      </c>
      <c r="R53" s="31" t="s">
        <v>20</v>
      </c>
    </row>
    <row r="54" spans="1:18" x14ac:dyDescent="0.25">
      <c r="A54" s="72" t="s">
        <v>521</v>
      </c>
      <c r="B54" s="33" t="s">
        <v>342</v>
      </c>
      <c r="C54" s="25" t="s">
        <v>20</v>
      </c>
      <c r="D54" s="25" t="s">
        <v>20</v>
      </c>
      <c r="E54" s="25" t="s">
        <v>20</v>
      </c>
      <c r="F54" s="25" t="s">
        <v>20</v>
      </c>
      <c r="G54" s="44">
        <v>-3.32</v>
      </c>
      <c r="H54" s="44">
        <v>-6.62</v>
      </c>
      <c r="I54" s="44">
        <v>-8.5299999999999994</v>
      </c>
      <c r="J54" s="44">
        <v>-9.83</v>
      </c>
      <c r="K54" s="44">
        <v>-0.55000000000000004</v>
      </c>
      <c r="L54" s="44">
        <v>-1.87</v>
      </c>
      <c r="M54" s="44">
        <v>-3.71</v>
      </c>
      <c r="N54" s="44">
        <v>-5.0199999999999996</v>
      </c>
      <c r="O54" s="44">
        <v>-4.67</v>
      </c>
      <c r="P54" s="44">
        <v>-5.94</v>
      </c>
      <c r="Q54" s="44">
        <v>-7.76</v>
      </c>
      <c r="R54" s="44">
        <v>-9.0399999999999991</v>
      </c>
    </row>
    <row r="55" spans="1:18" x14ac:dyDescent="0.25">
      <c r="A55" s="72" t="s">
        <v>446</v>
      </c>
      <c r="B55" s="33" t="s">
        <v>342</v>
      </c>
      <c r="C55" s="25" t="s">
        <v>20</v>
      </c>
      <c r="D55" s="25" t="s">
        <v>20</v>
      </c>
      <c r="E55" s="25" t="s">
        <v>20</v>
      </c>
      <c r="F55" s="25" t="s">
        <v>20</v>
      </c>
      <c r="G55" s="44">
        <f t="shared" ref="G55:R55" si="22">46+G54</f>
        <v>42.68</v>
      </c>
      <c r="H55" s="44">
        <f t="shared" si="22"/>
        <v>39.380000000000003</v>
      </c>
      <c r="I55" s="44">
        <f t="shared" si="22"/>
        <v>37.47</v>
      </c>
      <c r="J55" s="44">
        <f t="shared" si="22"/>
        <v>36.17</v>
      </c>
      <c r="K55" s="44">
        <f t="shared" si="22"/>
        <v>45.45</v>
      </c>
      <c r="L55" s="44">
        <f t="shared" si="22"/>
        <v>44.13</v>
      </c>
      <c r="M55" s="44">
        <f t="shared" si="22"/>
        <v>42.29</v>
      </c>
      <c r="N55" s="44">
        <f t="shared" si="22"/>
        <v>40.980000000000004</v>
      </c>
      <c r="O55" s="44">
        <f t="shared" si="22"/>
        <v>41.33</v>
      </c>
      <c r="P55" s="44">
        <f t="shared" si="22"/>
        <v>40.06</v>
      </c>
      <c r="Q55" s="44">
        <f t="shared" si="22"/>
        <v>38.24</v>
      </c>
      <c r="R55" s="44">
        <f t="shared" si="22"/>
        <v>36.96</v>
      </c>
    </row>
    <row r="56" spans="1:18" x14ac:dyDescent="0.25">
      <c r="A56" s="72" t="s">
        <v>447</v>
      </c>
      <c r="B56" s="33" t="s">
        <v>337</v>
      </c>
      <c r="C56" s="25" t="s">
        <v>20</v>
      </c>
      <c r="D56" s="25" t="s">
        <v>20</v>
      </c>
      <c r="E56" s="25" t="s">
        <v>20</v>
      </c>
      <c r="F56" s="25" t="s">
        <v>20</v>
      </c>
      <c r="G56" s="31">
        <f>10*LOG10(G57)</f>
        <v>24.618200260161132</v>
      </c>
      <c r="H56" s="31">
        <f>10*LOG10(H57)</f>
        <v>18.307900303521325</v>
      </c>
      <c r="I56" s="31">
        <f>10*LOG10(I57)</f>
        <v>14.636987712964508</v>
      </c>
      <c r="J56" s="31">
        <f>10*LOG10(J57)</f>
        <v>12.087600346881509</v>
      </c>
      <c r="K56" s="31">
        <f t="shared" ref="K56:N56" si="23">10*LOG10(K57)</f>
        <v>19.606687756324696</v>
      </c>
      <c r="L56" s="31">
        <f t="shared" si="23"/>
        <v>17.037300390241697</v>
      </c>
      <c r="M56" s="31">
        <f t="shared" si="23"/>
        <v>13.436387799684885</v>
      </c>
      <c r="N56" s="31">
        <f t="shared" si="23"/>
        <v>10.877000433601889</v>
      </c>
      <c r="O56" s="31">
        <f>10*LOG10(O57)</f>
        <v>15.486687756324699</v>
      </c>
      <c r="P56" s="31">
        <f>10*LOG10(P57)</f>
        <v>12.967300390241698</v>
      </c>
      <c r="Q56" s="31">
        <f>10*LOG10(Q57)</f>
        <v>9.3863877996848881</v>
      </c>
      <c r="R56" s="31">
        <f>10*LOG10(R57)</f>
        <v>6.8570004336018853</v>
      </c>
    </row>
    <row r="57" spans="1:18" x14ac:dyDescent="0.25">
      <c r="A57" s="73" t="s">
        <v>319</v>
      </c>
      <c r="B57" s="40" t="s">
        <v>337</v>
      </c>
      <c r="C57" s="31" t="s">
        <v>20</v>
      </c>
      <c r="D57" s="31" t="s">
        <v>20</v>
      </c>
      <c r="E57" s="31" t="s">
        <v>20</v>
      </c>
      <c r="F57" s="31" t="s">
        <v>20</v>
      </c>
      <c r="G57" s="31">
        <f t="shared" ref="G57:R57" si="24">10^(G55/10)/G2</f>
        <v>289.61431615856441</v>
      </c>
      <c r="H57" s="31">
        <f t="shared" si="24"/>
        <v>67.731396543610799</v>
      </c>
      <c r="I57" s="31">
        <f t="shared" si="24"/>
        <v>29.086989309209969</v>
      </c>
      <c r="J57" s="31">
        <f t="shared" si="24"/>
        <v>16.171862297645731</v>
      </c>
      <c r="K57" s="31">
        <f t="shared" si="24"/>
        <v>91.341633841814669</v>
      </c>
      <c r="L57" s="31">
        <f t="shared" si="24"/>
        <v>50.551033499083864</v>
      </c>
      <c r="M57" s="31">
        <f t="shared" si="24"/>
        <v>22.061690109991289</v>
      </c>
      <c r="N57" s="31">
        <f t="shared" si="24"/>
        <v>12.23770678653729</v>
      </c>
      <c r="O57" s="31">
        <f t="shared" si="24"/>
        <v>35.372746004873868</v>
      </c>
      <c r="P57" s="31">
        <f t="shared" si="24"/>
        <v>19.802956752669552</v>
      </c>
      <c r="Q57" s="31">
        <f t="shared" si="24"/>
        <v>8.6823798074690544</v>
      </c>
      <c r="R57" s="31">
        <f t="shared" si="24"/>
        <v>4.849534389163443</v>
      </c>
    </row>
    <row r="58" spans="1:18" x14ac:dyDescent="0.25">
      <c r="A58" s="73" t="s">
        <v>320</v>
      </c>
      <c r="B58" s="40" t="s">
        <v>341</v>
      </c>
      <c r="C58" s="31" t="s">
        <v>20</v>
      </c>
      <c r="D58" s="31" t="s">
        <v>20</v>
      </c>
      <c r="E58" s="31" t="s">
        <v>20</v>
      </c>
      <c r="F58" s="31" t="s">
        <v>20</v>
      </c>
      <c r="G58" s="121">
        <v>0.185</v>
      </c>
      <c r="H58" s="121">
        <v>0.185</v>
      </c>
      <c r="I58" s="121">
        <v>0.185</v>
      </c>
      <c r="J58" s="121">
        <v>0.185</v>
      </c>
      <c r="K58" s="121">
        <v>0.185</v>
      </c>
      <c r="L58" s="121">
        <v>0.185</v>
      </c>
      <c r="M58" s="121">
        <v>0.185</v>
      </c>
      <c r="N58" s="121">
        <v>0.185</v>
      </c>
      <c r="O58" s="121">
        <v>0.185</v>
      </c>
      <c r="P58" s="121">
        <v>0.185</v>
      </c>
      <c r="Q58" s="121">
        <v>0.185</v>
      </c>
      <c r="R58" s="121">
        <v>0.185</v>
      </c>
    </row>
    <row r="59" spans="1:18" x14ac:dyDescent="0.25">
      <c r="A59" s="73" t="s">
        <v>321</v>
      </c>
      <c r="B59" s="40" t="s">
        <v>337</v>
      </c>
      <c r="C59" s="31" t="s">
        <v>20</v>
      </c>
      <c r="D59" s="31" t="s">
        <v>20</v>
      </c>
      <c r="E59" s="31" t="s">
        <v>20</v>
      </c>
      <c r="F59" s="31" t="s">
        <v>20</v>
      </c>
      <c r="G59" s="31">
        <f>G57/G58</f>
        <v>1565.4827900462942</v>
      </c>
      <c r="H59" s="31">
        <f>H57/H58</f>
        <v>366.11565699249081</v>
      </c>
      <c r="I59" s="31">
        <f>I57/I58</f>
        <v>157.2269692389728</v>
      </c>
      <c r="J59" s="31">
        <f>J57/J58</f>
        <v>87.41547187916612</v>
      </c>
      <c r="K59" s="31">
        <f t="shared" ref="K59" si="25">K57/K58</f>
        <v>493.73856130710635</v>
      </c>
      <c r="L59" s="31">
        <f t="shared" ref="L59:N59" si="26">L57/L58</f>
        <v>273.24882972477764</v>
      </c>
      <c r="M59" s="31">
        <f t="shared" si="26"/>
        <v>119.2523789729259</v>
      </c>
      <c r="N59" s="31">
        <f t="shared" si="26"/>
        <v>66.149766413715085</v>
      </c>
      <c r="O59" s="31">
        <f>O57/O58</f>
        <v>191.20403245877768</v>
      </c>
      <c r="P59" s="31">
        <f>P57/P58</f>
        <v>107.04300947388947</v>
      </c>
      <c r="Q59" s="31">
        <f>Q57/Q58</f>
        <v>46.931782743075971</v>
      </c>
      <c r="R59" s="31">
        <f>R57/R58</f>
        <v>26.213699400883478</v>
      </c>
    </row>
    <row r="60" spans="1:18" x14ac:dyDescent="0.25">
      <c r="A60" s="73" t="s">
        <v>474</v>
      </c>
      <c r="B60" s="33" t="s">
        <v>366</v>
      </c>
      <c r="C60" s="31" t="s">
        <v>20</v>
      </c>
      <c r="D60" s="31" t="s">
        <v>20</v>
      </c>
      <c r="E60" s="31" t="s">
        <v>20</v>
      </c>
      <c r="F60" s="31" t="s">
        <v>20</v>
      </c>
      <c r="G60" s="31">
        <f t="shared" ref="G60:R60" si="27">G59*G2</f>
        <v>100190.89856296283</v>
      </c>
      <c r="H60" s="31">
        <f t="shared" si="27"/>
        <v>46862.804095038824</v>
      </c>
      <c r="I60" s="31">
        <f t="shared" si="27"/>
        <v>30187.578093882777</v>
      </c>
      <c r="J60" s="31">
        <f t="shared" si="27"/>
        <v>22378.360801066527</v>
      </c>
      <c r="K60" s="31">
        <f t="shared" si="27"/>
        <v>189595.60754192882</v>
      </c>
      <c r="L60" s="31">
        <f t="shared" si="27"/>
        <v>139903.40081908615</v>
      </c>
      <c r="M60" s="31">
        <f t="shared" si="27"/>
        <v>91585.827051207089</v>
      </c>
      <c r="N60" s="31">
        <f t="shared" si="27"/>
        <v>67737.360807644247</v>
      </c>
      <c r="O60" s="31">
        <f t="shared" si="27"/>
        <v>73422.348464170631</v>
      </c>
      <c r="P60" s="31">
        <f t="shared" si="27"/>
        <v>54806.020850631408</v>
      </c>
      <c r="Q60" s="31">
        <f t="shared" si="27"/>
        <v>36043.609146682342</v>
      </c>
      <c r="R60" s="31">
        <f t="shared" si="27"/>
        <v>26842.828186504681</v>
      </c>
    </row>
    <row r="61" spans="1:18" x14ac:dyDescent="0.25">
      <c r="A61" s="77" t="s">
        <v>344</v>
      </c>
      <c r="B61" s="40" t="s">
        <v>338</v>
      </c>
      <c r="C61" s="31" t="s">
        <v>20</v>
      </c>
      <c r="D61" s="31" t="s">
        <v>20</v>
      </c>
      <c r="E61" s="31" t="s">
        <v>20</v>
      </c>
      <c r="F61" s="31" t="s">
        <v>20</v>
      </c>
      <c r="G61" s="31">
        <f t="shared" ref="G61:R61" si="28">G13+G16+G41+G21+G23+G48+G28</f>
        <v>23170.345249465921</v>
      </c>
      <c r="H61" s="31">
        <f t="shared" si="28"/>
        <v>44495.431015698152</v>
      </c>
      <c r="I61" s="31">
        <f t="shared" si="28"/>
        <v>65824.519929876245</v>
      </c>
      <c r="J61" s="31">
        <f t="shared" si="28"/>
        <v>87156.412355263717</v>
      </c>
      <c r="K61" s="31">
        <f t="shared" si="28"/>
        <v>43836.045309923349</v>
      </c>
      <c r="L61" s="31">
        <f t="shared" si="28"/>
        <v>58342.260620634013</v>
      </c>
      <c r="M61" s="31">
        <f t="shared" si="28"/>
        <v>87355.088427246184</v>
      </c>
      <c r="N61" s="31">
        <f t="shared" si="28"/>
        <v>116368.03432462353</v>
      </c>
      <c r="O61" s="31">
        <f t="shared" si="28"/>
        <v>30945.26230407428</v>
      </c>
      <c r="P61" s="31">
        <f t="shared" si="28"/>
        <v>40758.058801969877</v>
      </c>
      <c r="Q61" s="31">
        <f t="shared" si="28"/>
        <v>60383.186596145009</v>
      </c>
      <c r="R61" s="31">
        <f t="shared" si="28"/>
        <v>80009.055987373926</v>
      </c>
    </row>
    <row r="62" spans="1:18" x14ac:dyDescent="0.25">
      <c r="A62" s="77" t="s">
        <v>345</v>
      </c>
      <c r="B62" s="40" t="s">
        <v>337</v>
      </c>
      <c r="C62" s="31" t="s">
        <v>20</v>
      </c>
      <c r="D62" s="31" t="s">
        <v>20</v>
      </c>
      <c r="E62" s="31" t="s">
        <v>20</v>
      </c>
      <c r="F62" s="31" t="s">
        <v>20</v>
      </c>
      <c r="G62" s="31">
        <f t="shared" ref="G62:R62" si="29">G61/G2</f>
        <v>362.03664452290502</v>
      </c>
      <c r="H62" s="31">
        <f t="shared" si="29"/>
        <v>347.62055481014181</v>
      </c>
      <c r="I62" s="31">
        <f t="shared" si="29"/>
        <v>342.8360413014388</v>
      </c>
      <c r="J62" s="31">
        <f t="shared" si="29"/>
        <v>340.4547357627489</v>
      </c>
      <c r="K62" s="31">
        <f t="shared" si="29"/>
        <v>114.15636799459206</v>
      </c>
      <c r="L62" s="31">
        <f t="shared" si="29"/>
        <v>113.94972777467581</v>
      </c>
      <c r="M62" s="31">
        <f t="shared" si="29"/>
        <v>113.7436047229768</v>
      </c>
      <c r="N62" s="31">
        <f t="shared" si="29"/>
        <v>113.64065852014016</v>
      </c>
      <c r="O62" s="31">
        <f t="shared" si="29"/>
        <v>80.586620583526766</v>
      </c>
      <c r="P62" s="31">
        <f t="shared" si="29"/>
        <v>79.605583597597416</v>
      </c>
      <c r="Q62" s="31">
        <f t="shared" si="29"/>
        <v>78.623940880397143</v>
      </c>
      <c r="R62" s="31">
        <f t="shared" si="29"/>
        <v>78.133843737669849</v>
      </c>
    </row>
    <row r="63" spans="1:18" x14ac:dyDescent="0.25">
      <c r="A63" s="77" t="s">
        <v>83</v>
      </c>
      <c r="B63" s="40" t="s">
        <v>338</v>
      </c>
      <c r="C63" s="31" t="s">
        <v>20</v>
      </c>
      <c r="D63" s="31" t="s">
        <v>20</v>
      </c>
      <c r="E63" s="31" t="s">
        <v>20</v>
      </c>
      <c r="F63" s="31" t="s">
        <v>20</v>
      </c>
      <c r="G63" s="31">
        <f>G61+G60</f>
        <v>123361.24381242876</v>
      </c>
      <c r="H63" s="31">
        <f>H61+H60</f>
        <v>91358.235110736976</v>
      </c>
      <c r="I63" s="31">
        <f>I61+I60</f>
        <v>96012.098023759027</v>
      </c>
      <c r="J63" s="31">
        <f>J61+J60</f>
        <v>109534.77315633025</v>
      </c>
      <c r="K63" s="31">
        <f t="shared" ref="K63" si="30">K61+K60</f>
        <v>233431.65285185218</v>
      </c>
      <c r="L63" s="31">
        <f t="shared" ref="L63:N63" si="31">L61+L60</f>
        <v>198245.66143972016</v>
      </c>
      <c r="M63" s="31">
        <f t="shared" si="31"/>
        <v>178940.91547845327</v>
      </c>
      <c r="N63" s="31">
        <f t="shared" si="31"/>
        <v>184105.39513226779</v>
      </c>
      <c r="O63" s="31">
        <f>O61+O60</f>
        <v>104367.61076824491</v>
      </c>
      <c r="P63" s="31">
        <f>P61+P60</f>
        <v>95564.079652601285</v>
      </c>
      <c r="Q63" s="31">
        <f>Q61+Q60</f>
        <v>96426.795742827351</v>
      </c>
      <c r="R63" s="31">
        <f>R61+R60</f>
        <v>106851.88417387861</v>
      </c>
    </row>
    <row r="64" spans="1:18" x14ac:dyDescent="0.25">
      <c r="A64" s="77" t="s">
        <v>157</v>
      </c>
      <c r="B64" s="40" t="s">
        <v>340</v>
      </c>
      <c r="C64" s="31">
        <f>C15+C40+C19+C34+C44+C25+C50+C53+C29</f>
        <v>224.34666666666664</v>
      </c>
      <c r="D64" s="31">
        <f>D15+D40+D19+D34+D44+D25+D50+D53+D29</f>
        <v>447.49333333333328</v>
      </c>
      <c r="E64" s="31">
        <f>E15+E40+E19+E34+E44+E25+E50+E53+E29</f>
        <v>670.6400000000001</v>
      </c>
      <c r="F64" s="31">
        <f>F15+F40+F19+F34+F44+F25+F50+F53+F29</f>
        <v>1340.08</v>
      </c>
      <c r="G64" s="31" t="s">
        <v>20</v>
      </c>
      <c r="H64" s="31" t="s">
        <v>20</v>
      </c>
      <c r="I64" s="31" t="s">
        <v>20</v>
      </c>
      <c r="J64" s="31" t="s">
        <v>20</v>
      </c>
      <c r="K64" s="31" t="s">
        <v>20</v>
      </c>
      <c r="L64" s="31" t="s">
        <v>20</v>
      </c>
      <c r="M64" s="31" t="s">
        <v>20</v>
      </c>
      <c r="N64" s="31" t="s">
        <v>20</v>
      </c>
      <c r="O64" s="31" t="s">
        <v>20</v>
      </c>
      <c r="P64" s="31" t="s">
        <v>20</v>
      </c>
      <c r="Q64" s="31" t="s">
        <v>20</v>
      </c>
      <c r="R64" s="31" t="s">
        <v>20</v>
      </c>
    </row>
    <row r="69" spans="1:14" x14ac:dyDescent="0.25">
      <c r="B69" s="74">
        <f>G2</f>
        <v>64</v>
      </c>
      <c r="C69" s="74"/>
      <c r="D69" s="74"/>
      <c r="E69" s="74"/>
      <c r="F69" s="74">
        <f>H2</f>
        <v>128</v>
      </c>
      <c r="G69" s="74">
        <f>I2</f>
        <v>192</v>
      </c>
      <c r="H69" s="74">
        <f>J2</f>
        <v>256</v>
      </c>
      <c r="K69" s="74">
        <f>G2</f>
        <v>64</v>
      </c>
      <c r="L69" s="74">
        <f>H2</f>
        <v>128</v>
      </c>
      <c r="M69" s="74">
        <f>I2</f>
        <v>192</v>
      </c>
      <c r="N69" s="74">
        <f>J2</f>
        <v>256</v>
      </c>
    </row>
    <row r="70" spans="1:14" x14ac:dyDescent="0.25">
      <c r="A70" t="str">
        <f>$A$13</f>
        <v>BB Precoding</v>
      </c>
      <c r="B70" s="78">
        <f>G13</f>
        <v>62.769230769230766</v>
      </c>
      <c r="C70" s="78"/>
      <c r="D70" s="78"/>
      <c r="E70" s="78"/>
      <c r="F70" s="78">
        <f>H13</f>
        <v>62.769230769230766</v>
      </c>
      <c r="G70" s="78">
        <f>I13</f>
        <v>62.769230769230766</v>
      </c>
      <c r="H70" s="78">
        <f>J13</f>
        <v>62.769230769230766</v>
      </c>
      <c r="J70" t="str">
        <f>$A$13</f>
        <v>BB Precoding</v>
      </c>
      <c r="K70">
        <f>B70/1000</f>
        <v>6.2769230769230772E-2</v>
      </c>
      <c r="L70">
        <f t="shared" ref="L70:N70" si="32">F70/1000</f>
        <v>6.2769230769230772E-2</v>
      </c>
      <c r="M70">
        <f t="shared" si="32"/>
        <v>6.2769230769230772E-2</v>
      </c>
      <c r="N70">
        <f t="shared" si="32"/>
        <v>6.2769230769230772E-2</v>
      </c>
    </row>
    <row r="71" spans="1:14" x14ac:dyDescent="0.25">
      <c r="A71" t="str">
        <f>$A$16</f>
        <v>SERDES</v>
      </c>
      <c r="B71" s="78">
        <f>G16</f>
        <v>966.75373038484054</v>
      </c>
      <c r="C71" s="78"/>
      <c r="D71" s="78"/>
      <c r="E71" s="78"/>
      <c r="F71" s="78">
        <f t="shared" ref="F71:H71" si="33">H16</f>
        <v>960.18719606867626</v>
      </c>
      <c r="G71" s="78">
        <f t="shared" si="33"/>
        <v>956.80788145463077</v>
      </c>
      <c r="H71" s="78">
        <f t="shared" si="33"/>
        <v>955.66066175251206</v>
      </c>
      <c r="J71" t="str">
        <f>$A$16</f>
        <v>SERDES</v>
      </c>
      <c r="K71">
        <f t="shared" ref="K71:K77" si="34">B71/1000</f>
        <v>0.96675373038484058</v>
      </c>
      <c r="L71">
        <f t="shared" ref="L71:L77" si="35">F71/1000</f>
        <v>0.96018719606867631</v>
      </c>
      <c r="M71">
        <f t="shared" ref="M71:M77" si="36">G71/1000</f>
        <v>0.9568078814546308</v>
      </c>
      <c r="N71">
        <f t="shared" ref="N71:N77" si="37">H71/1000</f>
        <v>0.95566066175251208</v>
      </c>
    </row>
    <row r="72" spans="1:14" x14ac:dyDescent="0.25">
      <c r="A72" t="str">
        <f>$A$21</f>
        <v>DAC</v>
      </c>
      <c r="B72" s="78">
        <f>G21</f>
        <v>247.48895497851919</v>
      </c>
      <c r="C72" s="78"/>
      <c r="D72" s="78"/>
      <c r="E72" s="78"/>
      <c r="F72" s="78">
        <f t="shared" ref="F72:H72" si="38">H21</f>
        <v>245.80792219358113</v>
      </c>
      <c r="G72" s="78">
        <f t="shared" si="38"/>
        <v>244.94281765238549</v>
      </c>
      <c r="H72" s="78">
        <f t="shared" si="38"/>
        <v>244.64912940864309</v>
      </c>
      <c r="J72" t="str">
        <f>$A$21</f>
        <v>DAC</v>
      </c>
      <c r="K72">
        <f t="shared" si="34"/>
        <v>0.24748895497851919</v>
      </c>
      <c r="L72">
        <f t="shared" si="35"/>
        <v>0.24580792219358114</v>
      </c>
      <c r="M72">
        <f t="shared" si="36"/>
        <v>0.24494281765238549</v>
      </c>
      <c r="N72">
        <f t="shared" si="37"/>
        <v>0.24464912940864308</v>
      </c>
    </row>
    <row r="73" spans="1:14" x14ac:dyDescent="0.25">
      <c r="A73" t="str">
        <f>$A$23</f>
        <v>Mixer</v>
      </c>
      <c r="B73" s="78">
        <f>G23</f>
        <v>80</v>
      </c>
      <c r="C73" s="78"/>
      <c r="D73" s="78"/>
      <c r="E73" s="78"/>
      <c r="F73" s="78">
        <f t="shared" ref="F73:H73" si="39">H23</f>
        <v>80</v>
      </c>
      <c r="G73" s="78">
        <f t="shared" si="39"/>
        <v>80</v>
      </c>
      <c r="H73" s="78">
        <f t="shared" si="39"/>
        <v>80</v>
      </c>
      <c r="J73" t="str">
        <f>$A$23</f>
        <v>Mixer</v>
      </c>
      <c r="K73">
        <f t="shared" si="34"/>
        <v>0.08</v>
      </c>
      <c r="L73">
        <f t="shared" si="35"/>
        <v>0.08</v>
      </c>
      <c r="M73">
        <f t="shared" si="36"/>
        <v>0.08</v>
      </c>
      <c r="N73">
        <f t="shared" si="37"/>
        <v>0.08</v>
      </c>
    </row>
    <row r="74" spans="1:14" x14ac:dyDescent="0.25">
      <c r="A74" t="str">
        <f>$A$28</f>
        <v>VCO</v>
      </c>
      <c r="B74" s="78">
        <f>G28</f>
        <v>480</v>
      </c>
      <c r="C74" s="78"/>
      <c r="D74" s="78"/>
      <c r="E74" s="78"/>
      <c r="F74" s="78">
        <f t="shared" ref="F74:H74" si="40">H28</f>
        <v>480</v>
      </c>
      <c r="G74" s="78">
        <f t="shared" si="40"/>
        <v>480</v>
      </c>
      <c r="H74" s="78">
        <f t="shared" si="40"/>
        <v>480</v>
      </c>
      <c r="J74" t="str">
        <f>$A$28</f>
        <v>VCO</v>
      </c>
      <c r="K74">
        <f t="shared" si="34"/>
        <v>0.48</v>
      </c>
      <c r="L74">
        <f t="shared" si="35"/>
        <v>0.48</v>
      </c>
      <c r="M74">
        <f t="shared" si="36"/>
        <v>0.48</v>
      </c>
      <c r="N74">
        <f t="shared" si="37"/>
        <v>0.48</v>
      </c>
    </row>
    <row r="75" spans="1:14" x14ac:dyDescent="0.25">
      <c r="A75" t="str">
        <f>$A$41</f>
        <v>PS</v>
      </c>
      <c r="B75" s="78">
        <f>G41</f>
        <v>5120</v>
      </c>
      <c r="C75" s="78"/>
      <c r="D75" s="78"/>
      <c r="E75" s="78"/>
      <c r="F75" s="78">
        <f t="shared" ref="F75:H75" si="41">H41</f>
        <v>10240</v>
      </c>
      <c r="G75" s="78">
        <f t="shared" si="41"/>
        <v>15360</v>
      </c>
      <c r="H75" s="78">
        <f t="shared" si="41"/>
        <v>20480</v>
      </c>
      <c r="J75" t="str">
        <f>$A$41</f>
        <v>PS</v>
      </c>
      <c r="K75">
        <f t="shared" si="34"/>
        <v>5.12</v>
      </c>
      <c r="L75">
        <f t="shared" si="35"/>
        <v>10.24</v>
      </c>
      <c r="M75">
        <f t="shared" si="36"/>
        <v>15.36</v>
      </c>
      <c r="N75">
        <f t="shared" si="37"/>
        <v>20.48</v>
      </c>
    </row>
    <row r="76" spans="1:14" x14ac:dyDescent="0.25">
      <c r="A76" t="str">
        <f>$A$48</f>
        <v>RF Amp</v>
      </c>
      <c r="B76" s="78">
        <f>G48</f>
        <v>16213.333333333332</v>
      </c>
      <c r="C76" s="78"/>
      <c r="D76" s="78"/>
      <c r="E76" s="78"/>
      <c r="F76" s="78">
        <f t="shared" ref="F76:H76" si="42">H48</f>
        <v>32426.666666666664</v>
      </c>
      <c r="G76" s="78">
        <f t="shared" si="42"/>
        <v>48640</v>
      </c>
      <c r="H76" s="78">
        <f t="shared" si="42"/>
        <v>64853.333333333328</v>
      </c>
      <c r="J76" t="str">
        <f>$A$48</f>
        <v>RF Amp</v>
      </c>
      <c r="K76">
        <f t="shared" si="34"/>
        <v>16.213333333333331</v>
      </c>
      <c r="L76">
        <f t="shared" si="35"/>
        <v>32.426666666666662</v>
      </c>
      <c r="M76">
        <f t="shared" si="36"/>
        <v>48.64</v>
      </c>
      <c r="N76">
        <f t="shared" si="37"/>
        <v>64.853333333333325</v>
      </c>
    </row>
    <row r="77" spans="1:14" x14ac:dyDescent="0.25">
      <c r="A77" t="str">
        <f>$A$60</f>
        <v xml:space="preserve"> PA</v>
      </c>
      <c r="B77" s="78">
        <f>G60</f>
        <v>100190.89856296283</v>
      </c>
      <c r="C77" s="78"/>
      <c r="D77" s="78"/>
      <c r="E77" s="78"/>
      <c r="F77" s="78">
        <f t="shared" ref="F77:H77" si="43">H60</f>
        <v>46862.804095038824</v>
      </c>
      <c r="G77" s="78">
        <f t="shared" si="43"/>
        <v>30187.578093882777</v>
      </c>
      <c r="H77" s="78">
        <f t="shared" si="43"/>
        <v>22378.360801066527</v>
      </c>
      <c r="J77" t="str">
        <f>$A$60</f>
        <v xml:space="preserve"> PA</v>
      </c>
      <c r="K77">
        <f t="shared" si="34"/>
        <v>100.19089856296283</v>
      </c>
      <c r="L77">
        <f t="shared" si="35"/>
        <v>46.862804095038825</v>
      </c>
      <c r="M77">
        <f t="shared" si="36"/>
        <v>30.187578093882777</v>
      </c>
      <c r="N77">
        <f t="shared" si="37"/>
        <v>22.378360801066528</v>
      </c>
    </row>
    <row r="80" spans="1:14" x14ac:dyDescent="0.25">
      <c r="B80" s="74">
        <f>K2</f>
        <v>384</v>
      </c>
      <c r="C80" s="74"/>
      <c r="D80" s="74"/>
      <c r="E80" s="74"/>
      <c r="F80" s="74">
        <f>L2</f>
        <v>512</v>
      </c>
      <c r="G80" s="74">
        <f>M2</f>
        <v>768</v>
      </c>
      <c r="H80" s="74">
        <f>N2</f>
        <v>1024</v>
      </c>
      <c r="K80" s="74">
        <f>K2</f>
        <v>384</v>
      </c>
      <c r="L80" s="74">
        <f>L2</f>
        <v>512</v>
      </c>
      <c r="M80" s="74">
        <f>M2</f>
        <v>768</v>
      </c>
      <c r="N80" s="74">
        <f>N2</f>
        <v>1024</v>
      </c>
    </row>
    <row r="81" spans="1:14" x14ac:dyDescent="0.25">
      <c r="A81" t="str">
        <f>$A$13</f>
        <v>BB Precoding</v>
      </c>
      <c r="B81" s="78">
        <f>K13</f>
        <v>10.984615384615385</v>
      </c>
      <c r="C81" s="78"/>
      <c r="D81" s="78"/>
      <c r="E81" s="78"/>
      <c r="F81" s="78">
        <f>L13</f>
        <v>10.984615384615385</v>
      </c>
      <c r="G81" s="78">
        <f>M13</f>
        <v>10.984615384615385</v>
      </c>
      <c r="H81" s="78">
        <f>N13</f>
        <v>10.984615384615385</v>
      </c>
      <c r="J81" t="str">
        <f t="shared" ref="J81:J88" si="44">J70</f>
        <v>BB Precoding</v>
      </c>
      <c r="K81">
        <f>B81/1000</f>
        <v>1.0984615384615384E-2</v>
      </c>
      <c r="L81">
        <f t="shared" ref="L81:N81" si="45">F81/1000</f>
        <v>1.0984615384615384E-2</v>
      </c>
      <c r="M81">
        <f t="shared" si="45"/>
        <v>1.0984615384615384E-2</v>
      </c>
      <c r="N81">
        <f t="shared" si="45"/>
        <v>1.0984615384615384E-2</v>
      </c>
    </row>
    <row r="82" spans="1:14" x14ac:dyDescent="0.25">
      <c r="A82" t="str">
        <f>$A$16</f>
        <v>SERDES</v>
      </c>
      <c r="B82" s="78">
        <f>K16</f>
        <v>146.3304029598678</v>
      </c>
      <c r="C82" s="78"/>
      <c r="D82" s="78"/>
      <c r="E82" s="78"/>
      <c r="F82" s="78">
        <f t="shared" ref="F82:H82" si="46">L16</f>
        <v>145.9302647010048</v>
      </c>
      <c r="G82" s="78">
        <f t="shared" si="46"/>
        <v>145.48210271416008</v>
      </c>
      <c r="H82" s="78">
        <f t="shared" si="46"/>
        <v>145.13863112196375</v>
      </c>
      <c r="J82" t="str">
        <f t="shared" si="44"/>
        <v>SERDES</v>
      </c>
      <c r="K82">
        <f t="shared" ref="K82:K88" si="47">B82/1000</f>
        <v>0.14633040295986779</v>
      </c>
      <c r="L82">
        <f t="shared" ref="L82:L88" si="48">F82/1000</f>
        <v>0.14593026470100481</v>
      </c>
      <c r="M82">
        <f t="shared" ref="M82:M88" si="49">G82/1000</f>
        <v>0.14548210271416007</v>
      </c>
      <c r="N82">
        <f t="shared" ref="N82:N88" si="50">H82/1000</f>
        <v>0.14513863112196376</v>
      </c>
    </row>
    <row r="83" spans="1:14" x14ac:dyDescent="0.25">
      <c r="A83" t="str">
        <f>$A$21</f>
        <v>DAC</v>
      </c>
      <c r="B83" s="78">
        <f>K21</f>
        <v>18.730291578863081</v>
      </c>
      <c r="C83" s="78"/>
      <c r="D83" s="78"/>
      <c r="E83" s="78"/>
      <c r="F83" s="78">
        <f t="shared" ref="F83:H83" si="51">L21</f>
        <v>18.679073881728616</v>
      </c>
      <c r="G83" s="78">
        <f t="shared" si="51"/>
        <v>18.621709147412492</v>
      </c>
      <c r="H83" s="78">
        <f t="shared" si="51"/>
        <v>18.577744783611362</v>
      </c>
      <c r="J83" t="str">
        <f t="shared" si="44"/>
        <v>DAC</v>
      </c>
      <c r="K83">
        <f t="shared" si="47"/>
        <v>1.8730291578863082E-2</v>
      </c>
      <c r="L83">
        <f t="shared" si="48"/>
        <v>1.8679073881728615E-2</v>
      </c>
      <c r="M83">
        <f t="shared" si="49"/>
        <v>1.8621709147412492E-2</v>
      </c>
      <c r="N83">
        <f t="shared" si="50"/>
        <v>1.857774478361136E-2</v>
      </c>
    </row>
    <row r="84" spans="1:14" x14ac:dyDescent="0.25">
      <c r="A84" t="str">
        <f>$A$23</f>
        <v>Mixer</v>
      </c>
      <c r="B84" s="78">
        <f>K23</f>
        <v>20</v>
      </c>
      <c r="C84" s="78"/>
      <c r="D84" s="78"/>
      <c r="E84" s="78"/>
      <c r="F84" s="78">
        <f t="shared" ref="F84:H84" si="52">L23</f>
        <v>20</v>
      </c>
      <c r="G84" s="78">
        <f t="shared" si="52"/>
        <v>20</v>
      </c>
      <c r="H84" s="78">
        <f t="shared" si="52"/>
        <v>20</v>
      </c>
      <c r="J84" t="str">
        <f t="shared" si="44"/>
        <v>Mixer</v>
      </c>
      <c r="K84">
        <f t="shared" si="47"/>
        <v>0.02</v>
      </c>
      <c r="L84">
        <f t="shared" si="48"/>
        <v>0.02</v>
      </c>
      <c r="M84">
        <f t="shared" si="49"/>
        <v>0.02</v>
      </c>
      <c r="N84">
        <f t="shared" si="50"/>
        <v>0.02</v>
      </c>
    </row>
    <row r="85" spans="1:14" x14ac:dyDescent="0.25">
      <c r="A85" t="str">
        <f>$A$28</f>
        <v>VCO</v>
      </c>
      <c r="B85" s="78">
        <f>K28</f>
        <v>120</v>
      </c>
      <c r="C85" s="78"/>
      <c r="D85" s="78"/>
      <c r="E85" s="78"/>
      <c r="F85" s="78">
        <f t="shared" ref="F85:H85" si="53">L28</f>
        <v>120</v>
      </c>
      <c r="G85" s="78">
        <f t="shared" si="53"/>
        <v>120</v>
      </c>
      <c r="H85" s="78">
        <f t="shared" si="53"/>
        <v>120</v>
      </c>
      <c r="J85" t="str">
        <f t="shared" si="44"/>
        <v>VCO</v>
      </c>
      <c r="K85">
        <f t="shared" si="47"/>
        <v>0.12</v>
      </c>
      <c r="L85">
        <f t="shared" si="48"/>
        <v>0.12</v>
      </c>
      <c r="M85">
        <f t="shared" si="49"/>
        <v>0.12</v>
      </c>
      <c r="N85">
        <f t="shared" si="50"/>
        <v>0.12</v>
      </c>
    </row>
    <row r="86" spans="1:14" x14ac:dyDescent="0.25">
      <c r="A86" t="str">
        <f>$A$41</f>
        <v>PS</v>
      </c>
      <c r="B86" s="78">
        <f>K41</f>
        <v>7680</v>
      </c>
      <c r="C86" s="78"/>
      <c r="D86" s="78"/>
      <c r="E86" s="78"/>
      <c r="F86" s="78">
        <f t="shared" ref="F86:H86" si="54">L41</f>
        <v>10240</v>
      </c>
      <c r="G86" s="78">
        <f t="shared" si="54"/>
        <v>15360</v>
      </c>
      <c r="H86" s="78">
        <f t="shared" si="54"/>
        <v>20480</v>
      </c>
      <c r="J86" t="str">
        <f t="shared" si="44"/>
        <v>PS</v>
      </c>
      <c r="K86">
        <f t="shared" si="47"/>
        <v>7.68</v>
      </c>
      <c r="L86">
        <f t="shared" si="48"/>
        <v>10.24</v>
      </c>
      <c r="M86">
        <f t="shared" si="49"/>
        <v>15.36</v>
      </c>
      <c r="N86">
        <f t="shared" si="50"/>
        <v>20.48</v>
      </c>
    </row>
    <row r="87" spans="1:14" x14ac:dyDescent="0.25">
      <c r="A87" t="str">
        <f>$A$48</f>
        <v>RF Amp</v>
      </c>
      <c r="B87" s="78">
        <f>K48</f>
        <v>35840</v>
      </c>
      <c r="C87" s="78"/>
      <c r="D87" s="78"/>
      <c r="E87" s="78"/>
      <c r="F87" s="78">
        <f t="shared" ref="F87:H87" si="55">L48</f>
        <v>47786.666666666664</v>
      </c>
      <c r="G87" s="78">
        <f t="shared" si="55"/>
        <v>71680</v>
      </c>
      <c r="H87" s="78">
        <f t="shared" si="55"/>
        <v>95573.333333333328</v>
      </c>
      <c r="J87" t="str">
        <f t="shared" si="44"/>
        <v>RF Amp</v>
      </c>
      <c r="K87">
        <f t="shared" si="47"/>
        <v>35.840000000000003</v>
      </c>
      <c r="L87">
        <f t="shared" si="48"/>
        <v>47.786666666666662</v>
      </c>
      <c r="M87">
        <f t="shared" si="49"/>
        <v>71.680000000000007</v>
      </c>
      <c r="N87">
        <f t="shared" si="50"/>
        <v>95.573333333333323</v>
      </c>
    </row>
    <row r="88" spans="1:14" x14ac:dyDescent="0.25">
      <c r="A88" t="str">
        <f>$A$60</f>
        <v xml:space="preserve"> PA</v>
      </c>
      <c r="B88" s="78">
        <f>K60</f>
        <v>189595.60754192882</v>
      </c>
      <c r="C88" s="78"/>
      <c r="D88" s="78"/>
      <c r="E88" s="78"/>
      <c r="F88" s="78">
        <f t="shared" ref="F88:H88" si="56">L60</f>
        <v>139903.40081908615</v>
      </c>
      <c r="G88" s="78">
        <f t="shared" si="56"/>
        <v>91585.827051207089</v>
      </c>
      <c r="H88" s="78">
        <f t="shared" si="56"/>
        <v>67737.360807644247</v>
      </c>
      <c r="J88" t="str">
        <f t="shared" si="44"/>
        <v xml:space="preserve"> PA</v>
      </c>
      <c r="K88">
        <f t="shared" si="47"/>
        <v>189.59560754192881</v>
      </c>
      <c r="L88">
        <f t="shared" si="48"/>
        <v>139.90340081908616</v>
      </c>
      <c r="M88">
        <f t="shared" si="49"/>
        <v>91.58582705120709</v>
      </c>
      <c r="N88">
        <f t="shared" si="50"/>
        <v>67.737360807644251</v>
      </c>
    </row>
    <row r="91" spans="1:14" x14ac:dyDescent="0.25">
      <c r="B91" s="74">
        <f>O2</f>
        <v>384</v>
      </c>
      <c r="C91" s="74"/>
      <c r="D91" s="74"/>
      <c r="E91" s="74"/>
      <c r="F91" s="74">
        <f>P2</f>
        <v>512</v>
      </c>
      <c r="G91" s="74">
        <f>Q2</f>
        <v>768</v>
      </c>
      <c r="H91" s="74">
        <f>R2</f>
        <v>1024</v>
      </c>
      <c r="K91" s="74">
        <f>O2</f>
        <v>384</v>
      </c>
      <c r="L91" s="74">
        <f>P2</f>
        <v>512</v>
      </c>
      <c r="M91" s="74">
        <f>Q2</f>
        <v>768</v>
      </c>
      <c r="N91" s="74">
        <f>R2</f>
        <v>1024</v>
      </c>
    </row>
    <row r="92" spans="1:14" x14ac:dyDescent="0.25">
      <c r="A92" t="str">
        <f>$A$13</f>
        <v>BB Precoding</v>
      </c>
      <c r="B92" s="78">
        <f>O13</f>
        <v>5.0999999999999996</v>
      </c>
      <c r="C92" s="78"/>
      <c r="D92" s="78"/>
      <c r="E92" s="78"/>
      <c r="F92" s="78">
        <f>P13</f>
        <v>5.0999999999999996</v>
      </c>
      <c r="G92" s="78">
        <f>Q13</f>
        <v>5.0999999999999996</v>
      </c>
      <c r="H92" s="78">
        <f>R13</f>
        <v>5.0999999999999996</v>
      </c>
      <c r="J92" t="str">
        <f t="shared" ref="J92:J99" si="57">J70</f>
        <v>BB Precoding</v>
      </c>
      <c r="K92">
        <f>B92/1000</f>
        <v>5.0999999999999995E-3</v>
      </c>
      <c r="L92">
        <f t="shared" ref="L92:N92" si="58">F92/1000</f>
        <v>5.0999999999999995E-3</v>
      </c>
      <c r="M92">
        <f t="shared" si="58"/>
        <v>5.0999999999999995E-3</v>
      </c>
      <c r="N92">
        <f t="shared" si="58"/>
        <v>5.0999999999999995E-3</v>
      </c>
    </row>
    <row r="93" spans="1:14" x14ac:dyDescent="0.25">
      <c r="A93" t="str">
        <f>$A$16</f>
        <v>SERDES</v>
      </c>
      <c r="B93" s="78">
        <f>O16</f>
        <v>155.5877180237467</v>
      </c>
      <c r="C93" s="78"/>
      <c r="D93" s="78"/>
      <c r="E93" s="78"/>
      <c r="F93" s="78">
        <f t="shared" ref="F93:H93" si="59">P16</f>
        <v>155.52931556098184</v>
      </c>
      <c r="G93" s="78">
        <f t="shared" si="59"/>
        <v>155.36190123422617</v>
      </c>
      <c r="H93" s="78">
        <f t="shared" si="59"/>
        <v>155.27516543812797</v>
      </c>
      <c r="J93" t="str">
        <f t="shared" si="57"/>
        <v>SERDES</v>
      </c>
      <c r="K93">
        <f t="shared" ref="K93:K99" si="60">B93/1000</f>
        <v>0.15558771802374671</v>
      </c>
      <c r="L93">
        <f t="shared" ref="L93:L99" si="61">F93/1000</f>
        <v>0.15552931556098185</v>
      </c>
      <c r="M93">
        <f t="shared" ref="M93:M99" si="62">G93/1000</f>
        <v>0.15536190123422616</v>
      </c>
      <c r="N93">
        <f t="shared" ref="N93:N99" si="63">H93/1000</f>
        <v>0.15527516543812797</v>
      </c>
    </row>
    <row r="94" spans="1:14" x14ac:dyDescent="0.25">
      <c r="A94" t="str">
        <f>$A$21</f>
        <v>DAC</v>
      </c>
      <c r="B94" s="78">
        <f>O21</f>
        <v>1274.5745860505331</v>
      </c>
      <c r="C94" s="78"/>
      <c r="D94" s="78"/>
      <c r="E94" s="78"/>
      <c r="F94" s="78">
        <f t="shared" ref="F94:H94" si="64">P21</f>
        <v>1274.0961530755633</v>
      </c>
      <c r="G94" s="78">
        <f t="shared" si="64"/>
        <v>1272.724694910781</v>
      </c>
      <c r="H94" s="78">
        <f t="shared" si="64"/>
        <v>1272.0141552691446</v>
      </c>
      <c r="J94" t="str">
        <f t="shared" si="57"/>
        <v>DAC</v>
      </c>
      <c r="K94">
        <f t="shared" si="60"/>
        <v>1.2745745860505331</v>
      </c>
      <c r="L94">
        <f t="shared" si="61"/>
        <v>1.2740961530755632</v>
      </c>
      <c r="M94">
        <f t="shared" si="62"/>
        <v>1.2727246949107809</v>
      </c>
      <c r="N94">
        <f t="shared" si="63"/>
        <v>1.2720141552691446</v>
      </c>
    </row>
    <row r="95" spans="1:14" x14ac:dyDescent="0.25">
      <c r="A95" t="str">
        <f>$A$23</f>
        <v>Mixer</v>
      </c>
      <c r="B95" s="78">
        <f>O23</f>
        <v>10</v>
      </c>
      <c r="C95" s="78"/>
      <c r="D95" s="78"/>
      <c r="E95" s="78"/>
      <c r="F95" s="78">
        <f t="shared" ref="F95:H95" si="65">P23</f>
        <v>10</v>
      </c>
      <c r="G95" s="78">
        <f t="shared" si="65"/>
        <v>10</v>
      </c>
      <c r="H95" s="78">
        <f t="shared" si="65"/>
        <v>10</v>
      </c>
      <c r="J95" t="str">
        <f t="shared" si="57"/>
        <v>Mixer</v>
      </c>
      <c r="K95">
        <f t="shared" si="60"/>
        <v>0.01</v>
      </c>
      <c r="L95">
        <f t="shared" si="61"/>
        <v>0.01</v>
      </c>
      <c r="M95">
        <f t="shared" si="62"/>
        <v>0.01</v>
      </c>
      <c r="N95">
        <f t="shared" si="63"/>
        <v>0.01</v>
      </c>
    </row>
    <row r="96" spans="1:14" x14ac:dyDescent="0.25">
      <c r="A96" t="str">
        <f>$A$28</f>
        <v>VCO</v>
      </c>
      <c r="B96" s="78">
        <f>O28</f>
        <v>60</v>
      </c>
      <c r="C96" s="78"/>
      <c r="D96" s="78"/>
      <c r="E96" s="78"/>
      <c r="F96" s="78">
        <f t="shared" ref="F96:H96" si="66">P28</f>
        <v>60</v>
      </c>
      <c r="G96" s="78">
        <f t="shared" si="66"/>
        <v>60</v>
      </c>
      <c r="H96" s="78">
        <f t="shared" si="66"/>
        <v>60</v>
      </c>
      <c r="J96" t="str">
        <f t="shared" si="57"/>
        <v>VCO</v>
      </c>
      <c r="K96">
        <f t="shared" si="60"/>
        <v>0.06</v>
      </c>
      <c r="L96">
        <f t="shared" si="61"/>
        <v>0.06</v>
      </c>
      <c r="M96">
        <f t="shared" si="62"/>
        <v>0.06</v>
      </c>
      <c r="N96">
        <f t="shared" si="63"/>
        <v>0.06</v>
      </c>
    </row>
    <row r="97" spans="1:14" x14ac:dyDescent="0.25">
      <c r="A97" t="str">
        <f>$A$41</f>
        <v>PS</v>
      </c>
      <c r="B97" s="78">
        <f>O41</f>
        <v>3840</v>
      </c>
      <c r="C97" s="78"/>
      <c r="D97" s="78"/>
      <c r="E97" s="78"/>
      <c r="F97" s="78">
        <f t="shared" ref="F97:H97" si="67">P41</f>
        <v>5120</v>
      </c>
      <c r="G97" s="78">
        <f t="shared" si="67"/>
        <v>7680</v>
      </c>
      <c r="H97" s="78">
        <f t="shared" si="67"/>
        <v>10240</v>
      </c>
      <c r="J97" t="str">
        <f t="shared" si="57"/>
        <v>PS</v>
      </c>
      <c r="K97">
        <f t="shared" si="60"/>
        <v>3.84</v>
      </c>
      <c r="L97">
        <f t="shared" si="61"/>
        <v>5.12</v>
      </c>
      <c r="M97">
        <f t="shared" si="62"/>
        <v>7.68</v>
      </c>
      <c r="N97">
        <f t="shared" si="63"/>
        <v>10.24</v>
      </c>
    </row>
    <row r="98" spans="1:14" x14ac:dyDescent="0.25">
      <c r="A98" t="str">
        <f>$A$48</f>
        <v>RF Amp</v>
      </c>
      <c r="B98" s="78">
        <f>O48</f>
        <v>25600</v>
      </c>
      <c r="C98" s="78"/>
      <c r="D98" s="78"/>
      <c r="E98" s="78"/>
      <c r="F98" s="78">
        <f t="shared" ref="F98:H98" si="68">P48</f>
        <v>34133.333333333328</v>
      </c>
      <c r="G98" s="78">
        <f t="shared" si="68"/>
        <v>51200</v>
      </c>
      <c r="H98" s="78">
        <f t="shared" si="68"/>
        <v>68266.666666666657</v>
      </c>
      <c r="J98" t="str">
        <f t="shared" si="57"/>
        <v>RF Amp</v>
      </c>
      <c r="K98">
        <f t="shared" si="60"/>
        <v>25.6</v>
      </c>
      <c r="L98">
        <f t="shared" si="61"/>
        <v>34.133333333333326</v>
      </c>
      <c r="M98">
        <f t="shared" si="62"/>
        <v>51.2</v>
      </c>
      <c r="N98">
        <f t="shared" si="63"/>
        <v>68.266666666666652</v>
      </c>
    </row>
    <row r="99" spans="1:14" x14ac:dyDescent="0.25">
      <c r="A99" t="str">
        <f>$A$60</f>
        <v xml:space="preserve"> PA</v>
      </c>
      <c r="B99" s="78">
        <f>O60</f>
        <v>73422.348464170631</v>
      </c>
      <c r="C99" s="78"/>
      <c r="D99" s="78"/>
      <c r="E99" s="78"/>
      <c r="F99" s="78">
        <f t="shared" ref="F99:H99" si="69">P60</f>
        <v>54806.020850631408</v>
      </c>
      <c r="G99" s="78">
        <f t="shared" si="69"/>
        <v>36043.609146682342</v>
      </c>
      <c r="H99" s="78">
        <f t="shared" si="69"/>
        <v>26842.828186504681</v>
      </c>
      <c r="J99" t="str">
        <f t="shared" si="57"/>
        <v xml:space="preserve"> PA</v>
      </c>
      <c r="K99">
        <f t="shared" si="60"/>
        <v>73.422348464170625</v>
      </c>
      <c r="L99">
        <f t="shared" si="61"/>
        <v>54.806020850631405</v>
      </c>
      <c r="M99">
        <f t="shared" si="62"/>
        <v>36.043609146682343</v>
      </c>
      <c r="N99">
        <f t="shared" si="63"/>
        <v>26.842828186504683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6CF5E-1FD2-4F86-A8E0-C8634953BAAC}">
  <dimension ref="A1:J30"/>
  <sheetViews>
    <sheetView workbookViewId="0">
      <selection activeCell="C17" sqref="C17"/>
    </sheetView>
  </sheetViews>
  <sheetFormatPr defaultRowHeight="15" x14ac:dyDescent="0.25"/>
  <cols>
    <col min="1" max="1" width="29.140625" customWidth="1"/>
    <col min="2" max="2" width="14.85546875" customWidth="1"/>
    <col min="3" max="3" width="11.28515625" customWidth="1"/>
    <col min="4" max="4" width="12" customWidth="1"/>
    <col min="7" max="7" width="27.85546875" customWidth="1"/>
    <col min="8" max="8" width="12.140625" customWidth="1"/>
    <col min="9" max="9" width="12.28515625" customWidth="1"/>
    <col min="10" max="10" width="10.42578125" customWidth="1"/>
  </cols>
  <sheetData>
    <row r="1" spans="1:10" x14ac:dyDescent="0.25">
      <c r="A1" s="1"/>
      <c r="B1" s="75" t="s">
        <v>375</v>
      </c>
      <c r="C1" s="75"/>
      <c r="D1" s="75"/>
    </row>
    <row r="2" spans="1:10" x14ac:dyDescent="0.25">
      <c r="B2" s="2" t="s">
        <v>462</v>
      </c>
      <c r="C2" s="2" t="s">
        <v>487</v>
      </c>
      <c r="D2" s="2" t="s">
        <v>475</v>
      </c>
      <c r="H2" s="2" t="str">
        <f>$B$2</f>
        <v>DA(N=128)</v>
      </c>
      <c r="I2" s="2" t="str">
        <f>$C$2</f>
        <v>SA(N=768)</v>
      </c>
      <c r="J2" s="2" t="str">
        <f>$D$2</f>
        <v>FH(N=128)</v>
      </c>
    </row>
    <row r="3" spans="1:10" x14ac:dyDescent="0.25">
      <c r="A3" s="52" t="s">
        <v>368</v>
      </c>
      <c r="B3" s="130">
        <f>Digital!E59</f>
        <v>1004.3076923076923</v>
      </c>
      <c r="C3" s="128">
        <f>'Sub Array'!H69</f>
        <v>251.07692307692307</v>
      </c>
      <c r="D3" s="128">
        <f>'Full Conn Hybrd'!F70</f>
        <v>62.769230769230766</v>
      </c>
      <c r="G3" s="52" t="s">
        <v>409</v>
      </c>
      <c r="H3" s="78">
        <f>B3/1000</f>
        <v>1.0043076923076923</v>
      </c>
      <c r="I3" s="78">
        <f t="shared" ref="I3:J3" si="0">C3/1000</f>
        <v>0.25107692307692309</v>
      </c>
      <c r="J3" s="78">
        <f t="shared" si="0"/>
        <v>6.2769230769230772E-2</v>
      </c>
    </row>
    <row r="4" spans="1:10" x14ac:dyDescent="0.25">
      <c r="A4" s="52" t="s">
        <v>373</v>
      </c>
      <c r="B4" s="130">
        <f>Digital!E60</f>
        <v>654.69379968112764</v>
      </c>
      <c r="C4" s="128">
        <f>'Sub Array'!H70</f>
        <v>968.21488211858946</v>
      </c>
      <c r="D4" s="128">
        <f>'Full Conn Hybrd'!F71</f>
        <v>960.18719606867626</v>
      </c>
      <c r="G4" s="52" t="s">
        <v>410</v>
      </c>
      <c r="H4" s="78">
        <f t="shared" ref="H4:H10" si="1">B4/1000</f>
        <v>0.65469379968112762</v>
      </c>
      <c r="I4" s="78">
        <f t="shared" ref="I4:I10" si="2">C4/1000</f>
        <v>0.96821488211858941</v>
      </c>
      <c r="J4" s="78">
        <f t="shared" ref="J4:J10" si="3">D4/1000</f>
        <v>0.96018719606867631</v>
      </c>
    </row>
    <row r="5" spans="1:10" x14ac:dyDescent="0.25">
      <c r="A5" s="52" t="s">
        <v>264</v>
      </c>
      <c r="B5" s="130">
        <f>Digital!E61</f>
        <v>489.64880528413926</v>
      </c>
      <c r="C5" s="128">
        <f>'Sub Array'!H71</f>
        <v>907.57190036161251</v>
      </c>
      <c r="D5" s="128">
        <f>'Full Conn Hybrd'!F72</f>
        <v>245.80792219358113</v>
      </c>
      <c r="G5" s="52" t="s">
        <v>411</v>
      </c>
      <c r="H5" s="78">
        <f t="shared" si="1"/>
        <v>0.48964880528413923</v>
      </c>
      <c r="I5" s="78">
        <f t="shared" si="2"/>
        <v>0.9075719003616125</v>
      </c>
      <c r="J5" s="78">
        <f t="shared" si="3"/>
        <v>0.24580792219358114</v>
      </c>
    </row>
    <row r="6" spans="1:10" x14ac:dyDescent="0.25">
      <c r="A6" s="52" t="s">
        <v>372</v>
      </c>
      <c r="B6" s="130">
        <f>Digital!E62</f>
        <v>1280</v>
      </c>
      <c r="C6" s="128">
        <f>'Sub Array'!H72</f>
        <v>480</v>
      </c>
      <c r="D6" s="128">
        <f>'Full Conn Hybrd'!F73</f>
        <v>80</v>
      </c>
      <c r="G6" s="52" t="s">
        <v>412</v>
      </c>
      <c r="H6" s="78">
        <f t="shared" si="1"/>
        <v>1.28</v>
      </c>
      <c r="I6" s="78">
        <f t="shared" si="2"/>
        <v>0.48</v>
      </c>
      <c r="J6" s="78">
        <f t="shared" si="3"/>
        <v>0.08</v>
      </c>
    </row>
    <row r="7" spans="1:10" x14ac:dyDescent="0.25">
      <c r="A7" s="52" t="s">
        <v>559</v>
      </c>
      <c r="B7" s="130">
        <f>Digital!E63</f>
        <v>7680</v>
      </c>
      <c r="C7" s="128">
        <f>'Sub Array'!H73</f>
        <v>2880</v>
      </c>
      <c r="D7" s="128">
        <f>'Full Conn Hybrd'!F74</f>
        <v>480</v>
      </c>
      <c r="G7" s="52" t="s">
        <v>420</v>
      </c>
      <c r="H7" s="78">
        <f t="shared" si="1"/>
        <v>7.68</v>
      </c>
      <c r="I7" s="78">
        <f t="shared" si="2"/>
        <v>2.88</v>
      </c>
      <c r="J7" s="78">
        <f t="shared" si="3"/>
        <v>0.48</v>
      </c>
    </row>
    <row r="8" spans="1:10" x14ac:dyDescent="0.25">
      <c r="A8" s="52" t="s">
        <v>367</v>
      </c>
      <c r="B8" s="130">
        <f>Digital!E64</f>
        <v>0</v>
      </c>
      <c r="C8" s="128">
        <f>'Sub Array'!H74</f>
        <v>7680</v>
      </c>
      <c r="D8" s="128">
        <f>'Full Conn Hybrd'!F75</f>
        <v>10240</v>
      </c>
      <c r="G8" s="52" t="s">
        <v>413</v>
      </c>
      <c r="H8" s="78">
        <f t="shared" si="1"/>
        <v>0</v>
      </c>
      <c r="I8" s="78">
        <f t="shared" si="2"/>
        <v>7.68</v>
      </c>
      <c r="J8" s="78">
        <f t="shared" si="3"/>
        <v>10.24</v>
      </c>
    </row>
    <row r="9" spans="1:10" x14ac:dyDescent="0.25">
      <c r="A9" s="52" t="s">
        <v>371</v>
      </c>
      <c r="B9" s="130">
        <f>Digital!E65</f>
        <v>5120</v>
      </c>
      <c r="C9" s="128">
        <f>'Sub Array'!H75</f>
        <v>38400</v>
      </c>
      <c r="D9" s="128">
        <f>'Full Conn Hybrd'!F76</f>
        <v>32426.666666666664</v>
      </c>
      <c r="G9" s="52" t="s">
        <v>414</v>
      </c>
      <c r="H9" s="78">
        <f t="shared" si="1"/>
        <v>5.12</v>
      </c>
      <c r="I9" s="78">
        <f t="shared" si="2"/>
        <v>38.4</v>
      </c>
      <c r="J9" s="78">
        <f t="shared" si="3"/>
        <v>32.426666666666662</v>
      </c>
    </row>
    <row r="10" spans="1:10" x14ac:dyDescent="0.25">
      <c r="A10" s="76" t="s">
        <v>322</v>
      </c>
      <c r="B10" s="131">
        <f>Digital!E66</f>
        <v>33715.396512563239</v>
      </c>
      <c r="C10" s="128">
        <f>'Sub Array'!H76</f>
        <v>67893.511551074393</v>
      </c>
      <c r="D10" s="128">
        <f>'Full Conn Hybrd'!F77</f>
        <v>46862.804095038824</v>
      </c>
      <c r="G10" s="76" t="s">
        <v>415</v>
      </c>
      <c r="H10" s="78">
        <f t="shared" si="1"/>
        <v>33.715396512563238</v>
      </c>
      <c r="I10" s="78">
        <f t="shared" si="2"/>
        <v>67.893511551074397</v>
      </c>
      <c r="J10" s="78">
        <f t="shared" si="3"/>
        <v>46.862804095038825</v>
      </c>
    </row>
    <row r="11" spans="1:10" x14ac:dyDescent="0.25">
      <c r="A11" s="1"/>
      <c r="B11" s="75" t="s">
        <v>376</v>
      </c>
      <c r="C11" s="75"/>
      <c r="D11" s="75"/>
      <c r="G11" s="1"/>
      <c r="H11" s="78">
        <f>SUM(H3:H10)</f>
        <v>49.944046809836195</v>
      </c>
      <c r="I11" s="78">
        <f t="shared" ref="I11:J11" si="4">SUM(I3:I10)</f>
        <v>119.46037525663152</v>
      </c>
      <c r="J11" s="78">
        <f t="shared" si="4"/>
        <v>91.358235110736985</v>
      </c>
    </row>
    <row r="12" spans="1:10" x14ac:dyDescent="0.25">
      <c r="B12" s="2" t="s">
        <v>478</v>
      </c>
      <c r="C12" s="2" t="s">
        <v>461</v>
      </c>
      <c r="D12" t="s">
        <v>488</v>
      </c>
      <c r="H12" s="2" t="str">
        <f>$B$12</f>
        <v>DA(N=384)</v>
      </c>
      <c r="I12" s="2" t="str">
        <f>$C$12</f>
        <v>SA(N=1024)</v>
      </c>
      <c r="J12" s="2" t="str">
        <f>$D$12</f>
        <v>FH(N=768)</v>
      </c>
    </row>
    <row r="13" spans="1:10" x14ac:dyDescent="0.25">
      <c r="A13" s="52" t="s">
        <v>368</v>
      </c>
      <c r="B13" s="79">
        <f>Digital!E69</f>
        <v>2109.0461538461536</v>
      </c>
      <c r="C13" s="79">
        <f>'Sub Array'!I79</f>
        <v>302.86153846153849</v>
      </c>
      <c r="D13" s="78">
        <f>'Full Conn Hybrd'!G81</f>
        <v>10.984615384615385</v>
      </c>
      <c r="G13" s="52" t="s">
        <v>409</v>
      </c>
      <c r="H13" s="78">
        <f>B13/1000</f>
        <v>2.1090461538461538</v>
      </c>
      <c r="I13" s="78">
        <f t="shared" ref="I13:J13" si="5">C13/1000</f>
        <v>0.30286153846153846</v>
      </c>
      <c r="J13" s="78">
        <f t="shared" si="5"/>
        <v>1.0984615384615384E-2</v>
      </c>
    </row>
    <row r="14" spans="1:10" x14ac:dyDescent="0.25">
      <c r="A14" s="52" t="s">
        <v>373</v>
      </c>
      <c r="B14" s="128">
        <f>Digital!E70</f>
        <v>136</v>
      </c>
      <c r="C14" s="128">
        <f>'Sub Array'!I80</f>
        <v>144.85359803433818</v>
      </c>
      <c r="D14" s="129">
        <f>'Full Conn Hybrd'!G82</f>
        <v>145.48210271416008</v>
      </c>
      <c r="G14" s="52" t="s">
        <v>410</v>
      </c>
      <c r="H14" s="78">
        <f t="shared" ref="H14:H20" si="6">B14/1000</f>
        <v>0.13600000000000001</v>
      </c>
      <c r="I14" s="78">
        <f t="shared" ref="I14:I20" si="7">C14/1000</f>
        <v>0.14485359803433817</v>
      </c>
      <c r="J14" s="78">
        <f t="shared" ref="J14:J20" si="8">D14/1000</f>
        <v>0.14548210271416007</v>
      </c>
    </row>
    <row r="15" spans="1:10" x14ac:dyDescent="0.25">
      <c r="A15" s="52" t="s">
        <v>264</v>
      </c>
      <c r="B15" s="74">
        <f>Digital!E71</f>
        <v>835.58400000000006</v>
      </c>
      <c r="C15" s="74">
        <f>'Sub Array'!I81</f>
        <v>166.8119113085686</v>
      </c>
      <c r="D15" s="78">
        <f>'Full Conn Hybrd'!G83</f>
        <v>18.621709147412492</v>
      </c>
      <c r="G15" s="52" t="s">
        <v>411</v>
      </c>
      <c r="H15" s="78">
        <f t="shared" si="6"/>
        <v>0.8355840000000001</v>
      </c>
      <c r="I15" s="78">
        <f t="shared" si="7"/>
        <v>0.16681191130856859</v>
      </c>
      <c r="J15" s="78">
        <f t="shared" si="8"/>
        <v>1.8621709147412492E-2</v>
      </c>
    </row>
    <row r="16" spans="1:10" x14ac:dyDescent="0.25">
      <c r="A16" s="52" t="s">
        <v>372</v>
      </c>
      <c r="B16" s="74">
        <f>Digital!E72</f>
        <v>3840</v>
      </c>
      <c r="C16" s="74">
        <f>'Sub Array'!I82</f>
        <v>640</v>
      </c>
      <c r="D16" s="78">
        <f>'Full Conn Hybrd'!G84</f>
        <v>20</v>
      </c>
      <c r="G16" s="52" t="s">
        <v>412</v>
      </c>
      <c r="H16" s="78">
        <f t="shared" si="6"/>
        <v>3.84</v>
      </c>
      <c r="I16" s="78">
        <f t="shared" si="7"/>
        <v>0.64</v>
      </c>
      <c r="J16" s="78">
        <f t="shared" si="8"/>
        <v>0.02</v>
      </c>
    </row>
    <row r="17" spans="1:10" x14ac:dyDescent="0.25">
      <c r="A17" s="52" t="s">
        <v>559</v>
      </c>
      <c r="B17" s="74">
        <f>Digital!E73</f>
        <v>23040</v>
      </c>
      <c r="C17" s="74">
        <f>'Sub Array'!I83</f>
        <v>3840</v>
      </c>
      <c r="D17" s="78">
        <f>'Full Conn Hybrd'!G85</f>
        <v>120</v>
      </c>
      <c r="G17" s="52" t="s">
        <v>420</v>
      </c>
      <c r="H17" s="78">
        <f t="shared" si="6"/>
        <v>23.04</v>
      </c>
      <c r="I17" s="78">
        <f t="shared" si="7"/>
        <v>3.84</v>
      </c>
      <c r="J17" s="78">
        <f t="shared" si="8"/>
        <v>0.12</v>
      </c>
    </row>
    <row r="18" spans="1:10" x14ac:dyDescent="0.25">
      <c r="A18" s="52" t="s">
        <v>367</v>
      </c>
      <c r="B18" s="74">
        <f>Digital!E74</f>
        <v>0</v>
      </c>
      <c r="C18" s="74">
        <f>'Sub Array'!I84</f>
        <v>10240</v>
      </c>
      <c r="D18" s="78">
        <f>'Full Conn Hybrd'!G86</f>
        <v>15360</v>
      </c>
      <c r="G18" s="52" t="s">
        <v>413</v>
      </c>
      <c r="H18" s="78">
        <f t="shared" si="6"/>
        <v>0</v>
      </c>
      <c r="I18" s="78">
        <f t="shared" si="7"/>
        <v>10.24</v>
      </c>
      <c r="J18" s="78">
        <f t="shared" si="8"/>
        <v>15.36</v>
      </c>
    </row>
    <row r="19" spans="1:10" x14ac:dyDescent="0.25">
      <c r="A19" s="52" t="s">
        <v>371</v>
      </c>
      <c r="B19" s="74">
        <f>Digital!E75</f>
        <v>15360</v>
      </c>
      <c r="C19" s="74">
        <f>'Sub Array'!I85</f>
        <v>51200</v>
      </c>
      <c r="D19" s="78">
        <f>'Full Conn Hybrd'!G87</f>
        <v>71680</v>
      </c>
      <c r="G19" s="52" t="s">
        <v>414</v>
      </c>
      <c r="H19" s="78">
        <f t="shared" si="6"/>
        <v>15.36</v>
      </c>
      <c r="I19" s="78">
        <f t="shared" si="7"/>
        <v>51.2</v>
      </c>
      <c r="J19" s="78">
        <f t="shared" si="8"/>
        <v>71.680000000000007</v>
      </c>
    </row>
    <row r="20" spans="1:10" x14ac:dyDescent="0.25">
      <c r="A20" s="76" t="s">
        <v>322</v>
      </c>
      <c r="B20" s="74">
        <f>Digital!E76</f>
        <v>138301.93983273749</v>
      </c>
      <c r="C20" s="74">
        <f>'Sub Array'!I86</f>
        <v>133914.70581801565</v>
      </c>
      <c r="D20" s="78">
        <f>'Full Conn Hybrd'!G88</f>
        <v>91585.827051207089</v>
      </c>
      <c r="G20" s="76" t="s">
        <v>415</v>
      </c>
      <c r="H20" s="78">
        <f t="shared" si="6"/>
        <v>138.3019398327375</v>
      </c>
      <c r="I20" s="78">
        <f t="shared" si="7"/>
        <v>133.91470581801565</v>
      </c>
      <c r="J20" s="78">
        <f t="shared" si="8"/>
        <v>91.58582705120709</v>
      </c>
    </row>
    <row r="21" spans="1:10" x14ac:dyDescent="0.25">
      <c r="A21" s="1"/>
      <c r="B21" s="75" t="s">
        <v>377</v>
      </c>
      <c r="C21" s="75"/>
      <c r="D21" s="75"/>
      <c r="G21" s="1"/>
    </row>
    <row r="22" spans="1:10" x14ac:dyDescent="0.25">
      <c r="B22" s="2" t="s">
        <v>478</v>
      </c>
      <c r="C22" s="2" t="s">
        <v>476</v>
      </c>
      <c r="D22" t="s">
        <v>477</v>
      </c>
      <c r="H22" s="2" t="str">
        <f>$B$22</f>
        <v>DA(N=384)</v>
      </c>
      <c r="I22" s="2" t="str">
        <f>$C$22</f>
        <v>SA(N=512)</v>
      </c>
      <c r="J22" s="2" t="str">
        <f>$D$22</f>
        <v>FH(N=512)</v>
      </c>
    </row>
    <row r="23" spans="1:10" x14ac:dyDescent="0.25">
      <c r="A23" s="52" t="s">
        <v>368</v>
      </c>
      <c r="B23" s="128">
        <f>Digital!F79</f>
        <v>1958.4</v>
      </c>
      <c r="C23" s="128">
        <f>'Sub Array'!G89</f>
        <v>151.03846153846155</v>
      </c>
      <c r="D23" s="132">
        <f>'Full Conn Hybrd'!F92</f>
        <v>5.0999999999999996</v>
      </c>
      <c r="G23" s="52" t="s">
        <v>409</v>
      </c>
      <c r="H23" s="78">
        <f>B23/1000</f>
        <v>1.9584000000000001</v>
      </c>
      <c r="I23" s="78">
        <f t="shared" ref="I23:J23" si="9">C23/1000</f>
        <v>0.15103846153846154</v>
      </c>
      <c r="J23" s="78">
        <f t="shared" si="9"/>
        <v>5.0999999999999995E-3</v>
      </c>
    </row>
    <row r="24" spans="1:10" x14ac:dyDescent="0.25">
      <c r="A24" s="52" t="s">
        <v>373</v>
      </c>
      <c r="B24" s="128">
        <f>Digital!F80</f>
        <v>79.05</v>
      </c>
      <c r="C24" s="128">
        <f>'Sub Array'!G90</f>
        <v>155.52931556098184</v>
      </c>
      <c r="D24" s="132">
        <f>'Full Conn Hybrd'!F93</f>
        <v>155.52931556098184</v>
      </c>
      <c r="G24" s="52" t="s">
        <v>410</v>
      </c>
      <c r="H24" s="78">
        <f t="shared" ref="H24:H30" si="10">B24/1000</f>
        <v>7.9049999999999995E-2</v>
      </c>
      <c r="I24" s="78">
        <f t="shared" ref="I24:I30" si="11">C24/1000</f>
        <v>0.15552931556098185</v>
      </c>
      <c r="J24" s="78">
        <f t="shared" ref="J24:J30" si="12">D24/1000</f>
        <v>0.15552931556098185</v>
      </c>
    </row>
    <row r="25" spans="1:10" x14ac:dyDescent="0.25">
      <c r="A25" s="52" t="s">
        <v>264</v>
      </c>
      <c r="B25" s="128">
        <f>Digital!F81</f>
        <v>1311.1718377139166</v>
      </c>
      <c r="C25" s="128">
        <f>'Sub Array'!G91</f>
        <v>2470.2850739698588</v>
      </c>
      <c r="D25" s="132">
        <f>'Full Conn Hybrd'!F94</f>
        <v>1274.0961530755633</v>
      </c>
      <c r="G25" s="52" t="s">
        <v>411</v>
      </c>
      <c r="H25" s="78">
        <f t="shared" si="10"/>
        <v>1.3111718377139165</v>
      </c>
      <c r="I25" s="78">
        <f t="shared" si="11"/>
        <v>2.4702850739698587</v>
      </c>
      <c r="J25" s="78">
        <f t="shared" si="12"/>
        <v>1.2740961530755632</v>
      </c>
    </row>
    <row r="26" spans="1:10" x14ac:dyDescent="0.25">
      <c r="A26" s="52" t="s">
        <v>372</v>
      </c>
      <c r="B26" s="128">
        <f>Digital!F82</f>
        <v>3840</v>
      </c>
      <c r="C26" s="128">
        <f>'Sub Array'!G92</f>
        <v>320</v>
      </c>
      <c r="D26" s="132">
        <f>'Full Conn Hybrd'!F95</f>
        <v>10</v>
      </c>
      <c r="G26" s="52" t="s">
        <v>412</v>
      </c>
      <c r="H26" s="78">
        <f t="shared" si="10"/>
        <v>3.84</v>
      </c>
      <c r="I26" s="78">
        <f t="shared" si="11"/>
        <v>0.32</v>
      </c>
      <c r="J26" s="78">
        <f t="shared" si="12"/>
        <v>0.01</v>
      </c>
    </row>
    <row r="27" spans="1:10" x14ac:dyDescent="0.25">
      <c r="A27" s="52" t="s">
        <v>559</v>
      </c>
      <c r="B27" s="128">
        <f>Digital!F83</f>
        <v>23040</v>
      </c>
      <c r="C27" s="128">
        <f>'Sub Array'!G93</f>
        <v>1920</v>
      </c>
      <c r="D27" s="132">
        <f>'Full Conn Hybrd'!F96</f>
        <v>60</v>
      </c>
      <c r="G27" s="52" t="s">
        <v>420</v>
      </c>
      <c r="H27" s="78">
        <f t="shared" si="10"/>
        <v>23.04</v>
      </c>
      <c r="I27" s="78">
        <f t="shared" si="11"/>
        <v>1.92</v>
      </c>
      <c r="J27" s="78">
        <f t="shared" si="12"/>
        <v>0.06</v>
      </c>
    </row>
    <row r="28" spans="1:10" x14ac:dyDescent="0.25">
      <c r="A28" s="52" t="s">
        <v>367</v>
      </c>
      <c r="B28" s="128">
        <f>Digital!F84</f>
        <v>0</v>
      </c>
      <c r="C28" s="128">
        <f>'Sub Array'!G94</f>
        <v>5120</v>
      </c>
      <c r="D28" s="132">
        <f>'Full Conn Hybrd'!F97</f>
        <v>5120</v>
      </c>
      <c r="G28" s="52" t="s">
        <v>413</v>
      </c>
      <c r="H28" s="78">
        <f t="shared" si="10"/>
        <v>0</v>
      </c>
      <c r="I28" s="78">
        <f t="shared" si="11"/>
        <v>5.12</v>
      </c>
      <c r="J28" s="78">
        <f t="shared" si="12"/>
        <v>5.12</v>
      </c>
    </row>
    <row r="29" spans="1:10" x14ac:dyDescent="0.25">
      <c r="A29" s="52" t="s">
        <v>371</v>
      </c>
      <c r="B29" s="128">
        <f>Digital!F85</f>
        <v>15360</v>
      </c>
      <c r="C29" s="128">
        <f>'Sub Array'!G95</f>
        <v>25600</v>
      </c>
      <c r="D29" s="132">
        <f>'Full Conn Hybrd'!F98</f>
        <v>34133.333333333328</v>
      </c>
      <c r="G29" s="52" t="s">
        <v>414</v>
      </c>
      <c r="H29" s="78">
        <f t="shared" si="10"/>
        <v>15.36</v>
      </c>
      <c r="I29" s="78">
        <f t="shared" si="11"/>
        <v>25.6</v>
      </c>
      <c r="J29" s="78">
        <f t="shared" si="12"/>
        <v>34.133333333333326</v>
      </c>
    </row>
    <row r="30" spans="1:10" x14ac:dyDescent="0.25">
      <c r="A30" s="76" t="s">
        <v>322</v>
      </c>
      <c r="B30" s="128">
        <f>Digital!F86</f>
        <v>56082.617071244</v>
      </c>
      <c r="C30" s="128">
        <f>'Sub Array'!G96</f>
        <v>54806.020850631408</v>
      </c>
      <c r="D30" s="133">
        <f>'Full Conn Hybrd'!F99</f>
        <v>54806.020850631408</v>
      </c>
      <c r="G30" s="76" t="s">
        <v>415</v>
      </c>
      <c r="H30" s="78">
        <f t="shared" si="10"/>
        <v>56.082617071244002</v>
      </c>
      <c r="I30" s="78">
        <f t="shared" si="11"/>
        <v>54.806020850631405</v>
      </c>
      <c r="J30" s="78">
        <f t="shared" si="12"/>
        <v>54.806020850631405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9652F-41C8-467F-A954-5CE655C1F795}">
  <dimension ref="A1:F28"/>
  <sheetViews>
    <sheetView workbookViewId="0">
      <selection activeCell="B6" sqref="B6"/>
    </sheetView>
  </sheetViews>
  <sheetFormatPr defaultRowHeight="15" x14ac:dyDescent="0.25"/>
  <cols>
    <col min="1" max="1" width="26.85546875" customWidth="1"/>
    <col min="2" max="2" width="13.5703125" customWidth="1"/>
    <col min="3" max="3" width="12.28515625" customWidth="1"/>
    <col min="4" max="4" width="12.85546875" customWidth="1"/>
  </cols>
  <sheetData>
    <row r="1" spans="1:6" x14ac:dyDescent="0.25">
      <c r="B1" s="62">
        <v>128</v>
      </c>
      <c r="C1" s="62"/>
      <c r="D1" s="62">
        <v>256</v>
      </c>
      <c r="E1" s="62">
        <v>384</v>
      </c>
    </row>
    <row r="2" spans="1:6" x14ac:dyDescent="0.25">
      <c r="A2" s="52" t="str">
        <f>Digital!$A$14</f>
        <v>SERDES area [mm2]</v>
      </c>
      <c r="B2" s="150">
        <f>Digital!C14</f>
        <v>19.68</v>
      </c>
      <c r="C2" s="150"/>
      <c r="D2" s="150">
        <f>Digital!D14</f>
        <v>39.36</v>
      </c>
      <c r="E2" s="150">
        <f>Digital!E14</f>
        <v>59.04</v>
      </c>
      <c r="F2" s="78">
        <f>SUM(E2:E7)</f>
        <v>172</v>
      </c>
    </row>
    <row r="3" spans="1:6" x14ac:dyDescent="0.25">
      <c r="A3" s="52" t="str">
        <f>Digital!$A$20</f>
        <v>Total DAC Area [mm2]</v>
      </c>
      <c r="B3" s="78">
        <f>Digital!C20</f>
        <v>6.4</v>
      </c>
      <c r="C3" s="78"/>
      <c r="D3" s="78">
        <f>Digital!D20</f>
        <v>12.8</v>
      </c>
      <c r="E3" s="78">
        <f>Digital!E20</f>
        <v>19.200000000000003</v>
      </c>
    </row>
    <row r="4" spans="1:6" x14ac:dyDescent="0.25">
      <c r="A4" s="52" t="str">
        <f>Digital!$A$28</f>
        <v>Total VCO Area [mm2]</v>
      </c>
      <c r="B4" s="78">
        <f>Digital!C28</f>
        <v>23.04</v>
      </c>
      <c r="C4" s="78"/>
      <c r="D4" s="78">
        <f>Digital!D28</f>
        <v>46.08</v>
      </c>
      <c r="E4" s="78">
        <f>Digital!E28</f>
        <v>69.12</v>
      </c>
    </row>
    <row r="5" spans="1:6" x14ac:dyDescent="0.25">
      <c r="A5" s="52" t="str">
        <f>Digital!A33</f>
        <v>Total PS Area [mm2]</v>
      </c>
      <c r="B5" s="78">
        <f>Digital!C33</f>
        <v>0</v>
      </c>
      <c r="C5" s="78"/>
      <c r="D5" s="78">
        <f>Digital!D33</f>
        <v>0</v>
      </c>
      <c r="E5" s="78">
        <f>Digital!E33</f>
        <v>0</v>
      </c>
    </row>
    <row r="6" spans="1:6" x14ac:dyDescent="0.25">
      <c r="A6" s="52" t="str">
        <f>Digital!A34</f>
        <v>Wilk. Area [mm2]</v>
      </c>
      <c r="B6" s="78">
        <f>Digital!C34</f>
        <v>4.8</v>
      </c>
      <c r="C6" s="78"/>
      <c r="D6" s="78">
        <f>Digital!D34</f>
        <v>9.92</v>
      </c>
      <c r="E6" s="78">
        <f>Digital!E34</f>
        <v>15.040000000000001</v>
      </c>
    </row>
    <row r="7" spans="1:6" x14ac:dyDescent="0.25">
      <c r="A7" s="52" t="str">
        <f>Digital!$A$38</f>
        <v>Total RF Amp Area [mm2]</v>
      </c>
      <c r="B7" s="78">
        <f>Digital!C38</f>
        <v>3.2</v>
      </c>
      <c r="C7" s="78"/>
      <c r="D7" s="78">
        <f>Digital!D38</f>
        <v>6.4</v>
      </c>
      <c r="E7" s="78">
        <f>Digital!E38</f>
        <v>9.6000000000000014</v>
      </c>
    </row>
    <row r="8" spans="1:6" x14ac:dyDescent="0.25">
      <c r="A8" s="116" t="s">
        <v>421</v>
      </c>
      <c r="B8" s="117">
        <f>SUM(B2:B7)/B1</f>
        <v>0.44624999999999998</v>
      </c>
      <c r="C8" s="117"/>
      <c r="D8" s="117">
        <f>SUM(D2:D7)/D1</f>
        <v>0.44750000000000001</v>
      </c>
      <c r="E8" s="117">
        <f>SUM(E2:E7)/E1</f>
        <v>0.44791666666666669</v>
      </c>
    </row>
    <row r="9" spans="1:6" x14ac:dyDescent="0.25">
      <c r="A9" s="120" t="s">
        <v>489</v>
      </c>
      <c r="B9">
        <f>SUM(B2:B7)*0.1+B1*9*0.2</f>
        <v>236.11199999999999</v>
      </c>
      <c r="C9">
        <f>SUM(C2:C7)*0.1+C1*9*0.2</f>
        <v>0</v>
      </c>
      <c r="D9">
        <f>SUM(D2:D7)*0.1+D1*9*0.2</f>
        <v>472.25600000000003</v>
      </c>
      <c r="E9">
        <f>SUM(E2:E7)*0.1+E1*9*0.2</f>
        <v>708.40000000000009</v>
      </c>
    </row>
    <row r="10" spans="1:6" x14ac:dyDescent="0.25">
      <c r="F10" s="78">
        <f>SUM(E12:E17)</f>
        <v>248.28000000000003</v>
      </c>
    </row>
    <row r="11" spans="1:6" x14ac:dyDescent="0.25">
      <c r="B11" s="74">
        <f>'Sub Array'!C2</f>
        <v>256</v>
      </c>
      <c r="C11" s="74">
        <f>'Sub Array'!D2</f>
        <v>512</v>
      </c>
      <c r="D11" s="74">
        <f>'Sub Array'!E2</f>
        <v>768</v>
      </c>
      <c r="E11" s="74">
        <f>'Sub Array'!F2</f>
        <v>1024</v>
      </c>
    </row>
    <row r="12" spans="1:6" x14ac:dyDescent="0.25">
      <c r="A12" s="52" t="str">
        <f t="shared" ref="A12:A18" si="0">A2</f>
        <v>SERDES area [mm2]</v>
      </c>
      <c r="B12" s="151">
        <f>'Sub Array'!C14</f>
        <v>19.68</v>
      </c>
      <c r="C12" s="151">
        <f>'Sub Array'!D14</f>
        <v>39.36</v>
      </c>
      <c r="D12" s="151">
        <f>'Sub Array'!E14</f>
        <v>59.04</v>
      </c>
      <c r="E12" s="151">
        <f>'Sub Array'!F14</f>
        <v>78.72</v>
      </c>
    </row>
    <row r="13" spans="1:6" x14ac:dyDescent="0.25">
      <c r="A13" s="52" t="str">
        <f t="shared" si="0"/>
        <v>Total DAC Area [mm2]</v>
      </c>
      <c r="B13" s="115">
        <f>'Sub Array'!C18</f>
        <v>0.8</v>
      </c>
      <c r="C13" s="115">
        <f>'Sub Array'!D18</f>
        <v>1.6</v>
      </c>
      <c r="D13" s="115">
        <f>'Sub Array'!E18</f>
        <v>2.4000000000000004</v>
      </c>
      <c r="E13" s="115">
        <f>'Sub Array'!F18</f>
        <v>3.2</v>
      </c>
    </row>
    <row r="14" spans="1:6" x14ac:dyDescent="0.25">
      <c r="A14" s="52" t="str">
        <f t="shared" si="0"/>
        <v>Total VCO Area [mm2]</v>
      </c>
      <c r="B14" s="115">
        <f>'Sub Array'!C28</f>
        <v>2.88</v>
      </c>
      <c r="C14" s="115">
        <f>'Sub Array'!D28</f>
        <v>5.76</v>
      </c>
      <c r="D14" s="115">
        <f>'Sub Array'!E28</f>
        <v>8.64</v>
      </c>
      <c r="E14" s="115">
        <f>'Sub Array'!F28</f>
        <v>11.52</v>
      </c>
    </row>
    <row r="15" spans="1:6" x14ac:dyDescent="0.25">
      <c r="A15" s="52" t="str">
        <f t="shared" si="0"/>
        <v>Total PS Area [mm2]</v>
      </c>
      <c r="B15" s="115">
        <f>'Sub Array'!C38</f>
        <v>20.48</v>
      </c>
      <c r="C15" s="115">
        <f>'Sub Array'!D38</f>
        <v>40.96</v>
      </c>
      <c r="D15" s="115">
        <f>'Sub Array'!E38</f>
        <v>61.44</v>
      </c>
      <c r="E15" s="115">
        <f>'Sub Array'!F38</f>
        <v>81.92</v>
      </c>
    </row>
    <row r="16" spans="1:6" x14ac:dyDescent="0.25">
      <c r="A16" s="52" t="str">
        <f t="shared" si="0"/>
        <v>Wilk. Area [mm2]</v>
      </c>
      <c r="B16" s="115">
        <f>'Sub Array'!C40</f>
        <v>10.200000000000001</v>
      </c>
      <c r="C16" s="115">
        <f>'Sub Array'!D40</f>
        <v>20.440000000000001</v>
      </c>
      <c r="D16" s="115">
        <f>'Sub Array'!E40</f>
        <v>30.68</v>
      </c>
      <c r="E16" s="115">
        <f>'Sub Array'!F40</f>
        <v>40.92</v>
      </c>
    </row>
    <row r="17" spans="1:5" x14ac:dyDescent="0.25">
      <c r="A17" s="52" t="str">
        <f t="shared" si="0"/>
        <v>Total RF Amp Area [mm2]</v>
      </c>
      <c r="B17" s="115">
        <f>'Sub Array'!C45</f>
        <v>8</v>
      </c>
      <c r="C17" s="115">
        <f>'Sub Array'!D45</f>
        <v>16</v>
      </c>
      <c r="D17" s="115">
        <f>'Sub Array'!E45</f>
        <v>24</v>
      </c>
      <c r="E17" s="115">
        <f>'Sub Array'!F45</f>
        <v>32</v>
      </c>
    </row>
    <row r="18" spans="1:5" x14ac:dyDescent="0.25">
      <c r="A18" s="116" t="str">
        <f t="shared" si="0"/>
        <v>Area Per Element</v>
      </c>
      <c r="B18" s="118">
        <f>SUM(B12:B17)/B11</f>
        <v>0.24234375000000002</v>
      </c>
      <c r="C18" s="118">
        <f>SUM(C12:C17)/C11</f>
        <v>0.24242187500000001</v>
      </c>
      <c r="D18" s="118">
        <f>SUM(D12:D17)/D11</f>
        <v>0.24244791666666665</v>
      </c>
      <c r="E18" s="118">
        <f>SUM(E12:E17)/E11</f>
        <v>0.24246093750000003</v>
      </c>
    </row>
    <row r="19" spans="1:5" x14ac:dyDescent="0.25">
      <c r="A19" s="120" t="s">
        <v>489</v>
      </c>
      <c r="B19">
        <f>SUM(B12:B17)*0.05+B11*16*0.3</f>
        <v>1231.902</v>
      </c>
      <c r="C19">
        <f>SUM(C12:C17)*0.05+C11*16*0.3</f>
        <v>2463.806</v>
      </c>
      <c r="D19">
        <f>SUM(D12:D17)*0.05+D11*16*0.3</f>
        <v>3695.7099999999996</v>
      </c>
      <c r="E19">
        <f>SUM(E12:E17)*0.05+E11*16*0.3</f>
        <v>4927.6139999999996</v>
      </c>
    </row>
    <row r="20" spans="1:5" x14ac:dyDescent="0.25">
      <c r="B20" s="78">
        <f>'Full Conn Hybrd'!C2</f>
        <v>128</v>
      </c>
      <c r="C20" s="78">
        <f>'Full Conn Hybrd'!D2</f>
        <v>256</v>
      </c>
      <c r="D20" s="78">
        <v>384</v>
      </c>
      <c r="E20">
        <v>768</v>
      </c>
    </row>
    <row r="21" spans="1:5" x14ac:dyDescent="0.25">
      <c r="A21" t="str">
        <f t="shared" ref="A21:A27" si="1">A2</f>
        <v>SERDES area [mm2]</v>
      </c>
      <c r="B21" s="150">
        <f>'Full Conn Hybrd'!C15</f>
        <v>0</v>
      </c>
      <c r="C21" s="150">
        <f>'Full Conn Hybrd'!D15</f>
        <v>0</v>
      </c>
      <c r="D21" s="150">
        <f>'Full Conn Hybrd'!$E$15</f>
        <v>0</v>
      </c>
      <c r="E21">
        <f>'Full Conn Hybrd'!$F$15</f>
        <v>0</v>
      </c>
    </row>
    <row r="22" spans="1:5" x14ac:dyDescent="0.25">
      <c r="A22" t="str">
        <f t="shared" si="1"/>
        <v>Total DAC Area [mm2]</v>
      </c>
      <c r="B22" s="78">
        <f>'Full Conn Hybrd'!C19</f>
        <v>0.4</v>
      </c>
      <c r="C22" s="78">
        <f>'Full Conn Hybrd'!D19</f>
        <v>0.4</v>
      </c>
      <c r="D22" s="78">
        <f>'Full Conn Hybrd'!$E$19</f>
        <v>0.4</v>
      </c>
      <c r="E22">
        <f>'Full Conn Hybrd'!$F$19</f>
        <v>0.4</v>
      </c>
    </row>
    <row r="23" spans="1:5" x14ac:dyDescent="0.25">
      <c r="A23" t="str">
        <f t="shared" si="1"/>
        <v>Total VCO Area [mm2]</v>
      </c>
      <c r="B23" s="78">
        <f>'Full Conn Hybrd'!C29</f>
        <v>1.44</v>
      </c>
      <c r="C23" s="78">
        <f>'Full Conn Hybrd'!D29</f>
        <v>1.44</v>
      </c>
      <c r="D23" s="78">
        <f>'Full Conn Hybrd'!$E$29</f>
        <v>1.44</v>
      </c>
      <c r="E23">
        <f>'Full Conn Hybrd'!$F$29</f>
        <v>1.44</v>
      </c>
    </row>
    <row r="24" spans="1:5" x14ac:dyDescent="0.25">
      <c r="A24" t="str">
        <f t="shared" si="1"/>
        <v>Total PS Area [mm2]</v>
      </c>
      <c r="B24" s="78">
        <f>'Full Conn Hybrd'!C40</f>
        <v>81.92</v>
      </c>
      <c r="C24" s="78">
        <f>'Full Conn Hybrd'!D40</f>
        <v>163.84</v>
      </c>
      <c r="D24" s="78">
        <f>'Full Conn Hybrd'!$E$40</f>
        <v>245.76</v>
      </c>
      <c r="E24">
        <f>'Full Conn Hybrd'!$F$40</f>
        <v>491.52</v>
      </c>
    </row>
    <row r="25" spans="1:5" x14ac:dyDescent="0.25">
      <c r="A25" t="str">
        <f t="shared" si="1"/>
        <v>Wilk. Area [mm2]</v>
      </c>
      <c r="B25" s="78">
        <f>'Full Conn Hybrd'!C44</f>
        <v>76.48</v>
      </c>
      <c r="C25" s="78">
        <f>'Full Conn Hybrd'!D44</f>
        <v>153.28</v>
      </c>
      <c r="D25" s="78">
        <f>'Full Conn Hybrd'!$E$44</f>
        <v>230.08</v>
      </c>
      <c r="E25">
        <f>'Full Conn Hybrd'!$F$44</f>
        <v>460.48</v>
      </c>
    </row>
    <row r="26" spans="1:5" x14ac:dyDescent="0.25">
      <c r="A26" t="str">
        <f t="shared" si="1"/>
        <v>Total RF Amp Area [mm2]</v>
      </c>
      <c r="B26" s="78">
        <f>'Full Conn Hybrd'!C50</f>
        <v>20.266666666666666</v>
      </c>
      <c r="C26" s="78">
        <f>'Full Conn Hybrd'!D50</f>
        <v>40.533333333333331</v>
      </c>
      <c r="D26" s="78">
        <f>'Full Conn Hybrd'!$E$50</f>
        <v>60.800000000000004</v>
      </c>
      <c r="E26">
        <f>'Full Conn Hybrd'!$F$50</f>
        <v>121.60000000000001</v>
      </c>
    </row>
    <row r="27" spans="1:5" x14ac:dyDescent="0.25">
      <c r="A27" s="119" t="str">
        <f t="shared" si="1"/>
        <v>Area Per Element</v>
      </c>
      <c r="B27" s="117">
        <f>SUM(B21:B26)/B20</f>
        <v>1.4102083333333333</v>
      </c>
      <c r="C27" s="117">
        <f>SUM(C21:C26)/C20</f>
        <v>1.4042708333333334</v>
      </c>
      <c r="D27" s="117">
        <f>SUM(D21:D26)/D20</f>
        <v>1.4022916666666667</v>
      </c>
      <c r="E27" s="117"/>
    </row>
    <row r="28" spans="1:5" x14ac:dyDescent="0.25">
      <c r="A28" s="120" t="s">
        <v>489</v>
      </c>
      <c r="B28">
        <f>SUM(B21:B26)*0.05+B20*16*0.3</f>
        <v>623.42533333333336</v>
      </c>
      <c r="C28">
        <f>SUM(C21:C26)*0.05+C20*16*0.3</f>
        <v>1246.7746666666667</v>
      </c>
      <c r="D28">
        <f>SUM(D21:D26)*0.05+D20*16*0.3</f>
        <v>1870.1239999999998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63BC-BEF4-49A3-ADD9-EAEDD586BA9D}">
  <dimension ref="A1:S106"/>
  <sheetViews>
    <sheetView workbookViewId="0">
      <selection activeCell="B99" sqref="B99:D106"/>
    </sheetView>
  </sheetViews>
  <sheetFormatPr defaultRowHeight="15" x14ac:dyDescent="0.25"/>
  <cols>
    <col min="1" max="1" width="31.140625" customWidth="1"/>
    <col min="2" max="2" width="13.5703125" customWidth="1"/>
    <col min="3" max="3" width="13.28515625" customWidth="1"/>
    <col min="4" max="4" width="11.5703125" customWidth="1"/>
    <col min="5" max="5" width="12" customWidth="1"/>
    <col min="6" max="6" width="12.28515625" customWidth="1"/>
    <col min="7" max="7" width="12.7109375" customWidth="1"/>
    <col min="8" max="8" width="11.85546875" customWidth="1"/>
    <col min="9" max="9" width="12" customWidth="1"/>
    <col min="10" max="10" width="12.28515625" customWidth="1"/>
    <col min="11" max="11" width="14.5703125" customWidth="1"/>
    <col min="12" max="12" width="11.85546875" hidden="1" customWidth="1"/>
    <col min="13" max="14" width="12.140625" hidden="1" customWidth="1"/>
    <col min="15" max="15" width="12.28515625" hidden="1" customWidth="1"/>
    <col min="16" max="16" width="12.5703125" hidden="1" customWidth="1"/>
    <col min="17" max="17" width="12.7109375" customWidth="1"/>
    <col min="18" max="18" width="11.7109375" customWidth="1"/>
    <col min="19" max="19" width="12.7109375" customWidth="1"/>
  </cols>
  <sheetData>
    <row r="1" spans="1:19" x14ac:dyDescent="0.25">
      <c r="A1" s="126" t="s">
        <v>343</v>
      </c>
      <c r="B1" s="126" t="s">
        <v>326</v>
      </c>
      <c r="C1" s="2" t="s">
        <v>481</v>
      </c>
      <c r="D1" s="2" t="s">
        <v>449</v>
      </c>
      <c r="E1" s="2" t="s">
        <v>448</v>
      </c>
      <c r="F1" s="2" t="s">
        <v>450</v>
      </c>
      <c r="G1" s="2" t="s">
        <v>451</v>
      </c>
      <c r="H1" s="2" t="s">
        <v>452</v>
      </c>
      <c r="I1" s="2" t="s">
        <v>453</v>
      </c>
      <c r="J1" s="2" t="s">
        <v>454</v>
      </c>
      <c r="K1" s="2" t="s">
        <v>455</v>
      </c>
      <c r="L1" s="101" t="s">
        <v>457</v>
      </c>
      <c r="M1" s="101" t="s">
        <v>456</v>
      </c>
      <c r="N1" s="101" t="s">
        <v>458</v>
      </c>
      <c r="O1" s="102" t="s">
        <v>459</v>
      </c>
      <c r="P1" s="101" t="s">
        <v>525</v>
      </c>
      <c r="Q1" s="101" t="s">
        <v>526</v>
      </c>
      <c r="R1" s="101" t="s">
        <v>527</v>
      </c>
      <c r="S1" s="102" t="s">
        <v>528</v>
      </c>
    </row>
    <row r="2" spans="1:19" x14ac:dyDescent="0.25">
      <c r="A2" s="62" t="s">
        <v>8</v>
      </c>
      <c r="B2" s="126" t="s">
        <v>330</v>
      </c>
      <c r="C2" s="29">
        <v>384</v>
      </c>
      <c r="D2" s="29">
        <v>128</v>
      </c>
      <c r="E2" s="29">
        <v>192</v>
      </c>
      <c r="F2" s="29">
        <v>256</v>
      </c>
      <c r="G2" s="29">
        <v>384</v>
      </c>
      <c r="H2" s="29">
        <v>128</v>
      </c>
      <c r="I2" s="29">
        <v>192</v>
      </c>
      <c r="J2" s="135">
        <v>256</v>
      </c>
      <c r="K2" s="135">
        <v>384</v>
      </c>
      <c r="L2" s="113">
        <v>128</v>
      </c>
      <c r="M2" s="113">
        <v>192</v>
      </c>
      <c r="N2" s="113">
        <v>256</v>
      </c>
      <c r="O2" s="113">
        <v>384</v>
      </c>
      <c r="P2" s="113">
        <v>128</v>
      </c>
      <c r="Q2" s="113">
        <v>192</v>
      </c>
      <c r="R2" s="113">
        <v>256</v>
      </c>
      <c r="S2" s="113">
        <v>384</v>
      </c>
    </row>
    <row r="3" spans="1:19" x14ac:dyDescent="0.25">
      <c r="A3" s="62" t="s">
        <v>9</v>
      </c>
      <c r="B3" s="126" t="s">
        <v>330</v>
      </c>
      <c r="C3" s="29">
        <f>C2</f>
        <v>384</v>
      </c>
      <c r="D3" s="29">
        <f t="shared" ref="D3:S3" si="0">D2</f>
        <v>128</v>
      </c>
      <c r="E3" s="29">
        <f t="shared" si="0"/>
        <v>192</v>
      </c>
      <c r="F3" s="29">
        <f t="shared" si="0"/>
        <v>256</v>
      </c>
      <c r="G3" s="29">
        <f t="shared" si="0"/>
        <v>384</v>
      </c>
      <c r="H3" s="29">
        <f t="shared" si="0"/>
        <v>128</v>
      </c>
      <c r="I3" s="29">
        <f t="shared" si="0"/>
        <v>192</v>
      </c>
      <c r="J3" s="135">
        <f t="shared" si="0"/>
        <v>256</v>
      </c>
      <c r="K3" s="135">
        <f t="shared" si="0"/>
        <v>384</v>
      </c>
      <c r="L3" s="39">
        <f t="shared" si="0"/>
        <v>128</v>
      </c>
      <c r="M3" s="39">
        <f t="shared" si="0"/>
        <v>192</v>
      </c>
      <c r="N3" s="39">
        <f t="shared" si="0"/>
        <v>256</v>
      </c>
      <c r="O3" s="39">
        <f t="shared" si="0"/>
        <v>384</v>
      </c>
      <c r="P3" s="39">
        <f t="shared" si="0"/>
        <v>128</v>
      </c>
      <c r="Q3" s="39">
        <f t="shared" si="0"/>
        <v>192</v>
      </c>
      <c r="R3" s="39">
        <f t="shared" si="0"/>
        <v>256</v>
      </c>
      <c r="S3" s="39">
        <f t="shared" si="0"/>
        <v>384</v>
      </c>
    </row>
    <row r="4" spans="1:19" x14ac:dyDescent="0.25">
      <c r="A4" s="62" t="s">
        <v>263</v>
      </c>
      <c r="B4" s="126" t="s">
        <v>330</v>
      </c>
      <c r="C4" s="29">
        <f t="shared" ref="C4:S4" si="1">C2/C3</f>
        <v>1</v>
      </c>
      <c r="D4" s="29">
        <f t="shared" si="1"/>
        <v>1</v>
      </c>
      <c r="E4" s="29">
        <f t="shared" si="1"/>
        <v>1</v>
      </c>
      <c r="F4" s="29">
        <f t="shared" si="1"/>
        <v>1</v>
      </c>
      <c r="G4" s="29">
        <f t="shared" si="1"/>
        <v>1</v>
      </c>
      <c r="H4" s="29">
        <f t="shared" si="1"/>
        <v>1</v>
      </c>
      <c r="I4" s="29">
        <f t="shared" si="1"/>
        <v>1</v>
      </c>
      <c r="J4" s="135">
        <f t="shared" si="1"/>
        <v>1</v>
      </c>
      <c r="K4" s="135">
        <f t="shared" si="1"/>
        <v>1</v>
      </c>
      <c r="L4" s="39">
        <f t="shared" si="1"/>
        <v>1</v>
      </c>
      <c r="M4" s="39">
        <f t="shared" si="1"/>
        <v>1</v>
      </c>
      <c r="N4" s="39">
        <f t="shared" si="1"/>
        <v>1</v>
      </c>
      <c r="O4" s="39">
        <f t="shared" si="1"/>
        <v>1</v>
      </c>
      <c r="P4" s="39">
        <f t="shared" si="1"/>
        <v>1</v>
      </c>
      <c r="Q4" s="39">
        <f t="shared" si="1"/>
        <v>1</v>
      </c>
      <c r="R4" s="39">
        <f t="shared" si="1"/>
        <v>1</v>
      </c>
      <c r="S4" s="39">
        <f t="shared" si="1"/>
        <v>1</v>
      </c>
    </row>
    <row r="5" spans="1:19" x14ac:dyDescent="0.25">
      <c r="A5" s="62" t="s">
        <v>464</v>
      </c>
      <c r="B5" s="33" t="s">
        <v>342</v>
      </c>
      <c r="C5" s="25" t="s">
        <v>20</v>
      </c>
      <c r="D5" s="29">
        <v>12</v>
      </c>
      <c r="E5" s="112">
        <v>12</v>
      </c>
      <c r="F5" s="112">
        <v>12</v>
      </c>
      <c r="G5" s="29">
        <v>12</v>
      </c>
      <c r="H5" s="29">
        <v>16</v>
      </c>
      <c r="I5" s="112">
        <v>16</v>
      </c>
      <c r="J5" s="112">
        <v>16</v>
      </c>
      <c r="K5" s="112">
        <v>16</v>
      </c>
      <c r="L5" s="39">
        <v>24</v>
      </c>
      <c r="M5" s="39">
        <v>24</v>
      </c>
      <c r="N5" s="39">
        <v>24</v>
      </c>
      <c r="O5" s="39">
        <v>24</v>
      </c>
      <c r="P5" s="39">
        <v>32</v>
      </c>
      <c r="Q5" s="39">
        <v>32</v>
      </c>
      <c r="R5" s="39">
        <v>32</v>
      </c>
      <c r="S5" s="39">
        <v>32</v>
      </c>
    </row>
    <row r="6" spans="1:19" x14ac:dyDescent="0.25">
      <c r="A6" s="62" t="s">
        <v>262</v>
      </c>
      <c r="B6" s="126" t="s">
        <v>330</v>
      </c>
      <c r="C6" s="29">
        <f>C3</f>
        <v>384</v>
      </c>
      <c r="D6" s="29">
        <f t="shared" ref="D6:S6" si="2">D3</f>
        <v>128</v>
      </c>
      <c r="E6" s="29">
        <f t="shared" si="2"/>
        <v>192</v>
      </c>
      <c r="F6" s="29">
        <f t="shared" si="2"/>
        <v>256</v>
      </c>
      <c r="G6" s="29">
        <f t="shared" si="2"/>
        <v>384</v>
      </c>
      <c r="H6" s="29">
        <f t="shared" si="2"/>
        <v>128</v>
      </c>
      <c r="I6" s="29">
        <f t="shared" si="2"/>
        <v>192</v>
      </c>
      <c r="J6" s="135">
        <f t="shared" si="2"/>
        <v>256</v>
      </c>
      <c r="K6" s="135">
        <f t="shared" si="2"/>
        <v>384</v>
      </c>
      <c r="L6" s="39">
        <f t="shared" si="2"/>
        <v>128</v>
      </c>
      <c r="M6" s="39">
        <f t="shared" si="2"/>
        <v>192</v>
      </c>
      <c r="N6" s="39">
        <f t="shared" si="2"/>
        <v>256</v>
      </c>
      <c r="O6" s="39">
        <f t="shared" si="2"/>
        <v>384</v>
      </c>
      <c r="P6" s="39">
        <f t="shared" si="2"/>
        <v>128</v>
      </c>
      <c r="Q6" s="39">
        <f t="shared" si="2"/>
        <v>192</v>
      </c>
      <c r="R6" s="39">
        <f t="shared" si="2"/>
        <v>256</v>
      </c>
      <c r="S6" s="39">
        <f t="shared" si="2"/>
        <v>384</v>
      </c>
    </row>
    <row r="7" spans="1:19" x14ac:dyDescent="0.25">
      <c r="A7" s="62" t="s">
        <v>260</v>
      </c>
      <c r="B7" s="126" t="s">
        <v>342</v>
      </c>
      <c r="C7" s="43">
        <f>C9*2</f>
        <v>1.7</v>
      </c>
      <c r="D7" s="43">
        <f t="shared" ref="D7:S7" si="3">D9*2</f>
        <v>1.7</v>
      </c>
      <c r="E7" s="43">
        <f t="shared" si="3"/>
        <v>1.7</v>
      </c>
      <c r="F7" s="43">
        <f t="shared" si="3"/>
        <v>1.7</v>
      </c>
      <c r="G7" s="43">
        <f t="shared" si="3"/>
        <v>1.7</v>
      </c>
      <c r="H7" s="43">
        <f t="shared" si="3"/>
        <v>1.7</v>
      </c>
      <c r="I7" s="43">
        <f t="shared" si="3"/>
        <v>1.7</v>
      </c>
      <c r="J7" s="43">
        <f t="shared" si="3"/>
        <v>1.7</v>
      </c>
      <c r="K7" s="43">
        <f t="shared" si="3"/>
        <v>1.7</v>
      </c>
      <c r="L7" s="43">
        <f t="shared" si="3"/>
        <v>1.7</v>
      </c>
      <c r="M7" s="43">
        <f t="shared" si="3"/>
        <v>1.7</v>
      </c>
      <c r="N7" s="43">
        <f t="shared" si="3"/>
        <v>1.7</v>
      </c>
      <c r="O7" s="43">
        <f t="shared" si="3"/>
        <v>1.7</v>
      </c>
      <c r="P7" s="43">
        <f t="shared" si="3"/>
        <v>1.7</v>
      </c>
      <c r="Q7" s="43">
        <f t="shared" si="3"/>
        <v>1.7</v>
      </c>
      <c r="R7" s="43">
        <f t="shared" si="3"/>
        <v>1.7</v>
      </c>
      <c r="S7" s="43">
        <f t="shared" si="3"/>
        <v>1.7</v>
      </c>
    </row>
    <row r="8" spans="1:19" x14ac:dyDescent="0.25">
      <c r="A8" s="62" t="s">
        <v>529</v>
      </c>
      <c r="B8" s="126" t="s">
        <v>342</v>
      </c>
      <c r="C8" s="25">
        <v>6</v>
      </c>
      <c r="D8" s="110">
        <f>(10+10-1.76+D10+D39)/6</f>
        <v>5.2172583309886837</v>
      </c>
      <c r="E8" s="110">
        <f>(10+10-1.76+E10+E39)/6</f>
        <v>4.8572583309886843</v>
      </c>
      <c r="F8" s="110">
        <f>(10+10-1.76+F10+F39)/6</f>
        <v>4.6139249976553502</v>
      </c>
      <c r="G8" s="110">
        <f>(10+10-1.76+G10+G39)/6</f>
        <v>4.287258330988684</v>
      </c>
      <c r="H8" s="110">
        <f t="shared" ref="H8:S8" si="4">MAX((10+10-1.76+H10+H39)/6,4)</f>
        <v>5.4755916643220175</v>
      </c>
      <c r="I8" s="110">
        <f t="shared" si="4"/>
        <v>5.0989249976553506</v>
      </c>
      <c r="J8" s="110">
        <f t="shared" si="4"/>
        <v>4.8422583309886837</v>
      </c>
      <c r="K8" s="110">
        <f t="shared" si="4"/>
        <v>4.5039249976553508</v>
      </c>
      <c r="L8" s="110">
        <f t="shared" si="4"/>
        <v>6.0039249976553508</v>
      </c>
      <c r="M8" s="110">
        <f t="shared" si="4"/>
        <v>5.5639249976553513</v>
      </c>
      <c r="N8" s="110">
        <f t="shared" si="4"/>
        <v>5.2689249976553505</v>
      </c>
      <c r="O8" s="110">
        <f t="shared" si="4"/>
        <v>4.8855916643220167</v>
      </c>
      <c r="P8" s="105">
        <f t="shared" si="4"/>
        <v>6.3089249976553505</v>
      </c>
      <c r="Q8" s="105">
        <f t="shared" si="4"/>
        <v>5.8139249976553513</v>
      </c>
      <c r="R8" s="105">
        <f t="shared" si="4"/>
        <v>5.4989249976553509</v>
      </c>
      <c r="S8" s="105">
        <f t="shared" si="4"/>
        <v>5.1072583309886843</v>
      </c>
    </row>
    <row r="9" spans="1:19" x14ac:dyDescent="0.25">
      <c r="A9" s="62" t="s">
        <v>268</v>
      </c>
      <c r="B9" s="126" t="s">
        <v>342</v>
      </c>
      <c r="C9" s="43">
        <v>0.85</v>
      </c>
      <c r="D9" s="43">
        <v>0.85</v>
      </c>
      <c r="E9" s="43">
        <v>0.85</v>
      </c>
      <c r="F9" s="43">
        <v>0.85</v>
      </c>
      <c r="G9" s="43">
        <v>0.85</v>
      </c>
      <c r="H9" s="43">
        <v>0.85</v>
      </c>
      <c r="I9" s="43">
        <v>0.85</v>
      </c>
      <c r="J9" s="107">
        <v>0.85</v>
      </c>
      <c r="K9" s="107">
        <v>0.85</v>
      </c>
      <c r="L9" s="44">
        <v>0.85</v>
      </c>
      <c r="M9" s="44">
        <v>0.85</v>
      </c>
      <c r="N9" s="44">
        <v>0.85</v>
      </c>
      <c r="O9" s="44">
        <v>0.85</v>
      </c>
      <c r="P9" s="31">
        <v>0.85</v>
      </c>
      <c r="Q9" s="31">
        <v>0.85</v>
      </c>
      <c r="R9" s="31">
        <v>0.85</v>
      </c>
      <c r="S9" s="31">
        <v>0.85</v>
      </c>
    </row>
    <row r="10" spans="1:19" x14ac:dyDescent="0.25">
      <c r="A10" s="62" t="s">
        <v>530</v>
      </c>
      <c r="B10" s="33" t="s">
        <v>342</v>
      </c>
      <c r="C10" s="25" t="s">
        <v>20</v>
      </c>
      <c r="D10" s="25">
        <v>18.693549985932108</v>
      </c>
      <c r="E10" s="25">
        <v>18.693549985932108</v>
      </c>
      <c r="F10" s="25">
        <v>18.693549985932108</v>
      </c>
      <c r="G10" s="25">
        <v>18.693549985932108</v>
      </c>
      <c r="H10" s="25">
        <v>18.693549985932101</v>
      </c>
      <c r="I10" s="25">
        <v>18.693549985932101</v>
      </c>
      <c r="J10" s="25">
        <v>18.693549985932101</v>
      </c>
      <c r="K10" s="25">
        <v>18.693549985932101</v>
      </c>
      <c r="L10" s="25">
        <v>18.693549985932101</v>
      </c>
      <c r="M10" s="25">
        <v>18.693549985932101</v>
      </c>
      <c r="N10" s="25">
        <v>18.693549985932101</v>
      </c>
      <c r="O10" s="25">
        <v>18.693549985932101</v>
      </c>
      <c r="P10" s="105">
        <v>18.693549985932101</v>
      </c>
      <c r="Q10" s="105">
        <v>18.693549985932101</v>
      </c>
      <c r="R10" s="105">
        <v>18.693549985932101</v>
      </c>
      <c r="S10" s="105">
        <v>18.693549985932101</v>
      </c>
    </row>
    <row r="11" spans="1:19" x14ac:dyDescent="0.25">
      <c r="A11" s="55" t="s">
        <v>531</v>
      </c>
      <c r="B11" s="33" t="s">
        <v>341</v>
      </c>
      <c r="C11" s="25" t="s">
        <v>20</v>
      </c>
      <c r="D11" s="25">
        <f>100*(D5/8)</f>
        <v>150</v>
      </c>
      <c r="E11" s="25">
        <f t="shared" ref="E11:S11" si="5">100*(E5/8)</f>
        <v>150</v>
      </c>
      <c r="F11" s="25">
        <f t="shared" si="5"/>
        <v>150</v>
      </c>
      <c r="G11" s="25">
        <f t="shared" si="5"/>
        <v>150</v>
      </c>
      <c r="H11" s="25">
        <f t="shared" si="5"/>
        <v>200</v>
      </c>
      <c r="I11" s="25">
        <f t="shared" si="5"/>
        <v>200</v>
      </c>
      <c r="J11" s="25">
        <f t="shared" si="5"/>
        <v>200</v>
      </c>
      <c r="K11" s="25">
        <f t="shared" si="5"/>
        <v>200</v>
      </c>
      <c r="L11" s="25">
        <f t="shared" si="5"/>
        <v>300</v>
      </c>
      <c r="M11" s="25">
        <f t="shared" si="5"/>
        <v>300</v>
      </c>
      <c r="N11" s="25">
        <f t="shared" si="5"/>
        <v>300</v>
      </c>
      <c r="O11" s="25">
        <f t="shared" si="5"/>
        <v>300</v>
      </c>
      <c r="P11" s="105">
        <f t="shared" si="5"/>
        <v>400</v>
      </c>
      <c r="Q11" s="105">
        <f t="shared" si="5"/>
        <v>400</v>
      </c>
      <c r="R11" s="105">
        <f t="shared" si="5"/>
        <v>400</v>
      </c>
      <c r="S11" s="105">
        <f t="shared" si="5"/>
        <v>400</v>
      </c>
    </row>
    <row r="12" spans="1:19" x14ac:dyDescent="0.25">
      <c r="A12" s="55" t="s">
        <v>409</v>
      </c>
      <c r="B12" s="33" t="s">
        <v>366</v>
      </c>
      <c r="C12" s="25" t="s">
        <v>20</v>
      </c>
      <c r="D12" s="35">
        <f>D9*10^9*D5*D3*6/(D11*10^9)*10^3</f>
        <v>52224</v>
      </c>
      <c r="E12" s="35">
        <f t="shared" ref="E12:S12" si="6">E9*10^9*E5*E3*6/(E11*10^9)*10^3</f>
        <v>78336</v>
      </c>
      <c r="F12" s="35">
        <f t="shared" si="6"/>
        <v>104448</v>
      </c>
      <c r="G12" s="35">
        <f t="shared" si="6"/>
        <v>156672</v>
      </c>
      <c r="H12" s="35">
        <f t="shared" si="6"/>
        <v>52224</v>
      </c>
      <c r="I12" s="35">
        <f t="shared" si="6"/>
        <v>78336</v>
      </c>
      <c r="J12" s="35">
        <f t="shared" si="6"/>
        <v>104448</v>
      </c>
      <c r="K12" s="35">
        <f t="shared" si="6"/>
        <v>156672</v>
      </c>
      <c r="L12" s="35">
        <f t="shared" si="6"/>
        <v>52224</v>
      </c>
      <c r="M12" s="35">
        <f t="shared" si="6"/>
        <v>78336</v>
      </c>
      <c r="N12" s="35">
        <f t="shared" si="6"/>
        <v>104448</v>
      </c>
      <c r="O12" s="35">
        <f t="shared" si="6"/>
        <v>156672</v>
      </c>
      <c r="P12" s="35">
        <f t="shared" si="6"/>
        <v>52224</v>
      </c>
      <c r="Q12" s="35">
        <f t="shared" si="6"/>
        <v>78336</v>
      </c>
      <c r="R12" s="35">
        <f t="shared" si="6"/>
        <v>104448</v>
      </c>
      <c r="S12" s="35">
        <f t="shared" si="6"/>
        <v>156672</v>
      </c>
    </row>
    <row r="13" spans="1:19" x14ac:dyDescent="0.25">
      <c r="A13" s="55" t="s">
        <v>532</v>
      </c>
      <c r="B13" s="33" t="s">
        <v>340</v>
      </c>
      <c r="C13" s="51">
        <v>1</v>
      </c>
      <c r="D13" s="25" t="s">
        <v>20</v>
      </c>
      <c r="E13" s="25" t="s">
        <v>20</v>
      </c>
      <c r="F13" s="25" t="s">
        <v>20</v>
      </c>
      <c r="G13" s="25" t="s">
        <v>20</v>
      </c>
      <c r="H13" s="25" t="s">
        <v>20</v>
      </c>
      <c r="I13" s="25" t="s">
        <v>20</v>
      </c>
      <c r="J13" s="105" t="s">
        <v>20</v>
      </c>
      <c r="K13" s="105" t="s">
        <v>20</v>
      </c>
      <c r="L13" s="31" t="s">
        <v>20</v>
      </c>
      <c r="M13" s="31" t="s">
        <v>20</v>
      </c>
      <c r="N13" s="31" t="s">
        <v>20</v>
      </c>
      <c r="O13" s="31" t="s">
        <v>20</v>
      </c>
      <c r="P13" s="31" t="s">
        <v>20</v>
      </c>
      <c r="Q13" s="31" t="s">
        <v>20</v>
      </c>
      <c r="R13" s="31" t="s">
        <v>20</v>
      </c>
      <c r="S13" s="31" t="s">
        <v>20</v>
      </c>
    </row>
    <row r="14" spans="1:19" x14ac:dyDescent="0.25">
      <c r="A14" s="55" t="s">
        <v>495</v>
      </c>
      <c r="B14" s="33" t="s">
        <v>341</v>
      </c>
      <c r="C14" s="136" t="s">
        <v>20</v>
      </c>
      <c r="D14" s="25">
        <v>10</v>
      </c>
      <c r="E14" s="25">
        <v>10</v>
      </c>
      <c r="F14" s="25">
        <v>10</v>
      </c>
      <c r="G14" s="25">
        <v>10</v>
      </c>
      <c r="H14" s="25">
        <v>10</v>
      </c>
      <c r="I14" s="25">
        <v>10</v>
      </c>
      <c r="J14" s="25">
        <v>10</v>
      </c>
      <c r="K14" s="25">
        <v>10</v>
      </c>
      <c r="L14" s="25">
        <v>10</v>
      </c>
      <c r="M14" s="25">
        <v>10</v>
      </c>
      <c r="N14" s="25">
        <v>10</v>
      </c>
      <c r="O14" s="25">
        <v>10</v>
      </c>
      <c r="P14" s="25">
        <v>10</v>
      </c>
      <c r="Q14" s="25">
        <v>10</v>
      </c>
      <c r="R14" s="25">
        <v>10</v>
      </c>
      <c r="S14" s="25">
        <v>10</v>
      </c>
    </row>
    <row r="15" spans="1:19" x14ac:dyDescent="0.25">
      <c r="A15" s="55" t="s">
        <v>410</v>
      </c>
      <c r="B15" s="33" t="s">
        <v>366</v>
      </c>
      <c r="C15" s="25" t="s">
        <v>20</v>
      </c>
      <c r="D15" s="35">
        <f>D5*D8*D7*D14</f>
        <v>1064.3206995216915</v>
      </c>
      <c r="E15" s="35">
        <f t="shared" ref="E15:S15" si="7">E5*E8*E7*E14</f>
        <v>990.88069952169144</v>
      </c>
      <c r="F15" s="35">
        <f t="shared" si="7"/>
        <v>941.24069952169157</v>
      </c>
      <c r="G15" s="35">
        <f t="shared" si="7"/>
        <v>874.60069952169147</v>
      </c>
      <c r="H15" s="35">
        <f t="shared" si="7"/>
        <v>1489.3609326955889</v>
      </c>
      <c r="I15" s="35">
        <f t="shared" si="7"/>
        <v>1386.9075993622553</v>
      </c>
      <c r="J15" s="35">
        <f t="shared" si="7"/>
        <v>1317.094266028922</v>
      </c>
      <c r="K15" s="35">
        <f t="shared" si="7"/>
        <v>1225.0675993622554</v>
      </c>
      <c r="L15" s="35">
        <f t="shared" si="7"/>
        <v>2449.601399043383</v>
      </c>
      <c r="M15" s="35">
        <f t="shared" si="7"/>
        <v>2270.081399043383</v>
      </c>
      <c r="N15" s="35">
        <f t="shared" si="7"/>
        <v>2149.7213990433829</v>
      </c>
      <c r="O15" s="35">
        <f t="shared" si="7"/>
        <v>1993.3213990433828</v>
      </c>
      <c r="P15" s="35">
        <f t="shared" si="7"/>
        <v>3432.0551987245108</v>
      </c>
      <c r="Q15" s="35">
        <f t="shared" si="7"/>
        <v>3162.775198724511</v>
      </c>
      <c r="R15" s="35">
        <f t="shared" si="7"/>
        <v>2991.4151987245104</v>
      </c>
      <c r="S15" s="35">
        <f t="shared" si="7"/>
        <v>2778.3485320578443</v>
      </c>
    </row>
    <row r="16" spans="1:19" x14ac:dyDescent="0.25">
      <c r="A16" s="58" t="s">
        <v>272</v>
      </c>
      <c r="B16" s="33" t="s">
        <v>339</v>
      </c>
      <c r="C16" s="34">
        <v>0.05</v>
      </c>
      <c r="D16" s="34" t="s">
        <v>20</v>
      </c>
      <c r="E16" s="34" t="s">
        <v>20</v>
      </c>
      <c r="F16" s="34" t="s">
        <v>20</v>
      </c>
      <c r="G16" s="34" t="s">
        <v>20</v>
      </c>
      <c r="H16" s="34" t="s">
        <v>20</v>
      </c>
      <c r="I16" s="34" t="s">
        <v>20</v>
      </c>
      <c r="J16" s="106" t="s">
        <v>20</v>
      </c>
      <c r="K16" s="106" t="s">
        <v>20</v>
      </c>
      <c r="L16" s="31" t="s">
        <v>20</v>
      </c>
      <c r="M16" s="31" t="s">
        <v>20</v>
      </c>
      <c r="N16" s="31" t="s">
        <v>20</v>
      </c>
      <c r="O16" s="31" t="s">
        <v>20</v>
      </c>
      <c r="P16" s="31" t="s">
        <v>20</v>
      </c>
      <c r="Q16" s="31" t="s">
        <v>20</v>
      </c>
      <c r="R16" s="31" t="s">
        <v>20</v>
      </c>
      <c r="S16" s="31" t="s">
        <v>20</v>
      </c>
    </row>
    <row r="17" spans="1:19" x14ac:dyDescent="0.25">
      <c r="A17" s="57" t="s">
        <v>189</v>
      </c>
      <c r="B17" s="126" t="s">
        <v>337</v>
      </c>
      <c r="C17" s="25" t="s">
        <v>20</v>
      </c>
      <c r="D17" s="25">
        <f>D18*D7*2^D8</f>
        <v>5.059296839572796</v>
      </c>
      <c r="E17" s="25">
        <f>E18*E7*2^E8</f>
        <v>3.9420248953834354</v>
      </c>
      <c r="F17" s="25">
        <f>F18*F7*2^F8</f>
        <v>3.3301878379482943</v>
      </c>
      <c r="G17" s="25">
        <f>G18*G7*2^G8</f>
        <v>2.6554141499505115</v>
      </c>
      <c r="H17" s="25">
        <f t="shared" ref="H17:S17" si="8">D18*H7*2^H8</f>
        <v>6.0514053285313283</v>
      </c>
      <c r="I17" s="25">
        <f t="shared" si="8"/>
        <v>4.6608838277694566</v>
      </c>
      <c r="J17" s="105">
        <f t="shared" si="8"/>
        <v>3.9012511774706748</v>
      </c>
      <c r="K17" s="105">
        <f t="shared" si="8"/>
        <v>3.0857122944953947</v>
      </c>
      <c r="L17" s="31">
        <f t="shared" si="8"/>
        <v>8.7277123529135832</v>
      </c>
      <c r="M17" s="31">
        <f t="shared" si="8"/>
        <v>6.4334988296358908</v>
      </c>
      <c r="N17" s="31">
        <f t="shared" si="8"/>
        <v>5.2437668965808841</v>
      </c>
      <c r="O17" s="31">
        <f t="shared" si="8"/>
        <v>4.0202082076838073</v>
      </c>
      <c r="P17" s="31">
        <f t="shared" si="8"/>
        <v>10.782378500272362</v>
      </c>
      <c r="Q17" s="31">
        <f t="shared" si="8"/>
        <v>7.6507625825646839</v>
      </c>
      <c r="R17" s="31">
        <f t="shared" si="8"/>
        <v>6.1500730819352505</v>
      </c>
      <c r="S17" s="31">
        <f t="shared" si="8"/>
        <v>4.6878840531078385</v>
      </c>
    </row>
    <row r="18" spans="1:19" x14ac:dyDescent="0.25">
      <c r="A18" s="57" t="s">
        <v>267</v>
      </c>
      <c r="B18" s="126" t="s">
        <v>341</v>
      </c>
      <c r="C18" s="34" t="s">
        <v>20</v>
      </c>
      <c r="D18" s="34">
        <v>0.08</v>
      </c>
      <c r="E18" s="34">
        <v>0.08</v>
      </c>
      <c r="F18" s="34">
        <v>0.08</v>
      </c>
      <c r="G18" s="34">
        <v>0.08</v>
      </c>
      <c r="H18" s="34">
        <v>0.08</v>
      </c>
      <c r="I18" s="34">
        <v>0.08</v>
      </c>
      <c r="J18" s="106">
        <v>0.08</v>
      </c>
      <c r="K18" s="106">
        <v>0.08</v>
      </c>
      <c r="L18" s="31">
        <v>0.08</v>
      </c>
      <c r="M18" s="31">
        <v>0.08</v>
      </c>
      <c r="N18" s="31">
        <v>0.08</v>
      </c>
      <c r="O18" s="31">
        <v>0.08</v>
      </c>
      <c r="P18" s="31">
        <v>0.08</v>
      </c>
      <c r="Q18" s="31">
        <v>0.08</v>
      </c>
      <c r="R18" s="31">
        <v>0.08</v>
      </c>
      <c r="S18" s="31">
        <v>0.08</v>
      </c>
    </row>
    <row r="19" spans="1:19" x14ac:dyDescent="0.25">
      <c r="A19" s="58" t="s">
        <v>411</v>
      </c>
      <c r="B19" s="33" t="s">
        <v>366</v>
      </c>
      <c r="C19" s="31" t="s">
        <v>20</v>
      </c>
      <c r="D19" s="31">
        <f t="shared" ref="D19:S19" si="9">D17*D3</f>
        <v>647.58999546531788</v>
      </c>
      <c r="E19" s="31">
        <f t="shared" si="9"/>
        <v>756.86877991361962</v>
      </c>
      <c r="F19" s="31">
        <f t="shared" si="9"/>
        <v>852.52808651476334</v>
      </c>
      <c r="G19" s="31">
        <f t="shared" si="9"/>
        <v>1019.6790335809965</v>
      </c>
      <c r="H19" s="31">
        <f t="shared" si="9"/>
        <v>774.57988205201002</v>
      </c>
      <c r="I19" s="31">
        <f t="shared" si="9"/>
        <v>894.88969493173568</v>
      </c>
      <c r="J19" s="31">
        <f t="shared" si="9"/>
        <v>998.72030143249276</v>
      </c>
      <c r="K19" s="31">
        <f t="shared" si="9"/>
        <v>1184.9135210862316</v>
      </c>
      <c r="L19" s="31">
        <f t="shared" si="9"/>
        <v>1117.1471811729386</v>
      </c>
      <c r="M19" s="31">
        <f t="shared" si="9"/>
        <v>1235.231775290091</v>
      </c>
      <c r="N19" s="31">
        <f t="shared" si="9"/>
        <v>1342.4043255247063</v>
      </c>
      <c r="O19" s="31">
        <f t="shared" si="9"/>
        <v>1543.7599517505819</v>
      </c>
      <c r="P19" s="31">
        <f t="shared" si="9"/>
        <v>1380.1444480348623</v>
      </c>
      <c r="Q19" s="31">
        <f t="shared" si="9"/>
        <v>1468.9464158524192</v>
      </c>
      <c r="R19" s="31">
        <f t="shared" si="9"/>
        <v>1574.4187089754241</v>
      </c>
      <c r="S19" s="31">
        <f t="shared" si="9"/>
        <v>1800.14747639341</v>
      </c>
    </row>
    <row r="20" spans="1:19" x14ac:dyDescent="0.25">
      <c r="A20" s="58" t="s">
        <v>273</v>
      </c>
      <c r="B20" s="33" t="s">
        <v>340</v>
      </c>
      <c r="C20" s="31">
        <f>C16*C2</f>
        <v>19.200000000000003</v>
      </c>
      <c r="D20" s="31" t="s">
        <v>20</v>
      </c>
      <c r="E20" s="31" t="s">
        <v>20</v>
      </c>
      <c r="F20" s="31" t="s">
        <v>20</v>
      </c>
      <c r="G20" s="31" t="s">
        <v>20</v>
      </c>
      <c r="H20" s="31" t="s">
        <v>20</v>
      </c>
      <c r="I20" s="31" t="s">
        <v>20</v>
      </c>
      <c r="J20" s="31" t="s">
        <v>20</v>
      </c>
      <c r="K20" s="31" t="s">
        <v>20</v>
      </c>
      <c r="L20" s="31" t="s">
        <v>20</v>
      </c>
      <c r="M20" s="31" t="s">
        <v>20</v>
      </c>
      <c r="N20" s="31" t="s">
        <v>20</v>
      </c>
      <c r="O20" s="31" t="s">
        <v>20</v>
      </c>
      <c r="P20" s="31" t="s">
        <v>20</v>
      </c>
      <c r="Q20" s="31" t="s">
        <v>20</v>
      </c>
      <c r="R20" s="31" t="s">
        <v>20</v>
      </c>
      <c r="S20" s="31" t="s">
        <v>20</v>
      </c>
    </row>
    <row r="21" spans="1:19" x14ac:dyDescent="0.25">
      <c r="A21" s="60" t="s">
        <v>312</v>
      </c>
      <c r="B21" s="126" t="s">
        <v>337</v>
      </c>
      <c r="C21" s="34" t="s">
        <v>20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>
        <v>10</v>
      </c>
      <c r="J21" s="106">
        <v>10</v>
      </c>
      <c r="K21" s="106">
        <v>10</v>
      </c>
      <c r="L21" s="31">
        <v>10</v>
      </c>
      <c r="M21" s="31">
        <v>10</v>
      </c>
      <c r="N21" s="31">
        <v>10</v>
      </c>
      <c r="O21" s="31">
        <v>10</v>
      </c>
      <c r="P21" s="31">
        <v>10</v>
      </c>
      <c r="Q21" s="31">
        <v>10</v>
      </c>
      <c r="R21" s="31">
        <v>10</v>
      </c>
      <c r="S21" s="31">
        <v>10</v>
      </c>
    </row>
    <row r="22" spans="1:19" x14ac:dyDescent="0.25">
      <c r="A22" s="60" t="s">
        <v>313</v>
      </c>
      <c r="B22" s="33" t="s">
        <v>339</v>
      </c>
      <c r="C22" s="34">
        <v>0.05</v>
      </c>
      <c r="D22" s="34" t="s">
        <v>20</v>
      </c>
      <c r="E22" s="34" t="s">
        <v>20</v>
      </c>
      <c r="F22" s="34" t="s">
        <v>20</v>
      </c>
      <c r="G22" s="34" t="s">
        <v>20</v>
      </c>
      <c r="H22" s="34" t="s">
        <v>20</v>
      </c>
      <c r="I22" s="34" t="s">
        <v>20</v>
      </c>
      <c r="J22" s="106" t="s">
        <v>20</v>
      </c>
      <c r="K22" s="106" t="s">
        <v>20</v>
      </c>
      <c r="L22" s="31" t="s">
        <v>20</v>
      </c>
      <c r="M22" s="31" t="s">
        <v>20</v>
      </c>
      <c r="N22" s="31" t="s">
        <v>20</v>
      </c>
      <c r="O22" s="31" t="s">
        <v>20</v>
      </c>
      <c r="P22" s="31" t="s">
        <v>20</v>
      </c>
      <c r="Q22" s="31" t="s">
        <v>20</v>
      </c>
      <c r="R22" s="31" t="s">
        <v>20</v>
      </c>
      <c r="S22" s="31" t="s">
        <v>20</v>
      </c>
    </row>
    <row r="23" spans="1:19" x14ac:dyDescent="0.25">
      <c r="A23" s="61" t="s">
        <v>412</v>
      </c>
      <c r="B23" s="33" t="s">
        <v>366</v>
      </c>
      <c r="C23" s="35" t="s">
        <v>20</v>
      </c>
      <c r="D23" s="35">
        <f t="shared" ref="D23:S23" si="10">D21*D3</f>
        <v>1280</v>
      </c>
      <c r="E23" s="35">
        <f t="shared" si="10"/>
        <v>1920</v>
      </c>
      <c r="F23" s="35">
        <f t="shared" si="10"/>
        <v>2560</v>
      </c>
      <c r="G23" s="35">
        <f t="shared" si="10"/>
        <v>3840</v>
      </c>
      <c r="H23" s="35">
        <f t="shared" si="10"/>
        <v>1280</v>
      </c>
      <c r="I23" s="35">
        <f t="shared" si="10"/>
        <v>1920</v>
      </c>
      <c r="J23" s="106">
        <f t="shared" si="10"/>
        <v>2560</v>
      </c>
      <c r="K23" s="106">
        <f t="shared" si="10"/>
        <v>3840</v>
      </c>
      <c r="L23" s="31">
        <f t="shared" si="10"/>
        <v>1280</v>
      </c>
      <c r="M23" s="31">
        <f t="shared" si="10"/>
        <v>1920</v>
      </c>
      <c r="N23" s="31">
        <f t="shared" si="10"/>
        <v>2560</v>
      </c>
      <c r="O23" s="31">
        <f t="shared" si="10"/>
        <v>3840</v>
      </c>
      <c r="P23" s="31">
        <f t="shared" si="10"/>
        <v>1280</v>
      </c>
      <c r="Q23" s="31">
        <f t="shared" si="10"/>
        <v>1920</v>
      </c>
      <c r="R23" s="31">
        <f t="shared" si="10"/>
        <v>2560</v>
      </c>
      <c r="S23" s="31">
        <f t="shared" si="10"/>
        <v>3840</v>
      </c>
    </row>
    <row r="24" spans="1:19" x14ac:dyDescent="0.25">
      <c r="A24" s="61" t="s">
        <v>336</v>
      </c>
      <c r="B24" s="33" t="s">
        <v>340</v>
      </c>
      <c r="C24" s="31">
        <f>C22*C2</f>
        <v>19.200000000000003</v>
      </c>
      <c r="D24" s="31" t="s">
        <v>20</v>
      </c>
      <c r="E24" s="31" t="s">
        <v>20</v>
      </c>
      <c r="F24" s="31" t="s">
        <v>20</v>
      </c>
      <c r="G24" s="31" t="s">
        <v>20</v>
      </c>
      <c r="H24" s="31" t="s">
        <v>20</v>
      </c>
      <c r="I24" s="31" t="s">
        <v>20</v>
      </c>
      <c r="J24" s="31" t="s">
        <v>20</v>
      </c>
      <c r="K24" s="31" t="s">
        <v>20</v>
      </c>
      <c r="L24" s="31" t="s">
        <v>20</v>
      </c>
      <c r="M24" s="31" t="s">
        <v>20</v>
      </c>
      <c r="N24" s="31" t="s">
        <v>20</v>
      </c>
      <c r="O24" s="31" t="s">
        <v>20</v>
      </c>
      <c r="P24" s="31" t="s">
        <v>20</v>
      </c>
      <c r="Q24" s="31" t="s">
        <v>20</v>
      </c>
      <c r="R24" s="31" t="s">
        <v>20</v>
      </c>
      <c r="S24" s="31" t="s">
        <v>20</v>
      </c>
    </row>
    <row r="25" spans="1:19" x14ac:dyDescent="0.25">
      <c r="A25" s="66" t="s">
        <v>416</v>
      </c>
      <c r="B25" s="126" t="s">
        <v>337</v>
      </c>
      <c r="C25" s="25" t="s">
        <v>20</v>
      </c>
      <c r="D25" s="25">
        <v>60</v>
      </c>
      <c r="E25" s="25">
        <v>60</v>
      </c>
      <c r="F25" s="25">
        <v>60</v>
      </c>
      <c r="G25" s="25">
        <v>60</v>
      </c>
      <c r="H25" s="25">
        <v>60</v>
      </c>
      <c r="I25" s="25">
        <v>60</v>
      </c>
      <c r="J25" s="25">
        <v>60</v>
      </c>
      <c r="K25" s="25">
        <v>60</v>
      </c>
      <c r="L25" s="25">
        <v>60</v>
      </c>
      <c r="M25" s="25">
        <v>60</v>
      </c>
      <c r="N25" s="25">
        <v>60</v>
      </c>
      <c r="O25" s="25">
        <v>60</v>
      </c>
      <c r="P25" s="105">
        <v>60</v>
      </c>
      <c r="Q25" s="105">
        <v>60</v>
      </c>
      <c r="R25" s="105">
        <v>60</v>
      </c>
      <c r="S25" s="105">
        <v>60</v>
      </c>
    </row>
    <row r="26" spans="1:19" x14ac:dyDescent="0.25">
      <c r="A26" s="66" t="s">
        <v>417</v>
      </c>
      <c r="B26" s="33" t="s">
        <v>339</v>
      </c>
      <c r="C26" s="47">
        <v>2.5000000000000001E-2</v>
      </c>
      <c r="D26" s="25" t="s">
        <v>20</v>
      </c>
      <c r="E26" s="25" t="s">
        <v>20</v>
      </c>
      <c r="F26" s="25" t="s">
        <v>20</v>
      </c>
      <c r="G26" s="25" t="s">
        <v>20</v>
      </c>
      <c r="H26" s="2" t="s">
        <v>20</v>
      </c>
      <c r="I26" s="2" t="s">
        <v>20</v>
      </c>
      <c r="J26" s="105" t="s">
        <v>20</v>
      </c>
      <c r="K26" s="105" t="s">
        <v>20</v>
      </c>
      <c r="L26" s="31" t="s">
        <v>20</v>
      </c>
      <c r="M26" s="31" t="s">
        <v>20</v>
      </c>
      <c r="N26" s="31" t="s">
        <v>20</v>
      </c>
      <c r="O26" s="31" t="s">
        <v>20</v>
      </c>
      <c r="P26" s="31" t="s">
        <v>20</v>
      </c>
      <c r="Q26" s="31" t="s">
        <v>20</v>
      </c>
      <c r="R26" s="31" t="s">
        <v>20</v>
      </c>
      <c r="S26" s="31" t="s">
        <v>20</v>
      </c>
    </row>
    <row r="27" spans="1:19" x14ac:dyDescent="0.25">
      <c r="A27" s="66" t="s">
        <v>420</v>
      </c>
      <c r="B27" s="33" t="s">
        <v>366</v>
      </c>
      <c r="C27" s="25" t="s">
        <v>20</v>
      </c>
      <c r="D27" s="25">
        <f t="shared" ref="D27:S27" si="11">D25*D2</f>
        <v>7680</v>
      </c>
      <c r="E27" s="25">
        <f t="shared" si="11"/>
        <v>11520</v>
      </c>
      <c r="F27" s="25">
        <f t="shared" si="11"/>
        <v>15360</v>
      </c>
      <c r="G27" s="25">
        <f t="shared" si="11"/>
        <v>23040</v>
      </c>
      <c r="H27" s="25">
        <f t="shared" si="11"/>
        <v>7680</v>
      </c>
      <c r="I27" s="25">
        <f t="shared" si="11"/>
        <v>11520</v>
      </c>
      <c r="J27" s="105">
        <f t="shared" si="11"/>
        <v>15360</v>
      </c>
      <c r="K27" s="105">
        <f t="shared" si="11"/>
        <v>23040</v>
      </c>
      <c r="L27" s="31">
        <f t="shared" si="11"/>
        <v>7680</v>
      </c>
      <c r="M27" s="31">
        <f t="shared" si="11"/>
        <v>11520</v>
      </c>
      <c r="N27" s="31">
        <f t="shared" si="11"/>
        <v>15360</v>
      </c>
      <c r="O27" s="31">
        <f t="shared" si="11"/>
        <v>23040</v>
      </c>
      <c r="P27" s="31">
        <f t="shared" si="11"/>
        <v>7680</v>
      </c>
      <c r="Q27" s="31">
        <f t="shared" si="11"/>
        <v>11520</v>
      </c>
      <c r="R27" s="31">
        <f t="shared" si="11"/>
        <v>15360</v>
      </c>
      <c r="S27" s="31">
        <f t="shared" si="11"/>
        <v>23040</v>
      </c>
    </row>
    <row r="28" spans="1:19" x14ac:dyDescent="0.25">
      <c r="A28" s="66" t="s">
        <v>418</v>
      </c>
      <c r="B28" s="33" t="s">
        <v>340</v>
      </c>
      <c r="C28" s="25">
        <f>C26*C2</f>
        <v>9.6000000000000014</v>
      </c>
      <c r="D28" s="25" t="s">
        <v>20</v>
      </c>
      <c r="E28" s="25" t="s">
        <v>20</v>
      </c>
      <c r="F28" s="25" t="s">
        <v>20</v>
      </c>
      <c r="G28" s="25" t="s">
        <v>20</v>
      </c>
      <c r="H28" s="2" t="s">
        <v>20</v>
      </c>
      <c r="I28" s="2" t="s">
        <v>20</v>
      </c>
      <c r="J28" s="105" t="s">
        <v>20</v>
      </c>
      <c r="K28" s="105" t="s">
        <v>20</v>
      </c>
      <c r="L28" s="31" t="s">
        <v>20</v>
      </c>
      <c r="M28" s="31" t="s">
        <v>20</v>
      </c>
      <c r="N28" s="31" t="s">
        <v>20</v>
      </c>
      <c r="O28" s="31" t="s">
        <v>20</v>
      </c>
      <c r="P28" s="31" t="s">
        <v>20</v>
      </c>
      <c r="Q28" s="31" t="s">
        <v>20</v>
      </c>
      <c r="R28" s="31" t="s">
        <v>20</v>
      </c>
      <c r="S28" s="31" t="s">
        <v>20</v>
      </c>
    </row>
    <row r="29" spans="1:19" x14ac:dyDescent="0.25">
      <c r="A29" s="66" t="s">
        <v>533</v>
      </c>
      <c r="B29" s="33" t="s">
        <v>339</v>
      </c>
      <c r="C29" s="43">
        <v>0.04</v>
      </c>
      <c r="D29" s="25" t="s">
        <v>20</v>
      </c>
      <c r="E29" s="25" t="s">
        <v>20</v>
      </c>
      <c r="F29" s="25" t="s">
        <v>20</v>
      </c>
      <c r="G29" s="25" t="s">
        <v>20</v>
      </c>
      <c r="H29" s="2" t="s">
        <v>20</v>
      </c>
      <c r="I29" s="2" t="s">
        <v>20</v>
      </c>
      <c r="J29" s="105" t="s">
        <v>20</v>
      </c>
      <c r="K29" s="105" t="s">
        <v>20</v>
      </c>
      <c r="L29" s="31" t="s">
        <v>20</v>
      </c>
      <c r="M29" s="31" t="s">
        <v>20</v>
      </c>
      <c r="N29" s="31" t="s">
        <v>20</v>
      </c>
      <c r="O29" s="31" t="s">
        <v>20</v>
      </c>
      <c r="P29" s="31" t="s">
        <v>20</v>
      </c>
      <c r="Q29" s="31" t="s">
        <v>20</v>
      </c>
      <c r="R29" s="31" t="s">
        <v>20</v>
      </c>
      <c r="S29" s="31" t="s">
        <v>20</v>
      </c>
    </row>
    <row r="30" spans="1:19" x14ac:dyDescent="0.25">
      <c r="A30" s="66" t="s">
        <v>315</v>
      </c>
      <c r="B30" s="126" t="s">
        <v>330</v>
      </c>
      <c r="C30" s="29">
        <f>(C2/8-1)*8</f>
        <v>376</v>
      </c>
      <c r="D30" s="37" t="s">
        <v>20</v>
      </c>
      <c r="E30" s="37" t="s">
        <v>20</v>
      </c>
      <c r="F30" s="37" t="s">
        <v>20</v>
      </c>
      <c r="G30" s="37" t="s">
        <v>20</v>
      </c>
      <c r="H30" s="37" t="s">
        <v>20</v>
      </c>
      <c r="I30" s="37" t="s">
        <v>20</v>
      </c>
      <c r="J30" s="37" t="s">
        <v>20</v>
      </c>
      <c r="K30" s="37" t="s">
        <v>20</v>
      </c>
      <c r="L30" s="31" t="s">
        <v>20</v>
      </c>
      <c r="M30" s="31" t="s">
        <v>20</v>
      </c>
      <c r="N30" s="31" t="s">
        <v>20</v>
      </c>
      <c r="O30" s="31" t="s">
        <v>20</v>
      </c>
      <c r="P30" s="31" t="s">
        <v>20</v>
      </c>
      <c r="Q30" s="31" t="s">
        <v>20</v>
      </c>
      <c r="R30" s="31" t="s">
        <v>20</v>
      </c>
      <c r="S30" s="31" t="s">
        <v>20</v>
      </c>
    </row>
    <row r="31" spans="1:19" x14ac:dyDescent="0.25">
      <c r="A31" s="66" t="s">
        <v>316</v>
      </c>
      <c r="B31" s="33" t="s">
        <v>339</v>
      </c>
      <c r="C31" s="25">
        <f>C30*C29</f>
        <v>15.040000000000001</v>
      </c>
      <c r="D31" s="37" t="s">
        <v>20</v>
      </c>
      <c r="E31" s="37" t="s">
        <v>20</v>
      </c>
      <c r="F31" s="37" t="s">
        <v>20</v>
      </c>
      <c r="G31" s="37" t="s">
        <v>20</v>
      </c>
      <c r="H31" s="37" t="s">
        <v>20</v>
      </c>
      <c r="I31" s="37" t="s">
        <v>20</v>
      </c>
      <c r="J31" s="37" t="s">
        <v>20</v>
      </c>
      <c r="K31" s="37" t="s">
        <v>20</v>
      </c>
      <c r="L31" s="31" t="s">
        <v>20</v>
      </c>
      <c r="M31" s="31" t="s">
        <v>20</v>
      </c>
      <c r="N31" s="31" t="s">
        <v>20</v>
      </c>
      <c r="O31" s="31" t="s">
        <v>20</v>
      </c>
      <c r="P31" s="31" t="s">
        <v>20</v>
      </c>
      <c r="Q31" s="31" t="s">
        <v>20</v>
      </c>
      <c r="R31" s="31" t="s">
        <v>20</v>
      </c>
      <c r="S31" s="31" t="s">
        <v>20</v>
      </c>
    </row>
    <row r="32" spans="1:19" x14ac:dyDescent="0.25">
      <c r="A32" s="53" t="s">
        <v>469</v>
      </c>
      <c r="B32" s="33" t="s">
        <v>366</v>
      </c>
      <c r="C32" s="25" t="s">
        <v>20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105">
        <v>0</v>
      </c>
      <c r="K32" s="105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</row>
    <row r="33" spans="1:19" x14ac:dyDescent="0.25">
      <c r="A33" s="53" t="s">
        <v>534</v>
      </c>
      <c r="B33" s="33" t="s">
        <v>340</v>
      </c>
      <c r="C33" s="25">
        <v>0</v>
      </c>
      <c r="D33" s="25" t="s">
        <v>20</v>
      </c>
      <c r="E33" s="25" t="s">
        <v>20</v>
      </c>
      <c r="F33" s="25" t="s">
        <v>20</v>
      </c>
      <c r="G33" s="25" t="s">
        <v>20</v>
      </c>
      <c r="H33" s="25" t="s">
        <v>20</v>
      </c>
      <c r="I33" s="25" t="s">
        <v>20</v>
      </c>
      <c r="J33" s="105" t="s">
        <v>20</v>
      </c>
      <c r="K33" s="105" t="s">
        <v>20</v>
      </c>
      <c r="L33" s="31" t="s">
        <v>20</v>
      </c>
      <c r="M33" s="31" t="s">
        <v>20</v>
      </c>
      <c r="N33" s="31" t="s">
        <v>20</v>
      </c>
      <c r="O33" s="31" t="s">
        <v>20</v>
      </c>
      <c r="P33" s="31" t="s">
        <v>20</v>
      </c>
      <c r="Q33" s="31" t="s">
        <v>20</v>
      </c>
      <c r="R33" s="31" t="s">
        <v>20</v>
      </c>
      <c r="S33" s="31" t="s">
        <v>20</v>
      </c>
    </row>
    <row r="34" spans="1:19" x14ac:dyDescent="0.25">
      <c r="A34" s="63" t="s">
        <v>485</v>
      </c>
      <c r="B34" s="33" t="s">
        <v>340</v>
      </c>
      <c r="C34" s="25">
        <f t="shared" ref="C34" si="12">C31</f>
        <v>15.040000000000001</v>
      </c>
      <c r="D34" s="25" t="s">
        <v>20</v>
      </c>
      <c r="E34" s="25" t="s">
        <v>20</v>
      </c>
      <c r="F34" s="25" t="s">
        <v>20</v>
      </c>
      <c r="G34" s="25" t="s">
        <v>20</v>
      </c>
      <c r="H34" s="25" t="s">
        <v>20</v>
      </c>
      <c r="I34" s="25" t="s">
        <v>20</v>
      </c>
      <c r="J34" s="105" t="s">
        <v>20</v>
      </c>
      <c r="K34" s="105" t="s">
        <v>20</v>
      </c>
      <c r="L34" s="31" t="s">
        <v>20</v>
      </c>
      <c r="M34" s="31" t="s">
        <v>20</v>
      </c>
      <c r="N34" s="31" t="s">
        <v>20</v>
      </c>
      <c r="O34" s="31" t="s">
        <v>20</v>
      </c>
      <c r="P34" s="31" t="s">
        <v>20</v>
      </c>
      <c r="Q34" s="31" t="s">
        <v>20</v>
      </c>
      <c r="R34" s="31" t="s">
        <v>20</v>
      </c>
      <c r="S34" s="31" t="s">
        <v>20</v>
      </c>
    </row>
    <row r="35" spans="1:19" x14ac:dyDescent="0.25">
      <c r="A35" s="64" t="s">
        <v>535</v>
      </c>
      <c r="B35" s="126" t="s">
        <v>337</v>
      </c>
      <c r="C35" s="34" t="s">
        <v>20</v>
      </c>
      <c r="D35" s="34">
        <v>40</v>
      </c>
      <c r="E35" s="34">
        <v>40</v>
      </c>
      <c r="F35" s="34">
        <v>40</v>
      </c>
      <c r="G35" s="34">
        <v>40</v>
      </c>
      <c r="H35" s="34">
        <v>40</v>
      </c>
      <c r="I35" s="34">
        <v>40</v>
      </c>
      <c r="J35" s="34">
        <v>40</v>
      </c>
      <c r="K35" s="34">
        <v>40</v>
      </c>
      <c r="L35" s="34">
        <v>40</v>
      </c>
      <c r="M35" s="34">
        <v>40</v>
      </c>
      <c r="N35" s="34">
        <v>40</v>
      </c>
      <c r="O35" s="34">
        <v>40</v>
      </c>
      <c r="P35" s="106">
        <v>40</v>
      </c>
      <c r="Q35" s="106">
        <v>40</v>
      </c>
      <c r="R35" s="106">
        <v>40</v>
      </c>
      <c r="S35" s="106">
        <v>40</v>
      </c>
    </row>
    <row r="36" spans="1:19" x14ac:dyDescent="0.25">
      <c r="A36" s="64" t="s">
        <v>536</v>
      </c>
      <c r="B36" s="33" t="s">
        <v>339</v>
      </c>
      <c r="C36" s="34">
        <v>2.5000000000000001E-2</v>
      </c>
      <c r="D36" s="34" t="s">
        <v>20</v>
      </c>
      <c r="E36" s="34" t="s">
        <v>20</v>
      </c>
      <c r="F36" s="34" t="s">
        <v>20</v>
      </c>
      <c r="G36" s="34" t="s">
        <v>20</v>
      </c>
      <c r="H36" s="34" t="s">
        <v>20</v>
      </c>
      <c r="I36" s="34" t="s">
        <v>20</v>
      </c>
      <c r="J36" s="106" t="s">
        <v>20</v>
      </c>
      <c r="K36" s="106" t="s">
        <v>20</v>
      </c>
      <c r="L36" s="31" t="s">
        <v>20</v>
      </c>
      <c r="M36" s="31" t="s">
        <v>20</v>
      </c>
      <c r="N36" s="31" t="s">
        <v>20</v>
      </c>
      <c r="O36" s="31" t="s">
        <v>20</v>
      </c>
      <c r="P36" s="31" t="s">
        <v>20</v>
      </c>
      <c r="Q36" s="31" t="s">
        <v>20</v>
      </c>
      <c r="R36" s="31" t="s">
        <v>20</v>
      </c>
      <c r="S36" s="31" t="s">
        <v>20</v>
      </c>
    </row>
    <row r="37" spans="1:19" x14ac:dyDescent="0.25">
      <c r="A37" s="65" t="s">
        <v>414</v>
      </c>
      <c r="B37" s="33" t="s">
        <v>366</v>
      </c>
      <c r="C37" s="25" t="s">
        <v>20</v>
      </c>
      <c r="D37" s="25">
        <f t="shared" ref="D37:S37" si="13">D35*D2</f>
        <v>5120</v>
      </c>
      <c r="E37" s="25">
        <f t="shared" si="13"/>
        <v>7680</v>
      </c>
      <c r="F37" s="25">
        <f t="shared" si="13"/>
        <v>10240</v>
      </c>
      <c r="G37" s="25">
        <f t="shared" si="13"/>
        <v>15360</v>
      </c>
      <c r="H37" s="25">
        <f t="shared" si="13"/>
        <v>5120</v>
      </c>
      <c r="I37" s="25">
        <f t="shared" si="13"/>
        <v>7680</v>
      </c>
      <c r="J37" s="25">
        <f t="shared" si="13"/>
        <v>10240</v>
      </c>
      <c r="K37" s="25">
        <f t="shared" si="13"/>
        <v>15360</v>
      </c>
      <c r="L37" s="25">
        <f t="shared" si="13"/>
        <v>5120</v>
      </c>
      <c r="M37" s="25">
        <f t="shared" si="13"/>
        <v>7680</v>
      </c>
      <c r="N37" s="25">
        <f t="shared" si="13"/>
        <v>10240</v>
      </c>
      <c r="O37" s="25">
        <f t="shared" si="13"/>
        <v>15360</v>
      </c>
      <c r="P37" s="105">
        <f t="shared" si="13"/>
        <v>5120</v>
      </c>
      <c r="Q37" s="105">
        <f t="shared" si="13"/>
        <v>7680</v>
      </c>
      <c r="R37" s="105">
        <f t="shared" si="13"/>
        <v>10240</v>
      </c>
      <c r="S37" s="105">
        <f t="shared" si="13"/>
        <v>15360</v>
      </c>
    </row>
    <row r="38" spans="1:19" x14ac:dyDescent="0.25">
      <c r="A38" s="65" t="s">
        <v>537</v>
      </c>
      <c r="B38" s="33" t="s">
        <v>340</v>
      </c>
      <c r="C38" s="25">
        <f>C36*C2</f>
        <v>9.6000000000000014</v>
      </c>
      <c r="D38" s="25" t="s">
        <v>20</v>
      </c>
      <c r="E38" s="25" t="s">
        <v>20</v>
      </c>
      <c r="F38" s="25" t="s">
        <v>20</v>
      </c>
      <c r="G38" s="25" t="s">
        <v>20</v>
      </c>
      <c r="H38" s="25" t="s">
        <v>20</v>
      </c>
      <c r="I38" s="25" t="s">
        <v>20</v>
      </c>
      <c r="J38" s="105" t="s">
        <v>20</v>
      </c>
      <c r="K38" s="105" t="s">
        <v>20</v>
      </c>
      <c r="L38" s="31" t="s">
        <v>20</v>
      </c>
      <c r="M38" s="31" t="s">
        <v>20</v>
      </c>
      <c r="N38" s="31" t="s">
        <v>20</v>
      </c>
      <c r="O38" s="31" t="s">
        <v>20</v>
      </c>
      <c r="P38" s="31" t="s">
        <v>20</v>
      </c>
      <c r="Q38" s="31" t="s">
        <v>20</v>
      </c>
      <c r="R38" s="31" t="s">
        <v>20</v>
      </c>
      <c r="S38" s="31" t="s">
        <v>20</v>
      </c>
    </row>
    <row r="39" spans="1:19" x14ac:dyDescent="0.25">
      <c r="A39" s="72" t="s">
        <v>521</v>
      </c>
      <c r="B39" s="33" t="s">
        <v>342</v>
      </c>
      <c r="C39" s="25" t="s">
        <v>20</v>
      </c>
      <c r="D39" s="43">
        <v>-5.63</v>
      </c>
      <c r="E39" s="111">
        <v>-7.79</v>
      </c>
      <c r="F39" s="111">
        <v>-9.25</v>
      </c>
      <c r="G39" s="43">
        <v>-11.21</v>
      </c>
      <c r="H39" s="43">
        <v>-4.08</v>
      </c>
      <c r="I39" s="111">
        <v>-6.34</v>
      </c>
      <c r="J39" s="111">
        <v>-7.88</v>
      </c>
      <c r="K39" s="111">
        <v>-9.91</v>
      </c>
      <c r="L39" s="44">
        <v>-0.91</v>
      </c>
      <c r="M39" s="44">
        <v>-3.55</v>
      </c>
      <c r="N39" s="44">
        <v>-5.32</v>
      </c>
      <c r="O39" s="44">
        <v>-7.62</v>
      </c>
      <c r="P39" s="31">
        <v>0.92</v>
      </c>
      <c r="Q39" s="31">
        <v>-2.0499999999999998</v>
      </c>
      <c r="R39" s="31">
        <v>-3.94</v>
      </c>
      <c r="S39" s="31">
        <v>-6.29</v>
      </c>
    </row>
    <row r="40" spans="1:19" x14ac:dyDescent="0.25">
      <c r="A40" s="72" t="s">
        <v>446</v>
      </c>
      <c r="B40" s="33" t="s">
        <v>342</v>
      </c>
      <c r="C40" s="25" t="s">
        <v>20</v>
      </c>
      <c r="D40" s="43">
        <f>46+D39</f>
        <v>40.369999999999997</v>
      </c>
      <c r="E40" s="43">
        <f t="shared" ref="E40:G40" si="14">46+E39</f>
        <v>38.21</v>
      </c>
      <c r="F40" s="43">
        <f t="shared" si="14"/>
        <v>36.75</v>
      </c>
      <c r="G40" s="43">
        <f t="shared" si="14"/>
        <v>34.79</v>
      </c>
      <c r="H40" s="43">
        <f>46+H39</f>
        <v>41.92</v>
      </c>
      <c r="I40" s="43">
        <f t="shared" ref="I40:K40" si="15">46+I39</f>
        <v>39.659999999999997</v>
      </c>
      <c r="J40" s="43">
        <f t="shared" si="15"/>
        <v>38.119999999999997</v>
      </c>
      <c r="K40" s="43">
        <f t="shared" si="15"/>
        <v>36.090000000000003</v>
      </c>
      <c r="L40" s="44">
        <f>46+L39</f>
        <v>45.09</v>
      </c>
      <c r="M40" s="44">
        <f t="shared" ref="M40:O40" si="16">46+M39</f>
        <v>42.45</v>
      </c>
      <c r="N40" s="44">
        <f t="shared" si="16"/>
        <v>40.68</v>
      </c>
      <c r="O40" s="44">
        <f t="shared" si="16"/>
        <v>38.380000000000003</v>
      </c>
      <c r="P40" s="31">
        <f>46+P39</f>
        <v>46.92</v>
      </c>
      <c r="Q40" s="31">
        <f t="shared" ref="Q40:S40" si="17">46+Q39</f>
        <v>43.95</v>
      </c>
      <c r="R40" s="31">
        <f t="shared" si="17"/>
        <v>42.06</v>
      </c>
      <c r="S40" s="31">
        <f t="shared" si="17"/>
        <v>39.71</v>
      </c>
    </row>
    <row r="41" spans="1:19" x14ac:dyDescent="0.25">
      <c r="A41" s="72" t="s">
        <v>447</v>
      </c>
      <c r="B41" s="126" t="s">
        <v>337</v>
      </c>
      <c r="C41" s="25" t="s">
        <v>20</v>
      </c>
      <c r="D41" s="25">
        <f>10*LOG10(D42)</f>
        <v>19.297900303521317</v>
      </c>
      <c r="E41" s="25">
        <f t="shared" ref="E41:S41" si="18">10*LOG10(E42)</f>
        <v>15.37698771296451</v>
      </c>
      <c r="F41" s="25">
        <f t="shared" si="18"/>
        <v>12.667600346881507</v>
      </c>
      <c r="G41" s="25">
        <f t="shared" si="18"/>
        <v>8.9466877563246996</v>
      </c>
      <c r="H41" s="25">
        <f t="shared" si="18"/>
        <v>20.847900303521318</v>
      </c>
      <c r="I41" s="25">
        <f t="shared" si="18"/>
        <v>16.826987712964506</v>
      </c>
      <c r="J41" s="25">
        <f t="shared" si="18"/>
        <v>14.037600346881508</v>
      </c>
      <c r="K41" s="25">
        <f t="shared" si="18"/>
        <v>10.246687756324702</v>
      </c>
      <c r="L41" s="25">
        <f t="shared" si="18"/>
        <v>24.017900303521323</v>
      </c>
      <c r="M41" s="25">
        <f t="shared" si="18"/>
        <v>19.616987712964505</v>
      </c>
      <c r="N41" s="25">
        <f t="shared" si="18"/>
        <v>16.597600346881507</v>
      </c>
      <c r="O41" s="25">
        <f t="shared" si="18"/>
        <v>12.536687756324696</v>
      </c>
      <c r="P41" s="105">
        <f t="shared" si="18"/>
        <v>25.847900303521321</v>
      </c>
      <c r="Q41" s="105">
        <f t="shared" si="18"/>
        <v>21.116987712964516</v>
      </c>
      <c r="R41" s="105">
        <f t="shared" si="18"/>
        <v>17.977600346881509</v>
      </c>
      <c r="S41" s="105">
        <f t="shared" si="18"/>
        <v>13.866687756324701</v>
      </c>
    </row>
    <row r="42" spans="1:19" x14ac:dyDescent="0.25">
      <c r="A42" s="72" t="s">
        <v>319</v>
      </c>
      <c r="B42" s="126" t="s">
        <v>337</v>
      </c>
      <c r="C42" s="25" t="s">
        <v>20</v>
      </c>
      <c r="D42" s="25">
        <f t="shared" ref="D42:S42" si="19">10^(D40/10)/D2</f>
        <v>85.072663541674501</v>
      </c>
      <c r="E42" s="25">
        <f t="shared" si="19"/>
        <v>34.490442901133484</v>
      </c>
      <c r="F42" s="25">
        <f t="shared" si="19"/>
        <v>18.482471053182838</v>
      </c>
      <c r="G42" s="25">
        <f t="shared" si="19"/>
        <v>7.8463698546513703</v>
      </c>
      <c r="H42" s="25">
        <f t="shared" si="19"/>
        <v>121.55981496914649</v>
      </c>
      <c r="I42" s="25">
        <f t="shared" si="19"/>
        <v>48.161363225949096</v>
      </c>
      <c r="J42" s="105">
        <f t="shared" si="19"/>
        <v>25.337282560478076</v>
      </c>
      <c r="K42" s="105">
        <f t="shared" si="19"/>
        <v>10.584461697010772</v>
      </c>
      <c r="L42" s="31">
        <f t="shared" si="19"/>
        <v>252.22610325880024</v>
      </c>
      <c r="M42" s="31">
        <f t="shared" si="19"/>
        <v>91.558521560348595</v>
      </c>
      <c r="N42" s="31">
        <f t="shared" si="19"/>
        <v>45.683569961713737</v>
      </c>
      <c r="O42" s="31">
        <f t="shared" si="19"/>
        <v>17.933653550632208</v>
      </c>
      <c r="P42" s="31">
        <f t="shared" si="19"/>
        <v>384.40588725113395</v>
      </c>
      <c r="Q42" s="31">
        <f t="shared" si="19"/>
        <v>129.3298492341446</v>
      </c>
      <c r="R42" s="31">
        <f t="shared" si="19"/>
        <v>62.771142695815605</v>
      </c>
      <c r="S42" s="31">
        <f t="shared" si="19"/>
        <v>24.359522764259211</v>
      </c>
    </row>
    <row r="43" spans="1:19" x14ac:dyDescent="0.25">
      <c r="A43" s="72" t="s">
        <v>320</v>
      </c>
      <c r="B43" s="126" t="s">
        <v>341</v>
      </c>
      <c r="C43" s="25" t="s">
        <v>20</v>
      </c>
      <c r="D43" s="127">
        <v>0.185</v>
      </c>
      <c r="E43" s="127">
        <v>0.185</v>
      </c>
      <c r="F43" s="127">
        <v>0.185</v>
      </c>
      <c r="G43" s="127">
        <v>0.185</v>
      </c>
      <c r="H43" s="127">
        <v>0.185</v>
      </c>
      <c r="I43" s="127">
        <v>0.185</v>
      </c>
      <c r="J43" s="127">
        <v>0.185</v>
      </c>
      <c r="K43" s="127">
        <v>0.185</v>
      </c>
      <c r="L43" s="127">
        <v>0.185</v>
      </c>
      <c r="M43" s="127">
        <v>0.185</v>
      </c>
      <c r="N43" s="127">
        <v>0.185</v>
      </c>
      <c r="O43" s="127">
        <v>0.185</v>
      </c>
      <c r="P43" s="127">
        <v>0.185</v>
      </c>
      <c r="Q43" s="127">
        <v>0.185</v>
      </c>
      <c r="R43" s="127">
        <v>0.185</v>
      </c>
      <c r="S43" s="127">
        <v>0.185</v>
      </c>
    </row>
    <row r="44" spans="1:19" x14ac:dyDescent="0.25">
      <c r="A44" s="72" t="s">
        <v>321</v>
      </c>
      <c r="B44" s="126" t="s">
        <v>337</v>
      </c>
      <c r="C44" s="25" t="s">
        <v>20</v>
      </c>
      <c r="D44" s="25">
        <f>D42/D43</f>
        <v>459.85223536040269</v>
      </c>
      <c r="E44" s="25">
        <f>E42/E43</f>
        <v>186.43482649261344</v>
      </c>
      <c r="F44" s="25">
        <f>F42/F43</f>
        <v>99.905248936123456</v>
      </c>
      <c r="G44" s="25">
        <f>G42/G43</f>
        <v>42.412810025142541</v>
      </c>
      <c r="H44" s="25">
        <f t="shared" ref="H44:S44" si="20">H42/H43</f>
        <v>657.08008091430531</v>
      </c>
      <c r="I44" s="25">
        <f t="shared" si="20"/>
        <v>260.33169311323837</v>
      </c>
      <c r="J44" s="105">
        <f t="shared" si="20"/>
        <v>136.95828411069232</v>
      </c>
      <c r="K44" s="105">
        <f t="shared" si="20"/>
        <v>57.213306470328497</v>
      </c>
      <c r="L44" s="31">
        <f t="shared" si="20"/>
        <v>1363.3843419394607</v>
      </c>
      <c r="M44" s="31">
        <f t="shared" si="20"/>
        <v>494.91092735323565</v>
      </c>
      <c r="N44" s="31">
        <f t="shared" si="20"/>
        <v>246.93821600926344</v>
      </c>
      <c r="O44" s="31">
        <f t="shared" si="20"/>
        <v>96.938667841255182</v>
      </c>
      <c r="P44" s="31">
        <f t="shared" si="20"/>
        <v>2077.8696608169403</v>
      </c>
      <c r="Q44" s="31">
        <f t="shared" si="20"/>
        <v>699.0802661305114</v>
      </c>
      <c r="R44" s="31">
        <f t="shared" si="20"/>
        <v>339.30347403143571</v>
      </c>
      <c r="S44" s="31">
        <f t="shared" si="20"/>
        <v>131.67309602302277</v>
      </c>
    </row>
    <row r="45" spans="1:19" x14ac:dyDescent="0.25">
      <c r="A45" s="72" t="s">
        <v>472</v>
      </c>
      <c r="B45" s="33" t="s">
        <v>366</v>
      </c>
      <c r="C45" s="25" t="s">
        <v>20</v>
      </c>
      <c r="D45" s="25">
        <f t="shared" ref="D45:S45" si="21">D44*D2</f>
        <v>58861.086126131544</v>
      </c>
      <c r="E45" s="25">
        <f t="shared" si="21"/>
        <v>35795.486686581782</v>
      </c>
      <c r="F45" s="25">
        <f t="shared" si="21"/>
        <v>25575.743727647605</v>
      </c>
      <c r="G45" s="25">
        <f t="shared" si="21"/>
        <v>16286.519049654737</v>
      </c>
      <c r="H45" s="25">
        <f t="shared" si="21"/>
        <v>84106.25035703108</v>
      </c>
      <c r="I45" s="25">
        <f t="shared" si="21"/>
        <v>49983.685077741771</v>
      </c>
      <c r="J45" s="105">
        <f t="shared" si="21"/>
        <v>35061.320732337233</v>
      </c>
      <c r="K45" s="105">
        <f t="shared" si="21"/>
        <v>21969.909684606144</v>
      </c>
      <c r="L45" s="31">
        <f t="shared" si="21"/>
        <v>174513.19576825097</v>
      </c>
      <c r="M45" s="31">
        <f t="shared" si="21"/>
        <v>95022.898051821248</v>
      </c>
      <c r="N45" s="31">
        <f t="shared" si="21"/>
        <v>63216.183298371441</v>
      </c>
      <c r="O45" s="31">
        <f t="shared" si="21"/>
        <v>37224.448451041986</v>
      </c>
      <c r="P45" s="31">
        <f t="shared" si="21"/>
        <v>265967.31658456835</v>
      </c>
      <c r="Q45" s="31">
        <f t="shared" si="21"/>
        <v>134223.41109705818</v>
      </c>
      <c r="R45" s="31">
        <f t="shared" si="21"/>
        <v>86861.689352047542</v>
      </c>
      <c r="S45" s="31">
        <f t="shared" si="21"/>
        <v>50562.468872840742</v>
      </c>
    </row>
    <row r="46" spans="1:19" x14ac:dyDescent="0.25">
      <c r="A46" s="80" t="s">
        <v>344</v>
      </c>
      <c r="B46" s="126" t="s">
        <v>338</v>
      </c>
      <c r="C46" s="31" t="s">
        <v>20</v>
      </c>
      <c r="D46" s="31">
        <f t="shared" ref="D46:S46" si="22">D19+D23+D27+D12+D15+D37+D32</f>
        <v>68015.910694987004</v>
      </c>
      <c r="E46" s="31">
        <f t="shared" si="22"/>
        <v>101203.74947943531</v>
      </c>
      <c r="F46" s="31">
        <f t="shared" si="22"/>
        <v>134401.76878603647</v>
      </c>
      <c r="G46" s="31">
        <f t="shared" si="22"/>
        <v>200806.27973310268</v>
      </c>
      <c r="H46" s="31">
        <f t="shared" si="22"/>
        <v>68567.940814747606</v>
      </c>
      <c r="I46" s="31">
        <f t="shared" si="22"/>
        <v>101737.797294294</v>
      </c>
      <c r="J46" s="31">
        <f t="shared" si="22"/>
        <v>134923.81456746141</v>
      </c>
      <c r="K46" s="31">
        <f t="shared" si="22"/>
        <v>201321.98112044847</v>
      </c>
      <c r="L46" s="31">
        <f t="shared" si="22"/>
        <v>69870.748580216328</v>
      </c>
      <c r="M46" s="31">
        <f t="shared" si="22"/>
        <v>102961.31317433347</v>
      </c>
      <c r="N46" s="31">
        <f t="shared" si="22"/>
        <v>136100.12572456809</v>
      </c>
      <c r="O46" s="31">
        <f t="shared" si="22"/>
        <v>202449.08135079395</v>
      </c>
      <c r="P46" s="31">
        <f t="shared" si="22"/>
        <v>71116.199646759371</v>
      </c>
      <c r="Q46" s="31">
        <f t="shared" si="22"/>
        <v>104087.72161457693</v>
      </c>
      <c r="R46" s="31">
        <f t="shared" si="22"/>
        <v>137173.83390769994</v>
      </c>
      <c r="S46" s="31">
        <f t="shared" si="22"/>
        <v>203490.49600845124</v>
      </c>
    </row>
    <row r="47" spans="1:19" x14ac:dyDescent="0.25">
      <c r="A47" s="80" t="s">
        <v>345</v>
      </c>
      <c r="B47" s="126" t="s">
        <v>337</v>
      </c>
      <c r="C47" s="31" t="s">
        <v>20</v>
      </c>
      <c r="D47" s="31">
        <f t="shared" ref="D47:S47" si="23">D46/D2</f>
        <v>531.37430230458597</v>
      </c>
      <c r="E47" s="31">
        <f t="shared" si="23"/>
        <v>527.10286187205895</v>
      </c>
      <c r="F47" s="31">
        <f t="shared" si="23"/>
        <v>525.00690932045495</v>
      </c>
      <c r="G47" s="31">
        <f t="shared" si="23"/>
        <v>522.93302013828827</v>
      </c>
      <c r="H47" s="31">
        <f t="shared" si="23"/>
        <v>535.68703761521567</v>
      </c>
      <c r="I47" s="31">
        <f t="shared" si="23"/>
        <v>529.88436090778123</v>
      </c>
      <c r="J47" s="31">
        <f t="shared" si="23"/>
        <v>527.04615065414612</v>
      </c>
      <c r="K47" s="31">
        <f t="shared" si="23"/>
        <v>524.27599250116793</v>
      </c>
      <c r="L47" s="31">
        <f t="shared" si="23"/>
        <v>545.86522328294006</v>
      </c>
      <c r="M47" s="31">
        <f t="shared" si="23"/>
        <v>536.25683944965351</v>
      </c>
      <c r="N47" s="31">
        <f t="shared" si="23"/>
        <v>531.6411161115941</v>
      </c>
      <c r="O47" s="31">
        <f t="shared" si="23"/>
        <v>527.21114935102594</v>
      </c>
      <c r="P47" s="31">
        <f t="shared" si="23"/>
        <v>555.59530974030758</v>
      </c>
      <c r="Q47" s="31">
        <f t="shared" si="23"/>
        <v>542.12355007592157</v>
      </c>
      <c r="R47" s="31">
        <f t="shared" si="23"/>
        <v>535.83528870195289</v>
      </c>
      <c r="S47" s="31">
        <f t="shared" si="23"/>
        <v>529.92316668867511</v>
      </c>
    </row>
    <row r="48" spans="1:19" x14ac:dyDescent="0.25">
      <c r="A48" s="80" t="s">
        <v>83</v>
      </c>
      <c r="B48" s="126" t="s">
        <v>338</v>
      </c>
      <c r="C48" s="31" t="s">
        <v>20</v>
      </c>
      <c r="D48" s="31">
        <f>D45+D46</f>
        <v>126876.99682111855</v>
      </c>
      <c r="E48" s="31">
        <f>E45+E46</f>
        <v>136999.2361660171</v>
      </c>
      <c r="F48" s="31">
        <f>F45+F46</f>
        <v>159977.51251368408</v>
      </c>
      <c r="G48" s="31">
        <f>G45+G46</f>
        <v>217092.79878275743</v>
      </c>
      <c r="H48" s="31">
        <f t="shared" ref="H48:S48" si="24">H45+H46</f>
        <v>152674.19117177869</v>
      </c>
      <c r="I48" s="31">
        <f t="shared" si="24"/>
        <v>151721.48237203577</v>
      </c>
      <c r="J48" s="31">
        <f t="shared" si="24"/>
        <v>169985.13529979863</v>
      </c>
      <c r="K48" s="31">
        <f t="shared" si="24"/>
        <v>223291.89080505463</v>
      </c>
      <c r="L48" s="31">
        <f t="shared" si="24"/>
        <v>244383.94434846728</v>
      </c>
      <c r="M48" s="31">
        <f t="shared" si="24"/>
        <v>197984.2112261547</v>
      </c>
      <c r="N48" s="31">
        <f t="shared" si="24"/>
        <v>199316.30902293953</v>
      </c>
      <c r="O48" s="31">
        <f t="shared" si="24"/>
        <v>239673.52980183595</v>
      </c>
      <c r="P48" s="31">
        <f t="shared" si="24"/>
        <v>337083.51623132773</v>
      </c>
      <c r="Q48" s="31">
        <f t="shared" si="24"/>
        <v>238311.13271163512</v>
      </c>
      <c r="R48" s="31">
        <f t="shared" si="24"/>
        <v>224035.52325974748</v>
      </c>
      <c r="S48" s="31">
        <f t="shared" si="24"/>
        <v>254052.96488129199</v>
      </c>
    </row>
    <row r="49" spans="1:19" x14ac:dyDescent="0.25">
      <c r="A49" s="80" t="s">
        <v>157</v>
      </c>
      <c r="B49" s="33" t="s">
        <v>340</v>
      </c>
      <c r="C49" s="31">
        <f>C13+C28+C20+C24+C31</f>
        <v>64.040000000000006</v>
      </c>
      <c r="D49" s="31" t="s">
        <v>20</v>
      </c>
      <c r="E49" s="31" t="s">
        <v>20</v>
      </c>
      <c r="F49" s="31" t="s">
        <v>20</v>
      </c>
      <c r="G49" s="31" t="s">
        <v>20</v>
      </c>
      <c r="H49" s="31" t="s">
        <v>20</v>
      </c>
      <c r="I49" s="31" t="s">
        <v>20</v>
      </c>
      <c r="J49" s="31" t="s">
        <v>20</v>
      </c>
      <c r="K49" s="31" t="s">
        <v>20</v>
      </c>
      <c r="L49" s="31" t="s">
        <v>20</v>
      </c>
      <c r="M49" s="31" t="s">
        <v>20</v>
      </c>
      <c r="N49" s="31" t="s">
        <v>20</v>
      </c>
      <c r="O49" s="31" t="s">
        <v>20</v>
      </c>
      <c r="P49" s="31" t="s">
        <v>20</v>
      </c>
      <c r="Q49" s="31" t="s">
        <v>20</v>
      </c>
      <c r="R49" s="31" t="s">
        <v>20</v>
      </c>
      <c r="S49" s="31" t="s">
        <v>20</v>
      </c>
    </row>
    <row r="50" spans="1:19" x14ac:dyDescent="0.25">
      <c r="A50" s="126" t="s">
        <v>269</v>
      </c>
      <c r="B50" s="126"/>
    </row>
    <row r="51" spans="1:19" x14ac:dyDescent="0.25">
      <c r="A51" s="2">
        <v>1</v>
      </c>
      <c r="B51" s="2"/>
      <c r="C51" t="s">
        <v>325</v>
      </c>
    </row>
    <row r="52" spans="1:19" x14ac:dyDescent="0.25">
      <c r="A52" s="2">
        <v>2</v>
      </c>
      <c r="B52" s="2"/>
      <c r="C52" t="s">
        <v>538</v>
      </c>
    </row>
    <row r="53" spans="1:19" x14ac:dyDescent="0.25">
      <c r="A53" s="2">
        <v>3</v>
      </c>
      <c r="B53" s="2"/>
      <c r="C53" t="s">
        <v>539</v>
      </c>
    </row>
    <row r="54" spans="1:19" x14ac:dyDescent="0.25">
      <c r="A54" s="38">
        <v>4</v>
      </c>
      <c r="B54" s="38"/>
      <c r="C54" t="s">
        <v>540</v>
      </c>
    </row>
    <row r="55" spans="1:19" x14ac:dyDescent="0.25">
      <c r="A55" s="38">
        <v>5</v>
      </c>
      <c r="C55" t="s">
        <v>541</v>
      </c>
    </row>
    <row r="56" spans="1:19" x14ac:dyDescent="0.25">
      <c r="A56" s="38">
        <v>6</v>
      </c>
    </row>
    <row r="57" spans="1:19" x14ac:dyDescent="0.25">
      <c r="A57" s="170" t="s">
        <v>542</v>
      </c>
      <c r="B57" s="170"/>
      <c r="C57" s="170"/>
      <c r="D57" s="170"/>
      <c r="E57" s="170"/>
      <c r="F57" s="170"/>
      <c r="G57" s="170"/>
      <c r="H57" s="170"/>
      <c r="I57" s="170"/>
      <c r="J57" s="170"/>
    </row>
    <row r="58" spans="1:19" x14ac:dyDescent="0.25">
      <c r="B58" s="74">
        <f>D2</f>
        <v>128</v>
      </c>
      <c r="C58" s="74">
        <f>E2</f>
        <v>192</v>
      </c>
      <c r="D58" s="74">
        <f>F2</f>
        <v>256</v>
      </c>
      <c r="E58" s="74">
        <f>G2</f>
        <v>384</v>
      </c>
      <c r="G58" s="74">
        <f>B58</f>
        <v>128</v>
      </c>
      <c r="H58" s="74">
        <f>C58</f>
        <v>192</v>
      </c>
      <c r="I58" s="74">
        <f>D58</f>
        <v>256</v>
      </c>
      <c r="J58" s="74">
        <f>E58</f>
        <v>384</v>
      </c>
    </row>
    <row r="59" spans="1:19" x14ac:dyDescent="0.25">
      <c r="A59" t="str">
        <f>$A$12</f>
        <v>BB Precoding</v>
      </c>
      <c r="B59" s="78">
        <f>D12</f>
        <v>52224</v>
      </c>
      <c r="C59" s="78">
        <f>E12</f>
        <v>78336</v>
      </c>
      <c r="D59" s="78">
        <f>F12</f>
        <v>104448</v>
      </c>
      <c r="E59" s="78">
        <f>G12</f>
        <v>156672</v>
      </c>
      <c r="F59" t="str">
        <f>$A$12</f>
        <v>BB Precoding</v>
      </c>
      <c r="G59" s="78">
        <f t="shared" ref="G59:J66" si="25">B59/1000</f>
        <v>52.223999999999997</v>
      </c>
      <c r="H59" s="78">
        <f t="shared" si="25"/>
        <v>78.335999999999999</v>
      </c>
      <c r="I59" s="78">
        <f t="shared" si="25"/>
        <v>104.44799999999999</v>
      </c>
      <c r="J59" s="78">
        <f t="shared" si="25"/>
        <v>156.672</v>
      </c>
    </row>
    <row r="60" spans="1:19" x14ac:dyDescent="0.25">
      <c r="A60" t="str">
        <f>$A$15</f>
        <v>SERDES</v>
      </c>
      <c r="B60" s="78">
        <f>D15</f>
        <v>1064.3206995216915</v>
      </c>
      <c r="C60" s="78">
        <f>E15</f>
        <v>990.88069952169144</v>
      </c>
      <c r="D60" s="78">
        <f>F15</f>
        <v>941.24069952169157</v>
      </c>
      <c r="E60" s="78">
        <f>G15</f>
        <v>874.60069952169147</v>
      </c>
      <c r="F60" t="str">
        <f>$A$15</f>
        <v>SERDES</v>
      </c>
      <c r="G60" s="78">
        <f t="shared" si="25"/>
        <v>1.0643206995216914</v>
      </c>
      <c r="H60" s="78">
        <f t="shared" si="25"/>
        <v>0.99088069952169144</v>
      </c>
      <c r="I60" s="78">
        <f t="shared" si="25"/>
        <v>0.94124069952169154</v>
      </c>
      <c r="J60" s="78">
        <f t="shared" si="25"/>
        <v>0.8746006995216915</v>
      </c>
    </row>
    <row r="61" spans="1:19" x14ac:dyDescent="0.25">
      <c r="A61" t="str">
        <f>$A$19</f>
        <v>DAC</v>
      </c>
      <c r="B61" s="78">
        <f>D19</f>
        <v>647.58999546531788</v>
      </c>
      <c r="C61" s="78">
        <f>E19</f>
        <v>756.86877991361962</v>
      </c>
      <c r="D61" s="78">
        <f>F19</f>
        <v>852.52808651476334</v>
      </c>
      <c r="E61" s="78">
        <f>G19</f>
        <v>1019.6790335809965</v>
      </c>
      <c r="F61" t="str">
        <f>$A$19</f>
        <v>DAC</v>
      </c>
      <c r="G61" s="78">
        <f t="shared" si="25"/>
        <v>0.64758999546531792</v>
      </c>
      <c r="H61" s="78">
        <f t="shared" si="25"/>
        <v>0.75686877991361967</v>
      </c>
      <c r="I61" s="78">
        <f t="shared" si="25"/>
        <v>0.85252808651476331</v>
      </c>
      <c r="J61" s="78">
        <f t="shared" si="25"/>
        <v>1.0196790335809964</v>
      </c>
    </row>
    <row r="62" spans="1:19" x14ac:dyDescent="0.25">
      <c r="A62" t="str">
        <f>$A$23</f>
        <v>Mixer</v>
      </c>
      <c r="B62" s="78">
        <f>D23</f>
        <v>1280</v>
      </c>
      <c r="C62" s="78">
        <f>E23</f>
        <v>1920</v>
      </c>
      <c r="D62" s="78">
        <f>F23</f>
        <v>2560</v>
      </c>
      <c r="E62" s="78">
        <f>G23</f>
        <v>3840</v>
      </c>
      <c r="F62" t="str">
        <f>$A$23</f>
        <v>Mixer</v>
      </c>
      <c r="G62" s="78">
        <f t="shared" si="25"/>
        <v>1.28</v>
      </c>
      <c r="H62" s="78">
        <f t="shared" si="25"/>
        <v>1.92</v>
      </c>
      <c r="I62" s="78">
        <f t="shared" si="25"/>
        <v>2.56</v>
      </c>
      <c r="J62" s="78">
        <f t="shared" si="25"/>
        <v>3.84</v>
      </c>
    </row>
    <row r="63" spans="1:19" x14ac:dyDescent="0.25">
      <c r="A63" t="str">
        <f>$A$27</f>
        <v>VCO</v>
      </c>
      <c r="B63" s="78">
        <f>D27</f>
        <v>7680</v>
      </c>
      <c r="C63" s="78">
        <f>E27</f>
        <v>11520</v>
      </c>
      <c r="D63" s="78">
        <f>F27</f>
        <v>15360</v>
      </c>
      <c r="E63" s="78">
        <f>G27</f>
        <v>23040</v>
      </c>
      <c r="F63" t="str">
        <f>$A$27</f>
        <v>VCO</v>
      </c>
      <c r="G63" s="78">
        <f t="shared" si="25"/>
        <v>7.68</v>
      </c>
      <c r="H63" s="78">
        <f t="shared" si="25"/>
        <v>11.52</v>
      </c>
      <c r="I63" s="78">
        <f t="shared" si="25"/>
        <v>15.36</v>
      </c>
      <c r="J63" s="78">
        <f t="shared" si="25"/>
        <v>23.04</v>
      </c>
    </row>
    <row r="64" spans="1:19" x14ac:dyDescent="0.25">
      <c r="A64" t="str">
        <f>$A$32</f>
        <v>PS</v>
      </c>
      <c r="B64" s="78">
        <f>D32</f>
        <v>0</v>
      </c>
      <c r="C64" s="78">
        <f>E32</f>
        <v>0</v>
      </c>
      <c r="D64" s="78">
        <f>F32</f>
        <v>0</v>
      </c>
      <c r="E64" s="78">
        <f>G32</f>
        <v>0</v>
      </c>
      <c r="F64" t="str">
        <f>$A$32</f>
        <v>PS</v>
      </c>
      <c r="G64" s="78">
        <f t="shared" si="25"/>
        <v>0</v>
      </c>
      <c r="H64" s="78">
        <f t="shared" si="25"/>
        <v>0</v>
      </c>
      <c r="I64" s="78">
        <f t="shared" si="25"/>
        <v>0</v>
      </c>
      <c r="J64" s="78">
        <f t="shared" si="25"/>
        <v>0</v>
      </c>
    </row>
    <row r="65" spans="1:10" x14ac:dyDescent="0.25">
      <c r="A65" t="str">
        <f>$A$37</f>
        <v>RF Amp</v>
      </c>
      <c r="B65" s="78">
        <f>D37</f>
        <v>5120</v>
      </c>
      <c r="C65" s="78">
        <f>E37</f>
        <v>7680</v>
      </c>
      <c r="D65" s="78">
        <f>F37</f>
        <v>10240</v>
      </c>
      <c r="E65" s="78">
        <f>G37</f>
        <v>15360</v>
      </c>
      <c r="F65" t="str">
        <f>$A$37</f>
        <v>RF Amp</v>
      </c>
      <c r="G65" s="78">
        <f t="shared" si="25"/>
        <v>5.12</v>
      </c>
      <c r="H65" s="78">
        <f t="shared" si="25"/>
        <v>7.68</v>
      </c>
      <c r="I65" s="78">
        <f t="shared" si="25"/>
        <v>10.24</v>
      </c>
      <c r="J65" s="78">
        <f t="shared" si="25"/>
        <v>15.36</v>
      </c>
    </row>
    <row r="66" spans="1:10" x14ac:dyDescent="0.25">
      <c r="A66" t="str">
        <f>$A$45</f>
        <v xml:space="preserve">PA </v>
      </c>
      <c r="B66" s="78">
        <f>D45</f>
        <v>58861.086126131544</v>
      </c>
      <c r="C66" s="78">
        <f t="shared" ref="C66:E66" si="26">E45</f>
        <v>35795.486686581782</v>
      </c>
      <c r="D66" s="78">
        <f t="shared" si="26"/>
        <v>25575.743727647605</v>
      </c>
      <c r="E66" s="78">
        <f t="shared" si="26"/>
        <v>16286.519049654737</v>
      </c>
      <c r="F66" t="str">
        <f>$A$45</f>
        <v xml:space="preserve">PA </v>
      </c>
      <c r="G66" s="78">
        <f t="shared" si="25"/>
        <v>58.861086126131546</v>
      </c>
      <c r="H66" s="78">
        <f t="shared" si="25"/>
        <v>35.795486686581782</v>
      </c>
      <c r="I66" s="78">
        <f t="shared" si="25"/>
        <v>25.575743727647605</v>
      </c>
      <c r="J66" s="78">
        <f t="shared" si="25"/>
        <v>16.286519049654736</v>
      </c>
    </row>
    <row r="67" spans="1:10" x14ac:dyDescent="0.25">
      <c r="A67" s="170" t="s">
        <v>543</v>
      </c>
      <c r="B67" s="170"/>
      <c r="C67" s="170"/>
      <c r="D67" s="170"/>
      <c r="E67" s="170"/>
    </row>
    <row r="68" spans="1:10" x14ac:dyDescent="0.25">
      <c r="B68" s="74">
        <f>H2</f>
        <v>128</v>
      </c>
      <c r="C68" s="74">
        <f>I2</f>
        <v>192</v>
      </c>
      <c r="D68" s="74">
        <f>J2</f>
        <v>256</v>
      </c>
      <c r="E68" s="74">
        <f>K2</f>
        <v>384</v>
      </c>
      <c r="G68" s="74">
        <f>H2</f>
        <v>128</v>
      </c>
      <c r="H68" s="74">
        <f>I2</f>
        <v>192</v>
      </c>
      <c r="I68" s="74">
        <f>J2</f>
        <v>256</v>
      </c>
      <c r="J68" s="74">
        <f>K2</f>
        <v>384</v>
      </c>
    </row>
    <row r="69" spans="1:10" x14ac:dyDescent="0.25">
      <c r="A69" t="str">
        <f>$A$12</f>
        <v>BB Precoding</v>
      </c>
      <c r="B69" s="78">
        <f>H12</f>
        <v>52224</v>
      </c>
      <c r="C69" s="78">
        <f>I12</f>
        <v>78336</v>
      </c>
      <c r="D69" s="78">
        <f>J12</f>
        <v>104448</v>
      </c>
      <c r="E69" s="78">
        <f>K12</f>
        <v>156672</v>
      </c>
      <c r="F69" t="str">
        <f>$A$12</f>
        <v>BB Precoding</v>
      </c>
      <c r="G69" s="78">
        <f t="shared" ref="G69:J76" si="27">B69/1000</f>
        <v>52.223999999999997</v>
      </c>
      <c r="H69" s="78">
        <f t="shared" si="27"/>
        <v>78.335999999999999</v>
      </c>
      <c r="I69" s="78">
        <f t="shared" si="27"/>
        <v>104.44799999999999</v>
      </c>
      <c r="J69" s="78">
        <f t="shared" si="27"/>
        <v>156.672</v>
      </c>
    </row>
    <row r="70" spans="1:10" x14ac:dyDescent="0.25">
      <c r="A70" t="str">
        <f>$A$15</f>
        <v>SERDES</v>
      </c>
      <c r="B70" s="78">
        <f>H15</f>
        <v>1489.3609326955889</v>
      </c>
      <c r="C70" s="78">
        <f>I15</f>
        <v>1386.9075993622553</v>
      </c>
      <c r="D70" s="78">
        <f>J15</f>
        <v>1317.094266028922</v>
      </c>
      <c r="E70" s="78">
        <f>K15</f>
        <v>1225.0675993622554</v>
      </c>
      <c r="F70" t="str">
        <f>$A$15</f>
        <v>SERDES</v>
      </c>
      <c r="G70" s="78">
        <f t="shared" si="27"/>
        <v>1.4893609326955888</v>
      </c>
      <c r="H70" s="78">
        <f t="shared" si="27"/>
        <v>1.3869075993622553</v>
      </c>
      <c r="I70" s="78">
        <f t="shared" si="27"/>
        <v>1.317094266028922</v>
      </c>
      <c r="J70" s="78">
        <f t="shared" si="27"/>
        <v>1.2250675993622553</v>
      </c>
    </row>
    <row r="71" spans="1:10" x14ac:dyDescent="0.25">
      <c r="A71" t="str">
        <f>$A$19</f>
        <v>DAC</v>
      </c>
      <c r="B71" s="78">
        <f>H19</f>
        <v>774.57988205201002</v>
      </c>
      <c r="C71" s="78">
        <f>I19</f>
        <v>894.88969493173568</v>
      </c>
      <c r="D71" s="78">
        <f>J19</f>
        <v>998.72030143249276</v>
      </c>
      <c r="E71" s="78">
        <f>K19</f>
        <v>1184.9135210862316</v>
      </c>
      <c r="F71" t="str">
        <f>$A$19</f>
        <v>DAC</v>
      </c>
      <c r="G71" s="78">
        <f t="shared" si="27"/>
        <v>0.77457988205201</v>
      </c>
      <c r="H71" s="78">
        <f t="shared" si="27"/>
        <v>0.89488969493173565</v>
      </c>
      <c r="I71" s="78">
        <f t="shared" si="27"/>
        <v>0.9987203014324928</v>
      </c>
      <c r="J71" s="78">
        <f t="shared" si="27"/>
        <v>1.1849135210862316</v>
      </c>
    </row>
    <row r="72" spans="1:10" x14ac:dyDescent="0.25">
      <c r="A72" t="str">
        <f>$A$23</f>
        <v>Mixer</v>
      </c>
      <c r="B72" s="78">
        <f>H23</f>
        <v>1280</v>
      </c>
      <c r="C72" s="78">
        <f>I23</f>
        <v>1920</v>
      </c>
      <c r="D72" s="78">
        <f>J23</f>
        <v>2560</v>
      </c>
      <c r="E72" s="78">
        <f>K23</f>
        <v>3840</v>
      </c>
      <c r="F72" t="str">
        <f>$A$23</f>
        <v>Mixer</v>
      </c>
      <c r="G72" s="78">
        <f t="shared" si="27"/>
        <v>1.28</v>
      </c>
      <c r="H72" s="78">
        <f t="shared" si="27"/>
        <v>1.92</v>
      </c>
      <c r="I72" s="78">
        <f t="shared" si="27"/>
        <v>2.56</v>
      </c>
      <c r="J72" s="78">
        <f t="shared" si="27"/>
        <v>3.84</v>
      </c>
    </row>
    <row r="73" spans="1:10" x14ac:dyDescent="0.25">
      <c r="A73" t="str">
        <f>$A$27</f>
        <v>VCO</v>
      </c>
      <c r="B73" s="78">
        <f>H27</f>
        <v>7680</v>
      </c>
      <c r="C73" s="78">
        <f>I27</f>
        <v>11520</v>
      </c>
      <c r="D73" s="78">
        <f>J27</f>
        <v>15360</v>
      </c>
      <c r="E73" s="78">
        <f>K27</f>
        <v>23040</v>
      </c>
      <c r="F73" t="str">
        <f>$A$27</f>
        <v>VCO</v>
      </c>
      <c r="G73" s="78">
        <f t="shared" si="27"/>
        <v>7.68</v>
      </c>
      <c r="H73" s="78">
        <f t="shared" si="27"/>
        <v>11.52</v>
      </c>
      <c r="I73" s="78">
        <f t="shared" si="27"/>
        <v>15.36</v>
      </c>
      <c r="J73" s="78">
        <f t="shared" si="27"/>
        <v>23.04</v>
      </c>
    </row>
    <row r="74" spans="1:10" x14ac:dyDescent="0.25">
      <c r="A74" t="str">
        <f>$A$32</f>
        <v>PS</v>
      </c>
      <c r="B74" s="78">
        <f>H32</f>
        <v>0</v>
      </c>
      <c r="C74" s="78">
        <f>I32</f>
        <v>0</v>
      </c>
      <c r="D74" s="78">
        <f>J32</f>
        <v>0</v>
      </c>
      <c r="E74" s="78">
        <f>K32</f>
        <v>0</v>
      </c>
      <c r="F74" t="str">
        <f>$A$32</f>
        <v>PS</v>
      </c>
      <c r="G74" s="78">
        <f t="shared" si="27"/>
        <v>0</v>
      </c>
      <c r="H74" s="78">
        <f t="shared" si="27"/>
        <v>0</v>
      </c>
      <c r="I74" s="78">
        <f t="shared" si="27"/>
        <v>0</v>
      </c>
      <c r="J74" s="78">
        <f t="shared" si="27"/>
        <v>0</v>
      </c>
    </row>
    <row r="75" spans="1:10" x14ac:dyDescent="0.25">
      <c r="A75" t="str">
        <f>$A$37</f>
        <v>RF Amp</v>
      </c>
      <c r="B75" s="78">
        <f>H37</f>
        <v>5120</v>
      </c>
      <c r="C75" s="78">
        <f>I37</f>
        <v>7680</v>
      </c>
      <c r="D75" s="78">
        <f>J37</f>
        <v>10240</v>
      </c>
      <c r="E75" s="78">
        <f>K37</f>
        <v>15360</v>
      </c>
      <c r="F75" t="str">
        <f>$A$37</f>
        <v>RF Amp</v>
      </c>
      <c r="G75" s="78">
        <f t="shared" si="27"/>
        <v>5.12</v>
      </c>
      <c r="H75" s="78">
        <f t="shared" si="27"/>
        <v>7.68</v>
      </c>
      <c r="I75" s="78">
        <f t="shared" si="27"/>
        <v>10.24</v>
      </c>
      <c r="J75" s="78">
        <f t="shared" si="27"/>
        <v>15.36</v>
      </c>
    </row>
    <row r="76" spans="1:10" x14ac:dyDescent="0.25">
      <c r="A76" t="str">
        <f>$A$45</f>
        <v xml:space="preserve">PA </v>
      </c>
      <c r="B76" s="78">
        <f>H45</f>
        <v>84106.25035703108</v>
      </c>
      <c r="C76" s="78">
        <f t="shared" ref="C76:E76" si="28">I45</f>
        <v>49983.685077741771</v>
      </c>
      <c r="D76" s="78">
        <f t="shared" si="28"/>
        <v>35061.320732337233</v>
      </c>
      <c r="E76" s="78">
        <f t="shared" si="28"/>
        <v>21969.909684606144</v>
      </c>
      <c r="F76" t="str">
        <f>$A$45</f>
        <v xml:space="preserve">PA </v>
      </c>
      <c r="G76" s="78">
        <f t="shared" si="27"/>
        <v>84.106250357031087</v>
      </c>
      <c r="H76" s="78">
        <f t="shared" si="27"/>
        <v>49.983685077741768</v>
      </c>
      <c r="I76" s="78">
        <f t="shared" si="27"/>
        <v>35.061320732337236</v>
      </c>
      <c r="J76" s="78">
        <f t="shared" si="27"/>
        <v>21.969909684606144</v>
      </c>
    </row>
    <row r="77" spans="1:10" x14ac:dyDescent="0.25">
      <c r="A77" s="170" t="s">
        <v>544</v>
      </c>
      <c r="B77" s="170"/>
      <c r="C77" s="170"/>
      <c r="D77" s="170"/>
      <c r="E77" s="170"/>
    </row>
    <row r="78" spans="1:10" x14ac:dyDescent="0.25">
      <c r="B78" s="78">
        <f>L2</f>
        <v>128</v>
      </c>
      <c r="C78" s="78">
        <f>M2</f>
        <v>192</v>
      </c>
      <c r="D78" s="78">
        <f>N2</f>
        <v>256</v>
      </c>
      <c r="E78" s="78">
        <f>O2</f>
        <v>384</v>
      </c>
      <c r="G78" s="78">
        <f>L2</f>
        <v>128</v>
      </c>
      <c r="H78" s="78">
        <f>M2</f>
        <v>192</v>
      </c>
      <c r="I78" s="78">
        <f>N2</f>
        <v>256</v>
      </c>
      <c r="J78" s="78">
        <f>O2</f>
        <v>384</v>
      </c>
    </row>
    <row r="79" spans="1:10" x14ac:dyDescent="0.25">
      <c r="A79" t="str">
        <f>$A$12</f>
        <v>BB Precoding</v>
      </c>
      <c r="B79" s="78">
        <f>L12</f>
        <v>52224</v>
      </c>
      <c r="C79" s="78">
        <f>M12</f>
        <v>78336</v>
      </c>
      <c r="D79" s="78">
        <f>N12</f>
        <v>104448</v>
      </c>
      <c r="E79" s="78">
        <f>O12</f>
        <v>156672</v>
      </c>
      <c r="F79" t="str">
        <f>$A$12</f>
        <v>BB Precoding</v>
      </c>
      <c r="G79" s="78">
        <f t="shared" ref="G79:J86" si="29">B79/1000</f>
        <v>52.223999999999997</v>
      </c>
      <c r="H79" s="78">
        <f t="shared" si="29"/>
        <v>78.335999999999999</v>
      </c>
      <c r="I79" s="78">
        <f t="shared" si="29"/>
        <v>104.44799999999999</v>
      </c>
      <c r="J79" s="78">
        <f t="shared" si="29"/>
        <v>156.672</v>
      </c>
    </row>
    <row r="80" spans="1:10" x14ac:dyDescent="0.25">
      <c r="A80" t="str">
        <f>$A$15</f>
        <v>SERDES</v>
      </c>
      <c r="B80" s="78">
        <f>L15</f>
        <v>2449.601399043383</v>
      </c>
      <c r="C80" s="78">
        <f>M15</f>
        <v>2270.081399043383</v>
      </c>
      <c r="D80" s="78">
        <f>N15</f>
        <v>2149.7213990433829</v>
      </c>
      <c r="E80" s="78">
        <f>O15</f>
        <v>1993.3213990433828</v>
      </c>
      <c r="F80" t="str">
        <f>$A$15</f>
        <v>SERDES</v>
      </c>
      <c r="G80" s="78">
        <f t="shared" si="29"/>
        <v>2.4496013990433831</v>
      </c>
      <c r="H80" s="78">
        <f t="shared" si="29"/>
        <v>2.270081399043383</v>
      </c>
      <c r="I80" s="78">
        <f t="shared" si="29"/>
        <v>2.1497213990433828</v>
      </c>
      <c r="J80" s="78">
        <f t="shared" si="29"/>
        <v>1.9933213990433829</v>
      </c>
    </row>
    <row r="81" spans="1:10" x14ac:dyDescent="0.25">
      <c r="A81" t="str">
        <f>$A$19</f>
        <v>DAC</v>
      </c>
      <c r="B81" s="78">
        <f>L19</f>
        <v>1117.1471811729386</v>
      </c>
      <c r="C81" s="78">
        <f>M19</f>
        <v>1235.231775290091</v>
      </c>
      <c r="D81" s="78">
        <f>N19</f>
        <v>1342.4043255247063</v>
      </c>
      <c r="E81" s="78">
        <f>O19</f>
        <v>1543.7599517505819</v>
      </c>
      <c r="F81" t="str">
        <f>$A$19</f>
        <v>DAC</v>
      </c>
      <c r="G81" s="78">
        <f t="shared" si="29"/>
        <v>1.1171471811729385</v>
      </c>
      <c r="H81" s="78">
        <f t="shared" si="29"/>
        <v>1.235231775290091</v>
      </c>
      <c r="I81" s="78">
        <f t="shared" si="29"/>
        <v>1.3424043255247062</v>
      </c>
      <c r="J81" s="78">
        <f t="shared" si="29"/>
        <v>1.5437599517505818</v>
      </c>
    </row>
    <row r="82" spans="1:10" x14ac:dyDescent="0.25">
      <c r="A82" t="str">
        <f>$A$23</f>
        <v>Mixer</v>
      </c>
      <c r="B82" s="78">
        <f>L23</f>
        <v>1280</v>
      </c>
      <c r="C82" s="78">
        <f>M23</f>
        <v>1920</v>
      </c>
      <c r="D82" s="78">
        <f>N23</f>
        <v>2560</v>
      </c>
      <c r="E82" s="78">
        <f>O23</f>
        <v>3840</v>
      </c>
      <c r="F82" t="str">
        <f>$A$23</f>
        <v>Mixer</v>
      </c>
      <c r="G82" s="78">
        <f t="shared" si="29"/>
        <v>1.28</v>
      </c>
      <c r="H82" s="78">
        <f t="shared" si="29"/>
        <v>1.92</v>
      </c>
      <c r="I82" s="78">
        <f t="shared" si="29"/>
        <v>2.56</v>
      </c>
      <c r="J82" s="78">
        <f t="shared" si="29"/>
        <v>3.84</v>
      </c>
    </row>
    <row r="83" spans="1:10" x14ac:dyDescent="0.25">
      <c r="A83" t="str">
        <f>$A$27</f>
        <v>VCO</v>
      </c>
      <c r="B83" s="78">
        <f>L27</f>
        <v>7680</v>
      </c>
      <c r="C83" s="78">
        <f>M27</f>
        <v>11520</v>
      </c>
      <c r="D83" s="78">
        <f>N27</f>
        <v>15360</v>
      </c>
      <c r="E83" s="78">
        <f>O27</f>
        <v>23040</v>
      </c>
      <c r="F83" t="str">
        <f>$A$27</f>
        <v>VCO</v>
      </c>
      <c r="G83" s="78">
        <f t="shared" si="29"/>
        <v>7.68</v>
      </c>
      <c r="H83" s="78">
        <f t="shared" si="29"/>
        <v>11.52</v>
      </c>
      <c r="I83" s="78">
        <f t="shared" si="29"/>
        <v>15.36</v>
      </c>
      <c r="J83" s="78">
        <f t="shared" si="29"/>
        <v>23.04</v>
      </c>
    </row>
    <row r="84" spans="1:10" x14ac:dyDescent="0.25">
      <c r="A84" t="str">
        <f>$A$32</f>
        <v>PS</v>
      </c>
      <c r="B84" s="78">
        <f>L32</f>
        <v>0</v>
      </c>
      <c r="C84" s="78">
        <f>M32</f>
        <v>0</v>
      </c>
      <c r="D84" s="78">
        <f>N32</f>
        <v>0</v>
      </c>
      <c r="E84" s="78">
        <f>O32</f>
        <v>0</v>
      </c>
      <c r="F84" t="str">
        <f>$A$32</f>
        <v>PS</v>
      </c>
      <c r="G84" s="78">
        <f t="shared" si="29"/>
        <v>0</v>
      </c>
      <c r="H84" s="78">
        <f t="shared" si="29"/>
        <v>0</v>
      </c>
      <c r="I84" s="78">
        <f t="shared" si="29"/>
        <v>0</v>
      </c>
      <c r="J84" s="78">
        <f t="shared" si="29"/>
        <v>0</v>
      </c>
    </row>
    <row r="85" spans="1:10" x14ac:dyDescent="0.25">
      <c r="A85" t="str">
        <f>$A$37</f>
        <v>RF Amp</v>
      </c>
      <c r="B85" s="78">
        <f>L37</f>
        <v>5120</v>
      </c>
      <c r="C85" s="78">
        <f>M37</f>
        <v>7680</v>
      </c>
      <c r="D85" s="78">
        <f>N37</f>
        <v>10240</v>
      </c>
      <c r="E85" s="78">
        <f>O37</f>
        <v>15360</v>
      </c>
      <c r="F85" t="str">
        <f>$A$37</f>
        <v>RF Amp</v>
      </c>
      <c r="G85" s="78">
        <f t="shared" si="29"/>
        <v>5.12</v>
      </c>
      <c r="H85" s="78">
        <f t="shared" si="29"/>
        <v>7.68</v>
      </c>
      <c r="I85" s="78">
        <f t="shared" si="29"/>
        <v>10.24</v>
      </c>
      <c r="J85" s="78">
        <f t="shared" si="29"/>
        <v>15.36</v>
      </c>
    </row>
    <row r="86" spans="1:10" x14ac:dyDescent="0.25">
      <c r="A86" t="str">
        <f>$A$45</f>
        <v xml:space="preserve">PA </v>
      </c>
      <c r="B86" s="78">
        <f>L45</f>
        <v>174513.19576825097</v>
      </c>
      <c r="C86" s="78">
        <f t="shared" ref="C86:E86" si="30">M45</f>
        <v>95022.898051821248</v>
      </c>
      <c r="D86" s="78">
        <f t="shared" si="30"/>
        <v>63216.183298371441</v>
      </c>
      <c r="E86" s="78">
        <f t="shared" si="30"/>
        <v>37224.448451041986</v>
      </c>
      <c r="F86" t="str">
        <f>$A$45</f>
        <v xml:space="preserve">PA </v>
      </c>
      <c r="G86" s="78">
        <f t="shared" si="29"/>
        <v>174.51319576825097</v>
      </c>
      <c r="H86" s="78">
        <f t="shared" si="29"/>
        <v>95.022898051821244</v>
      </c>
      <c r="I86" s="78">
        <f t="shared" si="29"/>
        <v>63.21618329837144</v>
      </c>
      <c r="J86" s="78">
        <f t="shared" si="29"/>
        <v>37.224448451041987</v>
      </c>
    </row>
    <row r="87" spans="1:10" x14ac:dyDescent="0.25">
      <c r="A87" s="170" t="s">
        <v>545</v>
      </c>
      <c r="B87" s="170"/>
      <c r="C87" s="170"/>
      <c r="D87" s="170"/>
      <c r="E87" s="170"/>
    </row>
    <row r="88" spans="1:10" x14ac:dyDescent="0.25">
      <c r="B88" s="78">
        <f>P2</f>
        <v>128</v>
      </c>
      <c r="C88" s="78">
        <f>Q2</f>
        <v>192</v>
      </c>
      <c r="D88" s="78">
        <f>R2</f>
        <v>256</v>
      </c>
      <c r="E88" s="78">
        <f>S2</f>
        <v>384</v>
      </c>
      <c r="G88" s="78">
        <f t="shared" ref="G88:J88" si="31">B88</f>
        <v>128</v>
      </c>
      <c r="H88" s="78">
        <f t="shared" si="31"/>
        <v>192</v>
      </c>
      <c r="I88" s="78">
        <f t="shared" si="31"/>
        <v>256</v>
      </c>
      <c r="J88" s="78">
        <f t="shared" si="31"/>
        <v>384</v>
      </c>
    </row>
    <row r="89" spans="1:10" x14ac:dyDescent="0.25">
      <c r="A89" t="str">
        <f t="shared" ref="A89:A96" si="32">A79</f>
        <v>BB Precoding</v>
      </c>
      <c r="B89" s="78">
        <f>P12</f>
        <v>52224</v>
      </c>
      <c r="C89" s="78">
        <f>Q12</f>
        <v>78336</v>
      </c>
      <c r="D89" s="78">
        <f>R12</f>
        <v>104448</v>
      </c>
      <c r="E89" s="78">
        <f>S12</f>
        <v>156672</v>
      </c>
      <c r="F89" t="str">
        <f t="shared" ref="F89:F96" si="33">A89</f>
        <v>BB Precoding</v>
      </c>
      <c r="G89" s="78">
        <f>B89/1000</f>
        <v>52.223999999999997</v>
      </c>
      <c r="H89" s="78">
        <f t="shared" ref="H89:J96" si="34">C89/1000</f>
        <v>78.335999999999999</v>
      </c>
      <c r="I89" s="78">
        <f t="shared" si="34"/>
        <v>104.44799999999999</v>
      </c>
      <c r="J89" s="78">
        <f t="shared" si="34"/>
        <v>156.672</v>
      </c>
    </row>
    <row r="90" spans="1:10" x14ac:dyDescent="0.25">
      <c r="A90" t="str">
        <f t="shared" si="32"/>
        <v>SERDES</v>
      </c>
      <c r="B90" s="78">
        <f t="shared" ref="B90:E90" si="35">P15</f>
        <v>3432.0551987245108</v>
      </c>
      <c r="C90" s="78">
        <f t="shared" si="35"/>
        <v>3162.775198724511</v>
      </c>
      <c r="D90" s="78">
        <f t="shared" si="35"/>
        <v>2991.4151987245104</v>
      </c>
      <c r="E90" s="78">
        <f t="shared" si="35"/>
        <v>2778.3485320578443</v>
      </c>
      <c r="F90" t="str">
        <f t="shared" si="33"/>
        <v>SERDES</v>
      </c>
      <c r="G90" s="78">
        <f t="shared" ref="G90:G96" si="36">B90/1000</f>
        <v>3.4320551987245107</v>
      </c>
      <c r="H90" s="78">
        <f t="shared" si="34"/>
        <v>3.162775198724511</v>
      </c>
      <c r="I90" s="78">
        <f t="shared" si="34"/>
        <v>2.9914151987245106</v>
      </c>
      <c r="J90" s="78">
        <f t="shared" si="34"/>
        <v>2.7783485320578443</v>
      </c>
    </row>
    <row r="91" spans="1:10" x14ac:dyDescent="0.25">
      <c r="A91" t="str">
        <f t="shared" si="32"/>
        <v>DAC</v>
      </c>
      <c r="B91" s="78">
        <f t="shared" ref="B91:E91" si="37">P19</f>
        <v>1380.1444480348623</v>
      </c>
      <c r="C91" s="78">
        <f t="shared" si="37"/>
        <v>1468.9464158524192</v>
      </c>
      <c r="D91" s="78">
        <f t="shared" si="37"/>
        <v>1574.4187089754241</v>
      </c>
      <c r="E91" s="78">
        <f t="shared" si="37"/>
        <v>1800.14747639341</v>
      </c>
      <c r="F91" t="str">
        <f t="shared" si="33"/>
        <v>DAC</v>
      </c>
      <c r="G91" s="78">
        <f t="shared" si="36"/>
        <v>1.3801444480348624</v>
      </c>
      <c r="H91" s="78">
        <f t="shared" si="34"/>
        <v>1.4689464158524193</v>
      </c>
      <c r="I91" s="78">
        <f t="shared" si="34"/>
        <v>1.574418708975424</v>
      </c>
      <c r="J91" s="78">
        <f t="shared" si="34"/>
        <v>1.80014747639341</v>
      </c>
    </row>
    <row r="92" spans="1:10" x14ac:dyDescent="0.25">
      <c r="A92" t="str">
        <f t="shared" si="32"/>
        <v>Mixer</v>
      </c>
      <c r="B92" s="78">
        <f t="shared" ref="B92:E92" si="38">P23</f>
        <v>1280</v>
      </c>
      <c r="C92" s="78">
        <f t="shared" si="38"/>
        <v>1920</v>
      </c>
      <c r="D92" s="78">
        <f t="shared" si="38"/>
        <v>2560</v>
      </c>
      <c r="E92" s="78">
        <f t="shared" si="38"/>
        <v>3840</v>
      </c>
      <c r="F92" t="str">
        <f t="shared" si="33"/>
        <v>Mixer</v>
      </c>
      <c r="G92" s="78">
        <f t="shared" si="36"/>
        <v>1.28</v>
      </c>
      <c r="H92" s="78">
        <f t="shared" si="34"/>
        <v>1.92</v>
      </c>
      <c r="I92" s="78">
        <f t="shared" si="34"/>
        <v>2.56</v>
      </c>
      <c r="J92" s="78">
        <f t="shared" si="34"/>
        <v>3.84</v>
      </c>
    </row>
    <row r="93" spans="1:10" x14ac:dyDescent="0.25">
      <c r="A93" t="str">
        <f t="shared" si="32"/>
        <v>VCO</v>
      </c>
      <c r="B93" s="78">
        <f t="shared" ref="B93:E93" si="39">P27</f>
        <v>7680</v>
      </c>
      <c r="C93" s="78">
        <f t="shared" si="39"/>
        <v>11520</v>
      </c>
      <c r="D93" s="78">
        <f t="shared" si="39"/>
        <v>15360</v>
      </c>
      <c r="E93" s="78">
        <f t="shared" si="39"/>
        <v>23040</v>
      </c>
      <c r="F93" t="str">
        <f t="shared" si="33"/>
        <v>VCO</v>
      </c>
      <c r="G93" s="78">
        <f t="shared" si="36"/>
        <v>7.68</v>
      </c>
      <c r="H93" s="78">
        <f t="shared" si="34"/>
        <v>11.52</v>
      </c>
      <c r="I93" s="78">
        <f t="shared" si="34"/>
        <v>15.36</v>
      </c>
      <c r="J93" s="78">
        <f t="shared" si="34"/>
        <v>23.04</v>
      </c>
    </row>
    <row r="94" spans="1:10" x14ac:dyDescent="0.25">
      <c r="A94" t="str">
        <f t="shared" si="32"/>
        <v>PS</v>
      </c>
      <c r="B94" s="78">
        <f t="shared" ref="B94:E94" si="40">P32</f>
        <v>0</v>
      </c>
      <c r="C94" s="78">
        <f t="shared" si="40"/>
        <v>0</v>
      </c>
      <c r="D94" s="78">
        <f t="shared" si="40"/>
        <v>0</v>
      </c>
      <c r="E94" s="78">
        <f t="shared" si="40"/>
        <v>0</v>
      </c>
      <c r="F94" t="str">
        <f t="shared" si="33"/>
        <v>PS</v>
      </c>
      <c r="G94" s="78">
        <f t="shared" si="36"/>
        <v>0</v>
      </c>
      <c r="H94" s="78">
        <f t="shared" si="34"/>
        <v>0</v>
      </c>
      <c r="I94" s="78">
        <f t="shared" si="34"/>
        <v>0</v>
      </c>
      <c r="J94" s="78">
        <f t="shared" si="34"/>
        <v>0</v>
      </c>
    </row>
    <row r="95" spans="1:10" x14ac:dyDescent="0.25">
      <c r="A95" t="str">
        <f t="shared" si="32"/>
        <v>RF Amp</v>
      </c>
      <c r="B95" s="78">
        <f t="shared" ref="B95:E95" si="41">P37</f>
        <v>5120</v>
      </c>
      <c r="C95" s="78">
        <f t="shared" si="41"/>
        <v>7680</v>
      </c>
      <c r="D95" s="78">
        <f t="shared" si="41"/>
        <v>10240</v>
      </c>
      <c r="E95" s="78">
        <f t="shared" si="41"/>
        <v>15360</v>
      </c>
      <c r="F95" t="str">
        <f t="shared" si="33"/>
        <v>RF Amp</v>
      </c>
      <c r="G95" s="78">
        <f t="shared" si="36"/>
        <v>5.12</v>
      </c>
      <c r="H95" s="78">
        <f t="shared" si="34"/>
        <v>7.68</v>
      </c>
      <c r="I95" s="78">
        <f t="shared" si="34"/>
        <v>10.24</v>
      </c>
      <c r="J95" s="78">
        <f t="shared" si="34"/>
        <v>15.36</v>
      </c>
    </row>
    <row r="96" spans="1:10" x14ac:dyDescent="0.25">
      <c r="A96" t="str">
        <f t="shared" si="32"/>
        <v xml:space="preserve">PA </v>
      </c>
      <c r="B96" s="78">
        <f t="shared" ref="B96:E96" si="42">P45</f>
        <v>265967.31658456835</v>
      </c>
      <c r="C96" s="78">
        <f t="shared" si="42"/>
        <v>134223.41109705818</v>
      </c>
      <c r="D96" s="78">
        <f t="shared" si="42"/>
        <v>86861.689352047542</v>
      </c>
      <c r="E96" s="78">
        <f t="shared" si="42"/>
        <v>50562.468872840742</v>
      </c>
      <c r="F96" t="str">
        <f t="shared" si="33"/>
        <v xml:space="preserve">PA </v>
      </c>
      <c r="G96" s="78">
        <f t="shared" si="36"/>
        <v>265.96731658456838</v>
      </c>
      <c r="H96" s="78">
        <f t="shared" si="34"/>
        <v>134.22341109705818</v>
      </c>
      <c r="I96" s="78">
        <f t="shared" si="34"/>
        <v>86.861689352047549</v>
      </c>
      <c r="J96" s="78">
        <f t="shared" si="34"/>
        <v>50.562468872840739</v>
      </c>
    </row>
    <row r="98" spans="1:5" x14ac:dyDescent="0.25">
      <c r="B98" t="s">
        <v>546</v>
      </c>
      <c r="C98" t="s">
        <v>547</v>
      </c>
      <c r="D98" t="s">
        <v>548</v>
      </c>
    </row>
    <row r="99" spans="1:5" x14ac:dyDescent="0.25">
      <c r="A99" t="str">
        <f t="shared" ref="A99:A106" si="43">A89</f>
        <v>BB Precoding</v>
      </c>
      <c r="B99" s="74">
        <f>'Power Chart'!B3</f>
        <v>1004.3076923076923</v>
      </c>
      <c r="C99" s="78">
        <f t="shared" ref="C99:C106" si="44">C69</f>
        <v>78336</v>
      </c>
      <c r="D99" s="78">
        <f t="shared" ref="D99:D106" si="45">D89</f>
        <v>104448</v>
      </c>
      <c r="E99" s="78"/>
    </row>
    <row r="100" spans="1:5" x14ac:dyDescent="0.25">
      <c r="A100" t="str">
        <f t="shared" si="43"/>
        <v>SERDES</v>
      </c>
      <c r="B100" s="74">
        <f>'Power Chart'!B4</f>
        <v>654.69379968112764</v>
      </c>
      <c r="C100" s="78">
        <f t="shared" si="44"/>
        <v>1386.9075993622553</v>
      </c>
      <c r="D100" s="78">
        <f t="shared" si="45"/>
        <v>2991.4151987245104</v>
      </c>
      <c r="E100" s="78"/>
    </row>
    <row r="101" spans="1:5" x14ac:dyDescent="0.25">
      <c r="A101" t="str">
        <f t="shared" si="43"/>
        <v>DAC</v>
      </c>
      <c r="B101" s="74">
        <f>'Power Chart'!B5</f>
        <v>489.64880528413926</v>
      </c>
      <c r="C101" s="78">
        <f t="shared" si="44"/>
        <v>894.88969493173568</v>
      </c>
      <c r="D101" s="78">
        <f t="shared" si="45"/>
        <v>1574.4187089754241</v>
      </c>
      <c r="E101" s="78"/>
    </row>
    <row r="102" spans="1:5" x14ac:dyDescent="0.25">
      <c r="A102" t="str">
        <f t="shared" si="43"/>
        <v>Mixer</v>
      </c>
      <c r="B102" s="74">
        <f>'Power Chart'!B6</f>
        <v>1280</v>
      </c>
      <c r="C102" s="78">
        <f t="shared" si="44"/>
        <v>1920</v>
      </c>
      <c r="D102" s="78">
        <f t="shared" si="45"/>
        <v>2560</v>
      </c>
      <c r="E102" s="78"/>
    </row>
    <row r="103" spans="1:5" x14ac:dyDescent="0.25">
      <c r="A103" t="str">
        <f t="shared" si="43"/>
        <v>VCO</v>
      </c>
      <c r="B103" s="74">
        <f>'Power Chart'!B7</f>
        <v>7680</v>
      </c>
      <c r="C103" s="78">
        <f t="shared" si="44"/>
        <v>11520</v>
      </c>
      <c r="D103" s="78">
        <f t="shared" si="45"/>
        <v>15360</v>
      </c>
      <c r="E103" s="78"/>
    </row>
    <row r="104" spans="1:5" x14ac:dyDescent="0.25">
      <c r="A104" t="str">
        <f t="shared" si="43"/>
        <v>PS</v>
      </c>
      <c r="B104" s="74">
        <f>'Power Chart'!B8</f>
        <v>0</v>
      </c>
      <c r="C104" s="78">
        <f t="shared" si="44"/>
        <v>0</v>
      </c>
      <c r="D104" s="78">
        <f t="shared" si="45"/>
        <v>0</v>
      </c>
      <c r="E104" s="78"/>
    </row>
    <row r="105" spans="1:5" x14ac:dyDescent="0.25">
      <c r="A105" t="str">
        <f t="shared" si="43"/>
        <v>RF Amp</v>
      </c>
      <c r="B105" s="74">
        <f>'Power Chart'!B9</f>
        <v>5120</v>
      </c>
      <c r="C105" s="78">
        <f t="shared" si="44"/>
        <v>7680</v>
      </c>
      <c r="D105" s="78">
        <f t="shared" si="45"/>
        <v>10240</v>
      </c>
      <c r="E105" s="78"/>
    </row>
    <row r="106" spans="1:5" x14ac:dyDescent="0.25">
      <c r="A106" t="str">
        <f t="shared" si="43"/>
        <v xml:space="preserve">PA </v>
      </c>
      <c r="B106" s="74">
        <f>'Power Chart'!B10</f>
        <v>33715.396512563239</v>
      </c>
      <c r="C106" s="78">
        <f t="shared" si="44"/>
        <v>49983.685077741771</v>
      </c>
      <c r="D106" s="78">
        <f t="shared" si="45"/>
        <v>86861.689352047542</v>
      </c>
      <c r="E106" s="78"/>
    </row>
  </sheetData>
  <mergeCells count="5">
    <mergeCell ref="A57:E57"/>
    <mergeCell ref="F57:J57"/>
    <mergeCell ref="A67:E67"/>
    <mergeCell ref="A77:E77"/>
    <mergeCell ref="A87:E87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637B-0568-4156-85CE-4D580E75CDF8}">
  <dimension ref="A1:V108"/>
  <sheetViews>
    <sheetView topLeftCell="A89" workbookViewId="0">
      <selection activeCell="H108" sqref="H108"/>
    </sheetView>
  </sheetViews>
  <sheetFormatPr defaultRowHeight="15" x14ac:dyDescent="0.25"/>
  <cols>
    <col min="1" max="1" width="29.42578125" customWidth="1"/>
    <col min="2" max="2" width="15" customWidth="1"/>
    <col min="3" max="3" width="13.5703125" customWidth="1"/>
    <col min="4" max="4" width="12.140625" customWidth="1"/>
    <col min="5" max="5" width="13.140625" customWidth="1"/>
    <col min="6" max="7" width="13.28515625" customWidth="1"/>
    <col min="8" max="8" width="12.7109375" customWidth="1"/>
    <col min="9" max="9" width="13.42578125" customWidth="1"/>
    <col min="10" max="10" width="11.7109375" customWidth="1"/>
    <col min="11" max="12" width="13" customWidth="1"/>
    <col min="13" max="13" width="13.140625" customWidth="1"/>
    <col min="14" max="14" width="11.85546875" customWidth="1"/>
    <col min="15" max="16" width="13.140625" customWidth="1"/>
    <col min="23" max="23" width="12" bestFit="1" customWidth="1"/>
  </cols>
  <sheetData>
    <row r="1" spans="1:22" x14ac:dyDescent="0.25">
      <c r="A1" s="126" t="s">
        <v>343</v>
      </c>
      <c r="B1" s="126" t="s">
        <v>326</v>
      </c>
      <c r="C1" s="2" t="s">
        <v>481</v>
      </c>
      <c r="D1" s="2" t="s">
        <v>449</v>
      </c>
      <c r="E1" s="2" t="s">
        <v>448</v>
      </c>
      <c r="F1" s="2" t="s">
        <v>450</v>
      </c>
      <c r="G1" s="2" t="s">
        <v>451</v>
      </c>
      <c r="H1" s="2" t="s">
        <v>466</v>
      </c>
      <c r="I1" s="101" t="s">
        <v>452</v>
      </c>
      <c r="J1" s="101" t="s">
        <v>453</v>
      </c>
      <c r="K1" s="101" t="s">
        <v>454</v>
      </c>
      <c r="L1" s="101" t="s">
        <v>455</v>
      </c>
      <c r="M1" s="102" t="s">
        <v>457</v>
      </c>
      <c r="N1" s="102" t="s">
        <v>456</v>
      </c>
      <c r="O1" s="102" t="s">
        <v>458</v>
      </c>
      <c r="P1" s="102" t="s">
        <v>459</v>
      </c>
    </row>
    <row r="2" spans="1:22" x14ac:dyDescent="0.25">
      <c r="A2" s="62" t="s">
        <v>356</v>
      </c>
      <c r="B2" s="126" t="s">
        <v>330</v>
      </c>
      <c r="C2" s="29">
        <v>1024</v>
      </c>
      <c r="D2" s="29">
        <v>256</v>
      </c>
      <c r="E2" s="29">
        <v>384</v>
      </c>
      <c r="F2" s="29">
        <v>512</v>
      </c>
      <c r="G2" s="29">
        <v>768</v>
      </c>
      <c r="H2" s="29">
        <v>1024</v>
      </c>
      <c r="I2" s="39">
        <v>1024</v>
      </c>
      <c r="J2" s="39">
        <v>1536</v>
      </c>
      <c r="K2" s="39">
        <v>2048</v>
      </c>
      <c r="L2" s="39">
        <v>2560</v>
      </c>
      <c r="M2" s="50">
        <v>1024</v>
      </c>
      <c r="N2" s="50">
        <v>2048</v>
      </c>
      <c r="O2" s="50">
        <v>3072</v>
      </c>
      <c r="P2" s="50">
        <v>4096</v>
      </c>
    </row>
    <row r="3" spans="1:22" x14ac:dyDescent="0.25">
      <c r="A3" s="62" t="s">
        <v>355</v>
      </c>
      <c r="B3" s="126" t="s">
        <v>330</v>
      </c>
      <c r="C3" s="29">
        <f t="shared" ref="C3:P3" si="0">C2/C4</f>
        <v>64</v>
      </c>
      <c r="D3" s="29">
        <f t="shared" si="0"/>
        <v>16</v>
      </c>
      <c r="E3" s="29">
        <f t="shared" si="0"/>
        <v>24</v>
      </c>
      <c r="F3" s="29">
        <f t="shared" si="0"/>
        <v>32</v>
      </c>
      <c r="G3" s="29">
        <f t="shared" si="0"/>
        <v>48</v>
      </c>
      <c r="H3" s="29">
        <f t="shared" si="0"/>
        <v>64</v>
      </c>
      <c r="I3" s="39">
        <f t="shared" si="0"/>
        <v>64</v>
      </c>
      <c r="J3" s="39">
        <f t="shared" si="0"/>
        <v>96</v>
      </c>
      <c r="K3" s="39">
        <f t="shared" si="0"/>
        <v>128</v>
      </c>
      <c r="L3" s="39">
        <f t="shared" si="0"/>
        <v>160</v>
      </c>
      <c r="M3" s="50">
        <f t="shared" si="0"/>
        <v>64</v>
      </c>
      <c r="N3" s="50">
        <f t="shared" si="0"/>
        <v>128</v>
      </c>
      <c r="O3" s="50">
        <f t="shared" si="0"/>
        <v>192</v>
      </c>
      <c r="P3" s="50">
        <f t="shared" si="0"/>
        <v>256</v>
      </c>
    </row>
    <row r="4" spans="1:22" x14ac:dyDescent="0.25">
      <c r="A4" s="62" t="s">
        <v>357</v>
      </c>
      <c r="B4" s="126" t="s">
        <v>330</v>
      </c>
      <c r="C4" s="29">
        <v>16</v>
      </c>
      <c r="D4" s="29">
        <v>16</v>
      </c>
      <c r="E4" s="29">
        <v>16</v>
      </c>
      <c r="F4" s="29">
        <v>16</v>
      </c>
      <c r="G4" s="29">
        <v>16</v>
      </c>
      <c r="H4" s="29">
        <v>16</v>
      </c>
      <c r="I4" s="29">
        <v>16</v>
      </c>
      <c r="J4" s="29">
        <v>16</v>
      </c>
      <c r="K4" s="29">
        <v>16</v>
      </c>
      <c r="L4" s="29">
        <v>16</v>
      </c>
      <c r="M4" s="29">
        <v>16</v>
      </c>
      <c r="N4" s="29">
        <v>16</v>
      </c>
      <c r="O4" s="29">
        <v>16</v>
      </c>
      <c r="P4" s="29">
        <v>16</v>
      </c>
    </row>
    <row r="5" spans="1:22" x14ac:dyDescent="0.25">
      <c r="A5" s="62" t="s">
        <v>463</v>
      </c>
      <c r="B5" s="126" t="s">
        <v>342</v>
      </c>
      <c r="C5" s="25" t="s">
        <v>20</v>
      </c>
      <c r="D5" s="29">
        <v>8</v>
      </c>
      <c r="E5" s="29">
        <v>8</v>
      </c>
      <c r="F5" s="29">
        <v>8</v>
      </c>
      <c r="G5" s="29">
        <v>8</v>
      </c>
      <c r="H5" s="29">
        <v>8</v>
      </c>
      <c r="I5" s="39">
        <v>16</v>
      </c>
      <c r="J5" s="39">
        <v>16</v>
      </c>
      <c r="K5" s="39">
        <v>16</v>
      </c>
      <c r="L5" s="39">
        <v>16</v>
      </c>
      <c r="M5" s="50">
        <v>32</v>
      </c>
      <c r="N5" s="50">
        <v>32</v>
      </c>
      <c r="O5" s="50">
        <v>32</v>
      </c>
      <c r="P5" s="50">
        <v>32</v>
      </c>
      <c r="V5" s="1"/>
    </row>
    <row r="6" spans="1:22" x14ac:dyDescent="0.25">
      <c r="A6" s="62" t="s">
        <v>262</v>
      </c>
      <c r="B6" s="126" t="s">
        <v>330</v>
      </c>
      <c r="C6" s="29">
        <f t="shared" ref="C6:P6" si="1">C3</f>
        <v>64</v>
      </c>
      <c r="D6" s="29">
        <f t="shared" si="1"/>
        <v>16</v>
      </c>
      <c r="E6" s="29">
        <f t="shared" si="1"/>
        <v>24</v>
      </c>
      <c r="F6" s="29">
        <f t="shared" si="1"/>
        <v>32</v>
      </c>
      <c r="G6" s="29">
        <f t="shared" si="1"/>
        <v>48</v>
      </c>
      <c r="H6" s="29">
        <f t="shared" si="1"/>
        <v>64</v>
      </c>
      <c r="I6" s="39">
        <f t="shared" si="1"/>
        <v>64</v>
      </c>
      <c r="J6" s="39">
        <f t="shared" si="1"/>
        <v>96</v>
      </c>
      <c r="K6" s="39">
        <f t="shared" si="1"/>
        <v>128</v>
      </c>
      <c r="L6" s="39">
        <f t="shared" si="1"/>
        <v>160</v>
      </c>
      <c r="M6" s="50">
        <f t="shared" si="1"/>
        <v>64</v>
      </c>
      <c r="N6" s="50">
        <f t="shared" si="1"/>
        <v>128</v>
      </c>
      <c r="O6" s="50">
        <f t="shared" si="1"/>
        <v>192</v>
      </c>
      <c r="P6" s="50">
        <f t="shared" si="1"/>
        <v>256</v>
      </c>
    </row>
    <row r="7" spans="1:22" x14ac:dyDescent="0.25">
      <c r="A7" s="62" t="s">
        <v>260</v>
      </c>
      <c r="B7" s="126" t="s">
        <v>342</v>
      </c>
      <c r="C7" s="43">
        <f>C9*2</f>
        <v>1.7</v>
      </c>
      <c r="D7" s="43">
        <f t="shared" ref="D7:P7" si="2">D9*2</f>
        <v>1.7</v>
      </c>
      <c r="E7" s="43">
        <f t="shared" si="2"/>
        <v>1.7</v>
      </c>
      <c r="F7" s="43">
        <f t="shared" si="2"/>
        <v>1.7</v>
      </c>
      <c r="G7" s="43">
        <f t="shared" si="2"/>
        <v>1.7</v>
      </c>
      <c r="H7" s="43">
        <f t="shared" si="2"/>
        <v>1.7</v>
      </c>
      <c r="I7" s="43">
        <f t="shared" si="2"/>
        <v>1.7</v>
      </c>
      <c r="J7" s="43">
        <f t="shared" si="2"/>
        <v>1.7</v>
      </c>
      <c r="K7" s="43">
        <f t="shared" si="2"/>
        <v>1.7</v>
      </c>
      <c r="L7" s="43">
        <f t="shared" si="2"/>
        <v>1.7</v>
      </c>
      <c r="M7" s="43">
        <f t="shared" si="2"/>
        <v>1.7</v>
      </c>
      <c r="N7" s="43">
        <f t="shared" si="2"/>
        <v>1.7</v>
      </c>
      <c r="O7" s="43">
        <f t="shared" si="2"/>
        <v>1.7</v>
      </c>
      <c r="P7" s="43">
        <f t="shared" si="2"/>
        <v>1.7</v>
      </c>
    </row>
    <row r="8" spans="1:22" x14ac:dyDescent="0.25">
      <c r="A8" s="62" t="s">
        <v>261</v>
      </c>
      <c r="B8" s="126" t="s">
        <v>342</v>
      </c>
      <c r="C8" s="25">
        <v>7</v>
      </c>
      <c r="D8" s="25">
        <f t="shared" ref="D8:P8" si="3">(10+10-1.76+D10+D47+10*LOG10(D2/D5/D5))/6</f>
        <v>7.1706916498686217</v>
      </c>
      <c r="E8" s="25">
        <f t="shared" si="3"/>
        <v>7.2858437482947567</v>
      </c>
      <c r="F8" s="25">
        <f t="shared" si="3"/>
        <v>7.2424083093085905</v>
      </c>
      <c r="G8" s="25">
        <f t="shared" si="3"/>
        <v>7.119227074401393</v>
      </c>
      <c r="H8" s="25">
        <f t="shared" si="3"/>
        <v>7.1424583020818915</v>
      </c>
      <c r="I8" s="25">
        <f t="shared" si="3"/>
        <v>7.4206916498686217</v>
      </c>
      <c r="J8" s="25">
        <f t="shared" si="3"/>
        <v>7.3758437482947565</v>
      </c>
      <c r="K8" s="25">
        <f t="shared" si="3"/>
        <v>7.3107416426419229</v>
      </c>
      <c r="L8" s="25">
        <f t="shared" si="3"/>
        <v>7.1322583309886838</v>
      </c>
      <c r="M8" s="25">
        <f t="shared" si="3"/>
        <v>7.9305916643220167</v>
      </c>
      <c r="N8" s="25">
        <f t="shared" si="3"/>
        <v>7.9489749904286526</v>
      </c>
      <c r="O8" s="25">
        <f t="shared" si="3"/>
        <v>7.6557937555214552</v>
      </c>
      <c r="P8" s="25">
        <f t="shared" si="3"/>
        <v>7.4340249832019545</v>
      </c>
    </row>
    <row r="9" spans="1:22" x14ac:dyDescent="0.25">
      <c r="A9" s="62" t="s">
        <v>268</v>
      </c>
      <c r="B9" s="126" t="s">
        <v>342</v>
      </c>
      <c r="C9" s="43">
        <v>0.85</v>
      </c>
      <c r="D9" s="43">
        <v>0.85</v>
      </c>
      <c r="E9" s="43">
        <v>0.85</v>
      </c>
      <c r="F9" s="43">
        <v>0.85</v>
      </c>
      <c r="G9" s="43">
        <v>0.85</v>
      </c>
      <c r="H9" s="25">
        <v>0.85</v>
      </c>
      <c r="I9" s="31">
        <v>0.85</v>
      </c>
      <c r="J9" s="31">
        <v>0.85</v>
      </c>
      <c r="K9" s="31">
        <v>0.85</v>
      </c>
      <c r="L9" s="31">
        <v>0.85</v>
      </c>
      <c r="M9" s="32">
        <v>0.85</v>
      </c>
      <c r="N9" s="32">
        <v>0.85</v>
      </c>
      <c r="O9" s="32">
        <v>0.85</v>
      </c>
      <c r="P9" s="32">
        <v>0.85</v>
      </c>
    </row>
    <row r="10" spans="1:22" x14ac:dyDescent="0.25">
      <c r="A10" s="62" t="s">
        <v>530</v>
      </c>
      <c r="B10" s="33" t="s">
        <v>342</v>
      </c>
      <c r="C10" s="25" t="s">
        <v>20</v>
      </c>
      <c r="D10" s="25">
        <v>18.693549985932108</v>
      </c>
      <c r="E10" s="25">
        <v>18.693549985932108</v>
      </c>
      <c r="F10" s="25">
        <v>18.693549985932108</v>
      </c>
      <c r="G10" s="25">
        <v>18.693549985932108</v>
      </c>
      <c r="H10" s="25">
        <v>18.693549985932108</v>
      </c>
      <c r="I10" s="25">
        <v>18.693549985932108</v>
      </c>
      <c r="J10" s="25">
        <v>18.693549985932108</v>
      </c>
      <c r="K10" s="25">
        <v>18.693549985932108</v>
      </c>
      <c r="L10" s="25">
        <v>18.693549985932108</v>
      </c>
      <c r="M10" s="25">
        <v>18.693549985932108</v>
      </c>
      <c r="N10" s="25">
        <v>18.693549985932108</v>
      </c>
      <c r="O10" s="25">
        <v>18.693549985932108</v>
      </c>
      <c r="P10" s="25">
        <v>18.693549985932108</v>
      </c>
    </row>
    <row r="11" spans="1:22" x14ac:dyDescent="0.25">
      <c r="A11" s="55" t="s">
        <v>531</v>
      </c>
      <c r="B11" s="33" t="s">
        <v>341</v>
      </c>
      <c r="C11" s="25" t="s">
        <v>20</v>
      </c>
      <c r="D11" s="25">
        <f>100</f>
        <v>100</v>
      </c>
      <c r="E11" s="25">
        <f>100</f>
        <v>100</v>
      </c>
      <c r="F11" s="25">
        <f>100</f>
        <v>100</v>
      </c>
      <c r="G11" s="25">
        <f>100</f>
        <v>100</v>
      </c>
      <c r="H11" s="25">
        <f>100</f>
        <v>100</v>
      </c>
      <c r="I11" s="25">
        <f>100*I5/8</f>
        <v>200</v>
      </c>
      <c r="J11" s="25">
        <f t="shared" ref="J11:P11" si="4">100*J5/8</f>
        <v>200</v>
      </c>
      <c r="K11" s="25">
        <f t="shared" si="4"/>
        <v>200</v>
      </c>
      <c r="L11" s="25">
        <f t="shared" si="4"/>
        <v>200</v>
      </c>
      <c r="M11" s="25">
        <f t="shared" si="4"/>
        <v>400</v>
      </c>
      <c r="N11" s="25">
        <f t="shared" si="4"/>
        <v>400</v>
      </c>
      <c r="O11" s="25">
        <f t="shared" si="4"/>
        <v>400</v>
      </c>
      <c r="P11" s="25">
        <f t="shared" si="4"/>
        <v>400</v>
      </c>
    </row>
    <row r="12" spans="1:22" x14ac:dyDescent="0.25">
      <c r="A12" s="55" t="s">
        <v>409</v>
      </c>
      <c r="B12" s="33" t="s">
        <v>366</v>
      </c>
      <c r="C12" s="25" t="s">
        <v>20</v>
      </c>
      <c r="D12" s="35">
        <f>D9*10^9*D5*D5*6/(D11*10^9)*10^3</f>
        <v>3264</v>
      </c>
      <c r="E12" s="35">
        <f t="shared" ref="E12:P12" si="5">E9*10^9*E5*E5*6/(E11*10^9)*10^3</f>
        <v>3264</v>
      </c>
      <c r="F12" s="35">
        <f t="shared" si="5"/>
        <v>3264</v>
      </c>
      <c r="G12" s="35">
        <f t="shared" si="5"/>
        <v>3264</v>
      </c>
      <c r="H12" s="35">
        <f t="shared" si="5"/>
        <v>3264</v>
      </c>
      <c r="I12" s="35">
        <f t="shared" si="5"/>
        <v>6528</v>
      </c>
      <c r="J12" s="35">
        <f t="shared" si="5"/>
        <v>6528</v>
      </c>
      <c r="K12" s="35">
        <f t="shared" si="5"/>
        <v>6528</v>
      </c>
      <c r="L12" s="35">
        <f t="shared" si="5"/>
        <v>6528</v>
      </c>
      <c r="M12" s="35">
        <f t="shared" si="5"/>
        <v>13056</v>
      </c>
      <c r="N12" s="35">
        <f t="shared" si="5"/>
        <v>13056</v>
      </c>
      <c r="O12" s="35">
        <f t="shared" si="5"/>
        <v>13056</v>
      </c>
      <c r="P12" s="35">
        <f t="shared" si="5"/>
        <v>13056</v>
      </c>
    </row>
    <row r="13" spans="1:22" x14ac:dyDescent="0.25">
      <c r="A13" s="55" t="s">
        <v>532</v>
      </c>
      <c r="B13" s="33" t="s">
        <v>340</v>
      </c>
      <c r="C13" s="51">
        <v>1</v>
      </c>
      <c r="D13" s="25" t="s">
        <v>20</v>
      </c>
      <c r="E13" s="25" t="s">
        <v>20</v>
      </c>
      <c r="F13" s="25" t="s">
        <v>20</v>
      </c>
      <c r="G13" s="25" t="s">
        <v>20</v>
      </c>
      <c r="H13" s="25" t="s">
        <v>20</v>
      </c>
      <c r="I13" s="31" t="s">
        <v>20</v>
      </c>
      <c r="J13" s="31" t="s">
        <v>20</v>
      </c>
      <c r="K13" s="31" t="s">
        <v>20</v>
      </c>
      <c r="L13" s="31" t="s">
        <v>20</v>
      </c>
      <c r="M13" s="32" t="s">
        <v>20</v>
      </c>
      <c r="N13" s="32" t="s">
        <v>20</v>
      </c>
      <c r="O13" s="32" t="s">
        <v>20</v>
      </c>
      <c r="P13" s="32" t="s">
        <v>20</v>
      </c>
    </row>
    <row r="14" spans="1:22" x14ac:dyDescent="0.25">
      <c r="A14" s="55" t="s">
        <v>495</v>
      </c>
      <c r="B14" s="33" t="s">
        <v>341</v>
      </c>
      <c r="C14" s="51" t="s">
        <v>20</v>
      </c>
      <c r="D14" s="25">
        <v>10</v>
      </c>
      <c r="E14" s="25">
        <v>10</v>
      </c>
      <c r="F14" s="25">
        <v>10</v>
      </c>
      <c r="G14" s="25">
        <v>10</v>
      </c>
      <c r="H14" s="25">
        <v>10</v>
      </c>
      <c r="I14" s="25">
        <v>10</v>
      </c>
      <c r="J14" s="25">
        <v>10</v>
      </c>
      <c r="K14" s="25">
        <v>10</v>
      </c>
      <c r="L14" s="25">
        <v>10</v>
      </c>
      <c r="M14" s="25">
        <v>10</v>
      </c>
      <c r="N14" s="25">
        <v>10</v>
      </c>
      <c r="O14" s="25">
        <v>10</v>
      </c>
      <c r="P14" s="25">
        <v>10</v>
      </c>
    </row>
    <row r="15" spans="1:22" x14ac:dyDescent="0.25">
      <c r="A15" s="55" t="s">
        <v>410</v>
      </c>
      <c r="B15" s="33" t="s">
        <v>366</v>
      </c>
      <c r="C15" s="25" t="s">
        <v>20</v>
      </c>
      <c r="D15" s="35">
        <f>D5*D8*D7*D14</f>
        <v>975.21406438213251</v>
      </c>
      <c r="E15" s="35">
        <f t="shared" ref="E15:P15" si="6">E5*E8*E7*E14</f>
        <v>990.87474976808699</v>
      </c>
      <c r="F15" s="35">
        <f t="shared" si="6"/>
        <v>984.96753006596828</v>
      </c>
      <c r="G15" s="35">
        <f t="shared" si="6"/>
        <v>968.21488211858946</v>
      </c>
      <c r="H15" s="35">
        <f t="shared" si="6"/>
        <v>971.37432908313724</v>
      </c>
      <c r="I15" s="35">
        <f t="shared" si="6"/>
        <v>2018.428128764265</v>
      </c>
      <c r="J15" s="35">
        <f t="shared" si="6"/>
        <v>2006.2294995361735</v>
      </c>
      <c r="K15" s="35">
        <f t="shared" si="6"/>
        <v>1988.5217267986031</v>
      </c>
      <c r="L15" s="35">
        <f t="shared" si="6"/>
        <v>1939.9742660289221</v>
      </c>
      <c r="M15" s="35">
        <f t="shared" si="6"/>
        <v>4314.2418653911764</v>
      </c>
      <c r="N15" s="35">
        <f t="shared" si="6"/>
        <v>4324.2423947931875</v>
      </c>
      <c r="O15" s="35">
        <f t="shared" si="6"/>
        <v>4164.7518030036717</v>
      </c>
      <c r="P15" s="35">
        <f t="shared" si="6"/>
        <v>4044.1095908618631</v>
      </c>
    </row>
    <row r="16" spans="1:22" x14ac:dyDescent="0.25">
      <c r="A16" s="57" t="s">
        <v>189</v>
      </c>
      <c r="B16" s="126" t="s">
        <v>337</v>
      </c>
      <c r="C16" s="25" t="s">
        <v>20</v>
      </c>
      <c r="D16" s="25">
        <f>D20*D7*2^D8</f>
        <v>19.594409707037563</v>
      </c>
      <c r="E16" s="25">
        <f>E20*E7*2^E8</f>
        <v>21.222494041884637</v>
      </c>
      <c r="F16" s="25">
        <f>F20*F7*2^F8</f>
        <v>20.593067845642214</v>
      </c>
      <c r="G16" s="25">
        <f>G20*G7*2^G8</f>
        <v>18.907747924200262</v>
      </c>
      <c r="H16" s="25">
        <f>H20*H7*2^H8</f>
        <v>19.214677519131648</v>
      </c>
      <c r="I16" s="31">
        <f>D20*I7*2^I8</f>
        <v>23.301811437887444</v>
      </c>
      <c r="J16" s="31">
        <f>E20*J7*2^J8</f>
        <v>22.588589855476087</v>
      </c>
      <c r="K16" s="31">
        <f>F20*K7*2^K8</f>
        <v>21.591928496863986</v>
      </c>
      <c r="L16" s="31">
        <f>H20*L7*2^L8</f>
        <v>19.079307291877022</v>
      </c>
      <c r="M16" s="32">
        <f>H20*M7*2^M8</f>
        <v>33.180649481253184</v>
      </c>
      <c r="N16" s="32">
        <f>I20*N7*2^N8</f>
        <v>33.606154159655325</v>
      </c>
      <c r="O16" s="32">
        <f>J20*O7*2^O8</f>
        <v>27.425999856408016</v>
      </c>
      <c r="P16" s="32">
        <f>K20*P7*2^P8</f>
        <v>23.518164124964805</v>
      </c>
    </row>
    <row r="17" spans="1:16" x14ac:dyDescent="0.25">
      <c r="A17" s="58" t="s">
        <v>272</v>
      </c>
      <c r="B17" s="41" t="s">
        <v>339</v>
      </c>
      <c r="C17" s="2">
        <v>0.05</v>
      </c>
      <c r="D17" s="25" t="s">
        <v>20</v>
      </c>
      <c r="E17" s="25" t="s">
        <v>20</v>
      </c>
      <c r="F17" s="25" t="s">
        <v>20</v>
      </c>
      <c r="G17" s="25" t="s">
        <v>20</v>
      </c>
      <c r="H17" s="25" t="s">
        <v>20</v>
      </c>
      <c r="I17" s="31" t="s">
        <v>20</v>
      </c>
      <c r="J17" s="31" t="s">
        <v>20</v>
      </c>
      <c r="K17" s="31" t="s">
        <v>20</v>
      </c>
      <c r="L17" s="31" t="s">
        <v>20</v>
      </c>
      <c r="M17" s="32" t="s">
        <v>20</v>
      </c>
      <c r="N17" s="32" t="s">
        <v>20</v>
      </c>
      <c r="O17" s="32" t="s">
        <v>20</v>
      </c>
      <c r="P17" s="32" t="s">
        <v>20</v>
      </c>
    </row>
    <row r="18" spans="1:16" x14ac:dyDescent="0.25">
      <c r="A18" s="58" t="s">
        <v>273</v>
      </c>
      <c r="B18" s="40" t="s">
        <v>340</v>
      </c>
      <c r="C18" s="31">
        <f>C17*C3</f>
        <v>3.2</v>
      </c>
      <c r="D18" s="31" t="s">
        <v>20</v>
      </c>
      <c r="E18" s="31" t="s">
        <v>20</v>
      </c>
      <c r="F18" s="31" t="s">
        <v>20</v>
      </c>
      <c r="G18" s="31" t="s">
        <v>20</v>
      </c>
      <c r="H18" s="31" t="s">
        <v>20</v>
      </c>
      <c r="I18" s="31" t="s">
        <v>20</v>
      </c>
      <c r="J18" s="31" t="s">
        <v>20</v>
      </c>
      <c r="K18" s="31" t="s">
        <v>20</v>
      </c>
      <c r="L18" s="31" t="s">
        <v>20</v>
      </c>
      <c r="M18" s="31" t="s">
        <v>20</v>
      </c>
      <c r="N18" s="31" t="s">
        <v>20</v>
      </c>
      <c r="O18" s="31" t="s">
        <v>20</v>
      </c>
      <c r="P18" s="31" t="s">
        <v>20</v>
      </c>
    </row>
    <row r="19" spans="1:16" x14ac:dyDescent="0.25">
      <c r="A19" s="57" t="s">
        <v>411</v>
      </c>
      <c r="B19" s="33" t="s">
        <v>366</v>
      </c>
      <c r="C19" s="25" t="s">
        <v>20</v>
      </c>
      <c r="D19" s="25">
        <f t="shared" ref="D19:P19" si="7">D16*D3</f>
        <v>313.51055531260101</v>
      </c>
      <c r="E19" s="25">
        <f t="shared" si="7"/>
        <v>509.33985700523129</v>
      </c>
      <c r="F19" s="25">
        <f t="shared" si="7"/>
        <v>658.97817106055084</v>
      </c>
      <c r="G19" s="25">
        <f t="shared" si="7"/>
        <v>907.57190036161251</v>
      </c>
      <c r="H19" s="25">
        <f t="shared" si="7"/>
        <v>1229.7393612244255</v>
      </c>
      <c r="I19" s="31">
        <f t="shared" si="7"/>
        <v>1491.3159320247964</v>
      </c>
      <c r="J19" s="31">
        <f t="shared" si="7"/>
        <v>2168.5046261257044</v>
      </c>
      <c r="K19" s="31">
        <f t="shared" si="7"/>
        <v>2763.7668475985902</v>
      </c>
      <c r="L19" s="31">
        <f t="shared" si="7"/>
        <v>3052.6891667003238</v>
      </c>
      <c r="M19" s="32">
        <f t="shared" si="7"/>
        <v>2123.5615668002038</v>
      </c>
      <c r="N19" s="32">
        <f t="shared" si="7"/>
        <v>4301.5877324358817</v>
      </c>
      <c r="O19" s="32">
        <f t="shared" si="7"/>
        <v>5265.7919724303392</v>
      </c>
      <c r="P19" s="32">
        <f t="shared" si="7"/>
        <v>6020.6500159909901</v>
      </c>
    </row>
    <row r="20" spans="1:16" x14ac:dyDescent="0.25">
      <c r="A20" s="57" t="s">
        <v>267</v>
      </c>
      <c r="B20" s="126" t="s">
        <v>341</v>
      </c>
      <c r="C20" s="25" t="s">
        <v>20</v>
      </c>
      <c r="D20" s="43">
        <v>0.08</v>
      </c>
      <c r="E20" s="43">
        <v>0.08</v>
      </c>
      <c r="F20" s="43">
        <v>0.08</v>
      </c>
      <c r="G20" s="43">
        <v>0.08</v>
      </c>
      <c r="H20" s="25">
        <v>0.08</v>
      </c>
      <c r="I20" s="31">
        <f>D20</f>
        <v>0.08</v>
      </c>
      <c r="J20" s="31">
        <f>E20</f>
        <v>0.08</v>
      </c>
      <c r="K20" s="31">
        <f>F20</f>
        <v>0.08</v>
      </c>
      <c r="L20" s="31">
        <f>H20</f>
        <v>0.08</v>
      </c>
      <c r="M20" s="32">
        <f>Table515[[#This Row],[Case 1a]]</f>
        <v>0.08</v>
      </c>
      <c r="N20" s="32">
        <f>Table515[[#This Row],[Case 1a]]</f>
        <v>0.08</v>
      </c>
      <c r="O20" s="32">
        <f>Table515[[#This Row],[Case 1a]]</f>
        <v>0.08</v>
      </c>
      <c r="P20" s="32">
        <f>Table515[[#This Row],[Case 1a]]</f>
        <v>0.08</v>
      </c>
    </row>
    <row r="21" spans="1:16" x14ac:dyDescent="0.25">
      <c r="A21" s="60" t="s">
        <v>312</v>
      </c>
      <c r="B21" s="126" t="s">
        <v>337</v>
      </c>
      <c r="C21" s="25" t="s">
        <v>20</v>
      </c>
      <c r="D21" s="25">
        <v>10</v>
      </c>
      <c r="E21" s="25">
        <v>10</v>
      </c>
      <c r="F21" s="25">
        <v>10</v>
      </c>
      <c r="G21" s="25">
        <v>10</v>
      </c>
      <c r="H21" s="25">
        <v>10</v>
      </c>
      <c r="I21" s="31">
        <v>10</v>
      </c>
      <c r="J21" s="31">
        <v>10</v>
      </c>
      <c r="K21" s="31">
        <v>10</v>
      </c>
      <c r="L21" s="31">
        <v>10</v>
      </c>
      <c r="M21" s="32">
        <v>10</v>
      </c>
      <c r="N21" s="32">
        <v>10</v>
      </c>
      <c r="O21" s="32">
        <v>10</v>
      </c>
      <c r="P21" s="32">
        <v>10</v>
      </c>
    </row>
    <row r="22" spans="1:16" x14ac:dyDescent="0.25">
      <c r="A22" s="60" t="s">
        <v>549</v>
      </c>
      <c r="B22" s="126" t="s">
        <v>339</v>
      </c>
      <c r="C22" s="81">
        <v>0.05</v>
      </c>
      <c r="D22" s="25" t="s">
        <v>20</v>
      </c>
      <c r="E22" s="25" t="s">
        <v>20</v>
      </c>
      <c r="F22" s="25" t="s">
        <v>20</v>
      </c>
      <c r="G22" s="25" t="s">
        <v>20</v>
      </c>
      <c r="H22" s="25" t="s">
        <v>20</v>
      </c>
      <c r="I22" s="31" t="s">
        <v>20</v>
      </c>
      <c r="J22" s="31" t="s">
        <v>20</v>
      </c>
      <c r="K22" s="31" t="s">
        <v>20</v>
      </c>
      <c r="L22" s="31" t="s">
        <v>20</v>
      </c>
      <c r="M22" s="32" t="s">
        <v>20</v>
      </c>
      <c r="N22" s="32" t="s">
        <v>20</v>
      </c>
      <c r="O22" s="32" t="s">
        <v>20</v>
      </c>
      <c r="P22" s="32" t="s">
        <v>20</v>
      </c>
    </row>
    <row r="23" spans="1:16" x14ac:dyDescent="0.25">
      <c r="A23" s="60" t="s">
        <v>412</v>
      </c>
      <c r="B23" s="126" t="s">
        <v>366</v>
      </c>
      <c r="C23" s="25" t="s">
        <v>20</v>
      </c>
      <c r="D23" s="25">
        <f t="shared" ref="D23:P23" si="8">D21*D3</f>
        <v>160</v>
      </c>
      <c r="E23" s="25">
        <f t="shared" si="8"/>
        <v>240</v>
      </c>
      <c r="F23" s="25">
        <f t="shared" si="8"/>
        <v>320</v>
      </c>
      <c r="G23" s="25">
        <f t="shared" si="8"/>
        <v>480</v>
      </c>
      <c r="H23" s="25">
        <f t="shared" si="8"/>
        <v>640</v>
      </c>
      <c r="I23" s="31">
        <f t="shared" si="8"/>
        <v>640</v>
      </c>
      <c r="J23" s="31">
        <f t="shared" si="8"/>
        <v>960</v>
      </c>
      <c r="K23" s="31">
        <f t="shared" si="8"/>
        <v>1280</v>
      </c>
      <c r="L23" s="31">
        <f t="shared" si="8"/>
        <v>1600</v>
      </c>
      <c r="M23" s="32">
        <f t="shared" si="8"/>
        <v>640</v>
      </c>
      <c r="N23" s="32">
        <f t="shared" si="8"/>
        <v>1280</v>
      </c>
      <c r="O23" s="32">
        <f t="shared" si="8"/>
        <v>1920</v>
      </c>
      <c r="P23" s="32">
        <f t="shared" si="8"/>
        <v>2560</v>
      </c>
    </row>
    <row r="24" spans="1:16" x14ac:dyDescent="0.25">
      <c r="A24" s="60" t="s">
        <v>336</v>
      </c>
      <c r="B24" s="126" t="s">
        <v>340</v>
      </c>
      <c r="C24" s="25">
        <f>C22*C3</f>
        <v>3.2</v>
      </c>
      <c r="D24" s="25" t="s">
        <v>20</v>
      </c>
      <c r="E24" s="25" t="s">
        <v>20</v>
      </c>
      <c r="F24" s="25" t="s">
        <v>20</v>
      </c>
      <c r="G24" s="25" t="s">
        <v>20</v>
      </c>
      <c r="H24" s="25" t="s">
        <v>20</v>
      </c>
      <c r="I24" s="31" t="s">
        <v>20</v>
      </c>
      <c r="J24" s="31" t="s">
        <v>20</v>
      </c>
      <c r="K24" s="31" t="s">
        <v>20</v>
      </c>
      <c r="L24" s="31" t="s">
        <v>20</v>
      </c>
      <c r="M24" s="32" t="s">
        <v>20</v>
      </c>
      <c r="N24" s="32" t="s">
        <v>20</v>
      </c>
      <c r="O24" s="32" t="s">
        <v>20</v>
      </c>
      <c r="P24" s="32" t="s">
        <v>20</v>
      </c>
    </row>
    <row r="25" spans="1:16" x14ac:dyDescent="0.25">
      <c r="A25" s="66" t="s">
        <v>416</v>
      </c>
      <c r="B25" s="126" t="s">
        <v>337</v>
      </c>
      <c r="C25" s="25" t="s">
        <v>20</v>
      </c>
      <c r="D25" s="25">
        <v>60</v>
      </c>
      <c r="E25" s="25">
        <v>60</v>
      </c>
      <c r="F25" s="25">
        <v>60</v>
      </c>
      <c r="G25" s="25">
        <v>60</v>
      </c>
      <c r="H25" s="25">
        <v>60</v>
      </c>
      <c r="I25" s="25">
        <v>60</v>
      </c>
      <c r="J25" s="25">
        <v>60</v>
      </c>
      <c r="K25" s="25">
        <v>60</v>
      </c>
      <c r="L25" s="25">
        <v>60</v>
      </c>
      <c r="M25" s="25">
        <v>60</v>
      </c>
      <c r="N25" s="25">
        <v>60</v>
      </c>
      <c r="O25" s="25">
        <v>60</v>
      </c>
      <c r="P25" s="25">
        <v>60</v>
      </c>
    </row>
    <row r="26" spans="1:16" x14ac:dyDescent="0.25">
      <c r="A26" s="66" t="s">
        <v>417</v>
      </c>
      <c r="B26" s="33" t="s">
        <v>339</v>
      </c>
      <c r="C26" s="47">
        <v>2.5000000000000001E-2</v>
      </c>
      <c r="D26" s="25" t="s">
        <v>20</v>
      </c>
      <c r="E26" s="25" t="s">
        <v>20</v>
      </c>
      <c r="F26" s="25" t="s">
        <v>20</v>
      </c>
      <c r="G26" s="25" t="s">
        <v>20</v>
      </c>
      <c r="H26" s="25" t="s">
        <v>20</v>
      </c>
      <c r="I26" s="31" t="s">
        <v>20</v>
      </c>
      <c r="J26" s="31" t="s">
        <v>20</v>
      </c>
      <c r="K26" s="31" t="s">
        <v>20</v>
      </c>
      <c r="L26" s="31" t="s">
        <v>20</v>
      </c>
      <c r="M26" s="32" t="s">
        <v>20</v>
      </c>
      <c r="N26" s="32" t="s">
        <v>20</v>
      </c>
      <c r="O26" s="32" t="s">
        <v>20</v>
      </c>
      <c r="P26" s="32" t="s">
        <v>20</v>
      </c>
    </row>
    <row r="27" spans="1:16" x14ac:dyDescent="0.25">
      <c r="A27" s="66" t="s">
        <v>468</v>
      </c>
      <c r="B27" s="33" t="s">
        <v>366</v>
      </c>
      <c r="C27" s="25" t="s">
        <v>20</v>
      </c>
      <c r="D27" s="25">
        <f t="shared" ref="D27:P27" si="9">D25*D3</f>
        <v>960</v>
      </c>
      <c r="E27" s="25">
        <f t="shared" si="9"/>
        <v>1440</v>
      </c>
      <c r="F27" s="25">
        <f t="shared" si="9"/>
        <v>1920</v>
      </c>
      <c r="G27" s="25">
        <f t="shared" si="9"/>
        <v>2880</v>
      </c>
      <c r="H27" s="25">
        <f t="shared" si="9"/>
        <v>3840</v>
      </c>
      <c r="I27" s="31">
        <f t="shared" si="9"/>
        <v>3840</v>
      </c>
      <c r="J27" s="31">
        <f t="shared" si="9"/>
        <v>5760</v>
      </c>
      <c r="K27" s="31">
        <f t="shared" si="9"/>
        <v>7680</v>
      </c>
      <c r="L27" s="31">
        <f t="shared" si="9"/>
        <v>9600</v>
      </c>
      <c r="M27" s="32">
        <f t="shared" si="9"/>
        <v>3840</v>
      </c>
      <c r="N27" s="32">
        <f t="shared" si="9"/>
        <v>7680</v>
      </c>
      <c r="O27" s="32">
        <f t="shared" si="9"/>
        <v>11520</v>
      </c>
      <c r="P27" s="32">
        <f t="shared" si="9"/>
        <v>15360</v>
      </c>
    </row>
    <row r="28" spans="1:16" x14ac:dyDescent="0.25">
      <c r="A28" s="66" t="s">
        <v>418</v>
      </c>
      <c r="B28" s="33" t="s">
        <v>340</v>
      </c>
      <c r="C28" s="25">
        <f>C26*C3</f>
        <v>1.6</v>
      </c>
      <c r="D28" s="25" t="s">
        <v>20</v>
      </c>
      <c r="E28" s="25" t="s">
        <v>20</v>
      </c>
      <c r="F28" s="25" t="s">
        <v>20</v>
      </c>
      <c r="G28" s="25" t="s">
        <v>20</v>
      </c>
      <c r="H28" s="25" t="s">
        <v>20</v>
      </c>
      <c r="I28" s="31" t="s">
        <v>20</v>
      </c>
      <c r="J28" s="31" t="s">
        <v>20</v>
      </c>
      <c r="K28" s="31" t="s">
        <v>20</v>
      </c>
      <c r="L28" s="31" t="s">
        <v>20</v>
      </c>
      <c r="M28" s="32" t="s">
        <v>20</v>
      </c>
      <c r="N28" s="32" t="s">
        <v>20</v>
      </c>
      <c r="O28" s="32" t="s">
        <v>20</v>
      </c>
      <c r="P28" s="32" t="s">
        <v>20</v>
      </c>
    </row>
    <row r="29" spans="1:16" x14ac:dyDescent="0.25">
      <c r="A29" s="83" t="s">
        <v>419</v>
      </c>
      <c r="B29" s="33" t="s">
        <v>339</v>
      </c>
      <c r="C29" s="25">
        <v>0</v>
      </c>
      <c r="D29" s="25" t="s">
        <v>20</v>
      </c>
      <c r="E29" s="25" t="s">
        <v>20</v>
      </c>
      <c r="F29" s="25" t="s">
        <v>20</v>
      </c>
      <c r="G29" s="25" t="s">
        <v>20</v>
      </c>
      <c r="H29" s="25" t="s">
        <v>20</v>
      </c>
      <c r="I29" s="31" t="s">
        <v>20</v>
      </c>
      <c r="J29" s="31" t="s">
        <v>20</v>
      </c>
      <c r="K29" s="31" t="s">
        <v>20</v>
      </c>
      <c r="L29" s="31" t="s">
        <v>20</v>
      </c>
      <c r="M29" s="32" t="s">
        <v>20</v>
      </c>
      <c r="N29" s="32" t="s">
        <v>20</v>
      </c>
      <c r="O29" s="32" t="s">
        <v>20</v>
      </c>
      <c r="P29" s="32" t="s">
        <v>20</v>
      </c>
    </row>
    <row r="30" spans="1:16" x14ac:dyDescent="0.25">
      <c r="A30" s="56" t="s">
        <v>101</v>
      </c>
      <c r="B30" s="126" t="s">
        <v>337</v>
      </c>
      <c r="C30" s="25" t="s">
        <v>20</v>
      </c>
      <c r="D30" s="25">
        <v>10</v>
      </c>
      <c r="E30" s="25">
        <v>10</v>
      </c>
      <c r="F30" s="25">
        <v>10</v>
      </c>
      <c r="G30" s="25">
        <v>10</v>
      </c>
      <c r="H30" s="25">
        <v>10</v>
      </c>
      <c r="I30" s="31">
        <v>10</v>
      </c>
      <c r="J30" s="31">
        <v>10</v>
      </c>
      <c r="K30" s="31">
        <v>10</v>
      </c>
      <c r="L30" s="31">
        <v>10</v>
      </c>
      <c r="M30" s="32">
        <v>10</v>
      </c>
      <c r="N30" s="32">
        <v>10</v>
      </c>
      <c r="O30" s="32">
        <v>10</v>
      </c>
      <c r="P30" s="32">
        <v>10</v>
      </c>
    </row>
    <row r="31" spans="1:16" x14ac:dyDescent="0.25">
      <c r="A31" s="56" t="s">
        <v>314</v>
      </c>
      <c r="B31" s="126" t="s">
        <v>337</v>
      </c>
      <c r="C31" s="25" t="s">
        <v>20</v>
      </c>
      <c r="D31" s="35">
        <v>30</v>
      </c>
      <c r="E31" s="35">
        <v>30</v>
      </c>
      <c r="F31" s="35">
        <v>30</v>
      </c>
      <c r="G31" s="35">
        <v>30</v>
      </c>
      <c r="H31" s="35">
        <v>30</v>
      </c>
      <c r="I31" s="31">
        <f>Table515[[#This Row],[Case 1a]]</f>
        <v>30</v>
      </c>
      <c r="J31" s="31">
        <f>Table515[[#This Row],[Case 1a]]</f>
        <v>30</v>
      </c>
      <c r="K31" s="31">
        <f>Table515[[#This Row],[Case 1a]]</f>
        <v>30</v>
      </c>
      <c r="L31" s="31">
        <f>Table515[[#This Row],[Case 1a]]</f>
        <v>30</v>
      </c>
      <c r="M31" s="32">
        <f>Table515[[#This Row],[Case 1a]]</f>
        <v>30</v>
      </c>
      <c r="N31" s="32">
        <f>Table515[[#This Row],[Case 1a]]</f>
        <v>30</v>
      </c>
      <c r="O31" s="32">
        <f>Table515[[#This Row],[Case 1a]]</f>
        <v>30</v>
      </c>
      <c r="P31" s="32">
        <f>Table515[[#This Row],[Case 1a]]</f>
        <v>30</v>
      </c>
    </row>
    <row r="32" spans="1:16" x14ac:dyDescent="0.25">
      <c r="A32" s="63" t="s">
        <v>275</v>
      </c>
      <c r="B32" s="41" t="s">
        <v>339</v>
      </c>
      <c r="C32" s="2">
        <v>0.05</v>
      </c>
      <c r="D32" s="25" t="s">
        <v>20</v>
      </c>
      <c r="E32" s="25" t="s">
        <v>20</v>
      </c>
      <c r="F32" s="25" t="s">
        <v>20</v>
      </c>
      <c r="G32" s="25" t="s">
        <v>20</v>
      </c>
      <c r="H32" s="25" t="s">
        <v>20</v>
      </c>
      <c r="I32" s="31" t="s">
        <v>20</v>
      </c>
      <c r="J32" s="31" t="s">
        <v>20</v>
      </c>
      <c r="K32" s="31" t="s">
        <v>20</v>
      </c>
      <c r="L32" s="31" t="s">
        <v>20</v>
      </c>
      <c r="M32" s="32" t="s">
        <v>20</v>
      </c>
      <c r="N32" s="32" t="s">
        <v>20</v>
      </c>
      <c r="O32" s="32" t="s">
        <v>20</v>
      </c>
      <c r="P32" s="32" t="s">
        <v>20</v>
      </c>
    </row>
    <row r="33" spans="1:16" x14ac:dyDescent="0.25">
      <c r="A33" s="56" t="s">
        <v>276</v>
      </c>
      <c r="B33" s="41" t="s">
        <v>339</v>
      </c>
      <c r="C33" s="28">
        <v>0</v>
      </c>
      <c r="D33" s="25" t="s">
        <v>20</v>
      </c>
      <c r="E33" s="25" t="s">
        <v>20</v>
      </c>
      <c r="F33" s="25" t="s">
        <v>20</v>
      </c>
      <c r="G33" s="25" t="s">
        <v>20</v>
      </c>
      <c r="H33" s="25" t="s">
        <v>20</v>
      </c>
      <c r="I33" s="31" t="s">
        <v>20</v>
      </c>
      <c r="J33" s="31" t="s">
        <v>20</v>
      </c>
      <c r="K33" s="31" t="s">
        <v>20</v>
      </c>
      <c r="L33" s="31" t="s">
        <v>20</v>
      </c>
      <c r="M33" s="32" t="s">
        <v>20</v>
      </c>
      <c r="N33" s="32" t="s">
        <v>20</v>
      </c>
      <c r="O33" s="32" t="s">
        <v>20</v>
      </c>
      <c r="P33" s="32" t="s">
        <v>20</v>
      </c>
    </row>
    <row r="34" spans="1:16" x14ac:dyDescent="0.25">
      <c r="A34" s="63" t="s">
        <v>277</v>
      </c>
      <c r="B34" s="41" t="s">
        <v>339</v>
      </c>
      <c r="C34" s="2">
        <v>0.08</v>
      </c>
      <c r="D34" s="25" t="s">
        <v>20</v>
      </c>
      <c r="E34" s="25" t="s">
        <v>20</v>
      </c>
      <c r="F34" s="25" t="s">
        <v>20</v>
      </c>
      <c r="G34" s="25" t="s">
        <v>20</v>
      </c>
      <c r="H34" s="25" t="s">
        <v>20</v>
      </c>
      <c r="I34" s="31" t="s">
        <v>20</v>
      </c>
      <c r="J34" s="31" t="s">
        <v>20</v>
      </c>
      <c r="K34" s="31" t="s">
        <v>20</v>
      </c>
      <c r="L34" s="31" t="s">
        <v>20</v>
      </c>
      <c r="M34" s="32" t="s">
        <v>20</v>
      </c>
      <c r="N34" s="32" t="s">
        <v>20</v>
      </c>
      <c r="O34" s="32" t="s">
        <v>20</v>
      </c>
      <c r="P34" s="32" t="s">
        <v>20</v>
      </c>
    </row>
    <row r="35" spans="1:16" x14ac:dyDescent="0.25">
      <c r="A35" s="63" t="s">
        <v>278</v>
      </c>
      <c r="B35" s="41" t="s">
        <v>339</v>
      </c>
      <c r="C35" s="2">
        <v>0.04</v>
      </c>
      <c r="D35" s="25" t="s">
        <v>20</v>
      </c>
      <c r="E35" s="25" t="s">
        <v>20</v>
      </c>
      <c r="F35" s="25" t="s">
        <v>20</v>
      </c>
      <c r="G35" s="25" t="s">
        <v>20</v>
      </c>
      <c r="H35" s="25" t="s">
        <v>20</v>
      </c>
      <c r="I35" s="31" t="s">
        <v>20</v>
      </c>
      <c r="J35" s="31" t="s">
        <v>20</v>
      </c>
      <c r="K35" s="31" t="s">
        <v>20</v>
      </c>
      <c r="L35" s="31" t="s">
        <v>20</v>
      </c>
      <c r="M35" s="32" t="s">
        <v>20</v>
      </c>
      <c r="N35" s="32" t="s">
        <v>20</v>
      </c>
      <c r="O35" s="32" t="s">
        <v>20</v>
      </c>
      <c r="P35" s="32" t="s">
        <v>20</v>
      </c>
    </row>
    <row r="36" spans="1:16" x14ac:dyDescent="0.25">
      <c r="A36" s="54" t="s">
        <v>265</v>
      </c>
      <c r="B36" s="126" t="s">
        <v>337</v>
      </c>
      <c r="C36" s="31" t="s">
        <v>20</v>
      </c>
      <c r="D36" s="31">
        <f>D30+D31</f>
        <v>40</v>
      </c>
      <c r="E36" s="31">
        <f>E30+E31</f>
        <v>40</v>
      </c>
      <c r="F36" s="31">
        <f>F30+F31</f>
        <v>40</v>
      </c>
      <c r="G36" s="31">
        <f>G30+G31</f>
        <v>40</v>
      </c>
      <c r="H36" s="31">
        <f>H30+H31</f>
        <v>40</v>
      </c>
      <c r="I36" s="31">
        <f>D30+D31</f>
        <v>40</v>
      </c>
      <c r="J36" s="31">
        <f>E30+E31</f>
        <v>40</v>
      </c>
      <c r="K36" s="31">
        <f>F30+F31</f>
        <v>40</v>
      </c>
      <c r="L36" s="31">
        <f>H30+H31</f>
        <v>40</v>
      </c>
      <c r="M36" s="32">
        <f>H30+H31</f>
        <v>40</v>
      </c>
      <c r="N36" s="32">
        <f>I30+I31</f>
        <v>40</v>
      </c>
      <c r="O36" s="32">
        <f>J30+J31</f>
        <v>40</v>
      </c>
      <c r="P36" s="32">
        <f>K30+K31</f>
        <v>40</v>
      </c>
    </row>
    <row r="37" spans="1:16" x14ac:dyDescent="0.25">
      <c r="A37" s="54" t="s">
        <v>266</v>
      </c>
      <c r="B37" s="126" t="s">
        <v>337</v>
      </c>
      <c r="C37" s="31" t="s">
        <v>20</v>
      </c>
      <c r="D37" s="31">
        <f t="shared" ref="D37:P37" si="10">D36*D2</f>
        <v>10240</v>
      </c>
      <c r="E37" s="31">
        <f t="shared" si="10"/>
        <v>15360</v>
      </c>
      <c r="F37" s="31">
        <f t="shared" si="10"/>
        <v>20480</v>
      </c>
      <c r="G37" s="31">
        <f t="shared" si="10"/>
        <v>30720</v>
      </c>
      <c r="H37" s="31">
        <f t="shared" si="10"/>
        <v>40960</v>
      </c>
      <c r="I37" s="31">
        <f t="shared" si="10"/>
        <v>40960</v>
      </c>
      <c r="J37" s="31">
        <f t="shared" si="10"/>
        <v>61440</v>
      </c>
      <c r="K37" s="31">
        <f t="shared" si="10"/>
        <v>81920</v>
      </c>
      <c r="L37" s="31">
        <f t="shared" si="10"/>
        <v>102400</v>
      </c>
      <c r="M37" s="32">
        <f t="shared" si="10"/>
        <v>40960</v>
      </c>
      <c r="N37" s="32">
        <f t="shared" si="10"/>
        <v>81920</v>
      </c>
      <c r="O37" s="32">
        <f t="shared" si="10"/>
        <v>122880</v>
      </c>
      <c r="P37" s="32">
        <f t="shared" si="10"/>
        <v>163840</v>
      </c>
    </row>
    <row r="38" spans="1:16" x14ac:dyDescent="0.25">
      <c r="A38" s="54" t="s">
        <v>274</v>
      </c>
      <c r="B38" s="40" t="s">
        <v>340</v>
      </c>
      <c r="C38" s="31">
        <f>C34*C2</f>
        <v>81.92</v>
      </c>
      <c r="D38" s="31" t="s">
        <v>20</v>
      </c>
      <c r="E38" s="31" t="s">
        <v>20</v>
      </c>
      <c r="F38" s="31" t="s">
        <v>20</v>
      </c>
      <c r="G38" s="31" t="s">
        <v>20</v>
      </c>
      <c r="H38" s="31" t="s">
        <v>20</v>
      </c>
      <c r="I38" s="31" t="s">
        <v>20</v>
      </c>
      <c r="J38" s="31" t="s">
        <v>20</v>
      </c>
      <c r="K38" s="31" t="s">
        <v>20</v>
      </c>
      <c r="L38" s="31" t="s">
        <v>20</v>
      </c>
      <c r="M38" s="31" t="s">
        <v>20</v>
      </c>
      <c r="N38" s="31" t="s">
        <v>20</v>
      </c>
      <c r="O38" s="31" t="s">
        <v>20</v>
      </c>
      <c r="P38" s="31" t="s">
        <v>20</v>
      </c>
    </row>
    <row r="39" spans="1:16" x14ac:dyDescent="0.25">
      <c r="A39" s="54" t="s">
        <v>280</v>
      </c>
      <c r="B39" s="40" t="s">
        <v>330</v>
      </c>
      <c r="C39" s="31">
        <f t="shared" ref="C39:P39" si="11">C2-1</f>
        <v>1023</v>
      </c>
      <c r="D39" s="31">
        <f t="shared" si="11"/>
        <v>255</v>
      </c>
      <c r="E39" s="31">
        <f t="shared" si="11"/>
        <v>383</v>
      </c>
      <c r="F39" s="31">
        <f t="shared" si="11"/>
        <v>511</v>
      </c>
      <c r="G39" s="31">
        <f t="shared" si="11"/>
        <v>767</v>
      </c>
      <c r="H39" s="31">
        <f t="shared" si="11"/>
        <v>1023</v>
      </c>
      <c r="I39" s="31">
        <f t="shared" si="11"/>
        <v>1023</v>
      </c>
      <c r="J39" s="31">
        <f t="shared" si="11"/>
        <v>1535</v>
      </c>
      <c r="K39" s="31">
        <f t="shared" si="11"/>
        <v>2047</v>
      </c>
      <c r="L39" s="31">
        <f t="shared" si="11"/>
        <v>2559</v>
      </c>
      <c r="M39" s="32">
        <f t="shared" si="11"/>
        <v>1023</v>
      </c>
      <c r="N39" s="32">
        <f t="shared" si="11"/>
        <v>2047</v>
      </c>
      <c r="O39" s="32">
        <f t="shared" si="11"/>
        <v>3071</v>
      </c>
      <c r="P39" s="32">
        <f t="shared" si="11"/>
        <v>4095</v>
      </c>
    </row>
    <row r="40" spans="1:16" x14ac:dyDescent="0.25">
      <c r="A40" s="54" t="s">
        <v>485</v>
      </c>
      <c r="B40" s="40" t="s">
        <v>340</v>
      </c>
      <c r="C40" s="31">
        <f>C35*C39</f>
        <v>40.92</v>
      </c>
      <c r="D40" s="31" t="s">
        <v>20</v>
      </c>
      <c r="E40" s="31" t="s">
        <v>20</v>
      </c>
      <c r="F40" s="31" t="s">
        <v>20</v>
      </c>
      <c r="G40" s="31" t="s">
        <v>20</v>
      </c>
      <c r="H40" s="31" t="s">
        <v>20</v>
      </c>
      <c r="I40" s="31" t="s">
        <v>20</v>
      </c>
      <c r="J40" s="31" t="s">
        <v>20</v>
      </c>
      <c r="K40" s="31" t="s">
        <v>20</v>
      </c>
      <c r="L40" s="31" t="s">
        <v>20</v>
      </c>
      <c r="M40" s="32" t="s">
        <v>20</v>
      </c>
      <c r="N40" s="32" t="s">
        <v>20</v>
      </c>
      <c r="O40" s="32" t="s">
        <v>20</v>
      </c>
      <c r="P40" s="32" t="s">
        <v>20</v>
      </c>
    </row>
    <row r="41" spans="1:16" x14ac:dyDescent="0.25">
      <c r="A41" s="56" t="s">
        <v>469</v>
      </c>
      <c r="B41" s="33" t="s">
        <v>366</v>
      </c>
      <c r="C41" s="25" t="s">
        <v>20</v>
      </c>
      <c r="D41" s="25">
        <f t="shared" ref="D41:P41" si="12">D30*D2</f>
        <v>2560</v>
      </c>
      <c r="E41" s="25">
        <f t="shared" si="12"/>
        <v>3840</v>
      </c>
      <c r="F41" s="25">
        <f t="shared" si="12"/>
        <v>5120</v>
      </c>
      <c r="G41" s="25">
        <f t="shared" si="12"/>
        <v>7680</v>
      </c>
      <c r="H41" s="25">
        <f t="shared" si="12"/>
        <v>10240</v>
      </c>
      <c r="I41" s="31">
        <f t="shared" si="12"/>
        <v>10240</v>
      </c>
      <c r="J41" s="31">
        <f t="shared" si="12"/>
        <v>15360</v>
      </c>
      <c r="K41" s="31">
        <f t="shared" si="12"/>
        <v>20480</v>
      </c>
      <c r="L41" s="31">
        <f t="shared" si="12"/>
        <v>25600</v>
      </c>
      <c r="M41" s="32">
        <f t="shared" si="12"/>
        <v>10240</v>
      </c>
      <c r="N41" s="32">
        <f t="shared" si="12"/>
        <v>20480</v>
      </c>
      <c r="O41" s="32">
        <f t="shared" si="12"/>
        <v>30720</v>
      </c>
      <c r="P41" s="32">
        <f t="shared" si="12"/>
        <v>40960</v>
      </c>
    </row>
    <row r="42" spans="1:16" x14ac:dyDescent="0.25">
      <c r="A42" s="64" t="s">
        <v>369</v>
      </c>
      <c r="B42" s="126" t="s">
        <v>337</v>
      </c>
      <c r="C42" s="25" t="s">
        <v>20</v>
      </c>
      <c r="D42" s="25">
        <v>40</v>
      </c>
      <c r="E42" s="25">
        <v>40</v>
      </c>
      <c r="F42" s="25">
        <v>40</v>
      </c>
      <c r="G42" s="25">
        <v>40</v>
      </c>
      <c r="H42" s="25">
        <v>40</v>
      </c>
      <c r="I42" s="31">
        <f>Table515[[#This Row],[Case 1a]]</f>
        <v>40</v>
      </c>
      <c r="J42" s="31">
        <f>Table515[[#This Row],[Case 1a]]</f>
        <v>40</v>
      </c>
      <c r="K42" s="31">
        <f>Table515[[#This Row],[Case 1a]]</f>
        <v>40</v>
      </c>
      <c r="L42" s="31">
        <f>Table515[[#This Row],[Case 1a]]</f>
        <v>40</v>
      </c>
      <c r="M42" s="32">
        <f>Table515[[#This Row],[Case 1a]]</f>
        <v>40</v>
      </c>
      <c r="N42" s="32">
        <f>Table515[[#This Row],[Case 1a]]</f>
        <v>40</v>
      </c>
      <c r="O42" s="32">
        <f>Table515[[#This Row],[Case 1a]]</f>
        <v>40</v>
      </c>
      <c r="P42" s="32">
        <f>Table515[[#This Row],[Case 1a]]</f>
        <v>40</v>
      </c>
    </row>
    <row r="43" spans="1:16" x14ac:dyDescent="0.25">
      <c r="A43" s="64" t="s">
        <v>370</v>
      </c>
      <c r="B43" s="126" t="s">
        <v>339</v>
      </c>
      <c r="C43" s="47">
        <v>2.5000000000000001E-2</v>
      </c>
      <c r="D43" s="25" t="s">
        <v>20</v>
      </c>
      <c r="E43" s="25" t="s">
        <v>20</v>
      </c>
      <c r="F43" s="25" t="s">
        <v>20</v>
      </c>
      <c r="G43" s="25" t="s">
        <v>20</v>
      </c>
      <c r="H43" s="25" t="s">
        <v>20</v>
      </c>
      <c r="I43" s="31" t="s">
        <v>20</v>
      </c>
      <c r="J43" s="31" t="s">
        <v>20</v>
      </c>
      <c r="K43" s="31" t="s">
        <v>20</v>
      </c>
      <c r="L43" s="31" t="s">
        <v>20</v>
      </c>
      <c r="M43" s="32" t="s">
        <v>20</v>
      </c>
      <c r="N43" s="32" t="s">
        <v>20</v>
      </c>
      <c r="O43" s="32" t="s">
        <v>20</v>
      </c>
      <c r="P43" s="32" t="s">
        <v>20</v>
      </c>
    </row>
    <row r="44" spans="1:16" x14ac:dyDescent="0.25">
      <c r="A44" s="64" t="s">
        <v>483</v>
      </c>
      <c r="B44" s="126" t="s">
        <v>330</v>
      </c>
      <c r="C44" s="29">
        <f t="shared" ref="C44:P44" si="13">(C2/4+C2)</f>
        <v>1280</v>
      </c>
      <c r="D44" s="29">
        <f t="shared" si="13"/>
        <v>320</v>
      </c>
      <c r="E44" s="29">
        <f t="shared" si="13"/>
        <v>480</v>
      </c>
      <c r="F44" s="29">
        <f t="shared" si="13"/>
        <v>640</v>
      </c>
      <c r="G44" s="29">
        <f t="shared" si="13"/>
        <v>960</v>
      </c>
      <c r="H44" s="29">
        <f t="shared" si="13"/>
        <v>1280</v>
      </c>
      <c r="I44" s="29">
        <f t="shared" si="13"/>
        <v>1280</v>
      </c>
      <c r="J44" s="29">
        <f t="shared" si="13"/>
        <v>1920</v>
      </c>
      <c r="K44" s="29">
        <f t="shared" si="13"/>
        <v>2560</v>
      </c>
      <c r="L44" s="29">
        <f t="shared" si="13"/>
        <v>3200</v>
      </c>
      <c r="M44" s="29">
        <f t="shared" si="13"/>
        <v>1280</v>
      </c>
      <c r="N44" s="29">
        <f t="shared" si="13"/>
        <v>2560</v>
      </c>
      <c r="O44" s="29">
        <f t="shared" si="13"/>
        <v>3840</v>
      </c>
      <c r="P44" s="29">
        <f t="shared" si="13"/>
        <v>5120</v>
      </c>
    </row>
    <row r="45" spans="1:16" x14ac:dyDescent="0.25">
      <c r="A45" s="64" t="s">
        <v>471</v>
      </c>
      <c r="B45" s="126" t="s">
        <v>340</v>
      </c>
      <c r="C45" s="25">
        <f t="shared" ref="C45" si="14">C43*C44</f>
        <v>32</v>
      </c>
      <c r="D45" s="25" t="s">
        <v>20</v>
      </c>
      <c r="E45" s="25" t="s">
        <v>20</v>
      </c>
      <c r="F45" s="25" t="s">
        <v>20</v>
      </c>
      <c r="G45" s="25" t="s">
        <v>20</v>
      </c>
      <c r="H45" s="25" t="s">
        <v>20</v>
      </c>
      <c r="I45" s="31" t="s">
        <v>20</v>
      </c>
      <c r="J45" s="31" t="s">
        <v>20</v>
      </c>
      <c r="K45" s="31" t="s">
        <v>20</v>
      </c>
      <c r="L45" s="31" t="s">
        <v>20</v>
      </c>
      <c r="M45" s="32" t="s">
        <v>20</v>
      </c>
      <c r="N45" s="32" t="s">
        <v>20</v>
      </c>
      <c r="O45" s="32" t="s">
        <v>20</v>
      </c>
      <c r="P45" s="32" t="s">
        <v>20</v>
      </c>
    </row>
    <row r="46" spans="1:16" x14ac:dyDescent="0.25">
      <c r="A46" s="64" t="s">
        <v>414</v>
      </c>
      <c r="B46" s="33" t="s">
        <v>366</v>
      </c>
      <c r="C46" s="25" t="s">
        <v>20</v>
      </c>
      <c r="D46" s="25">
        <f>D42*D44</f>
        <v>12800</v>
      </c>
      <c r="E46" s="25">
        <f>E42*E44</f>
        <v>19200</v>
      </c>
      <c r="F46" s="25">
        <f t="shared" ref="F46:P46" si="15">F42*F44</f>
        <v>25600</v>
      </c>
      <c r="G46" s="25">
        <f t="shared" si="15"/>
        <v>38400</v>
      </c>
      <c r="H46" s="25">
        <f t="shared" si="15"/>
        <v>51200</v>
      </c>
      <c r="I46" s="25">
        <f t="shared" si="15"/>
        <v>51200</v>
      </c>
      <c r="J46" s="25">
        <f t="shared" si="15"/>
        <v>76800</v>
      </c>
      <c r="K46" s="25">
        <f t="shared" si="15"/>
        <v>102400</v>
      </c>
      <c r="L46" s="25">
        <f t="shared" si="15"/>
        <v>128000</v>
      </c>
      <c r="M46" s="25">
        <f t="shared" si="15"/>
        <v>51200</v>
      </c>
      <c r="N46" s="25">
        <f t="shared" si="15"/>
        <v>102400</v>
      </c>
      <c r="O46" s="25">
        <f t="shared" si="15"/>
        <v>153600</v>
      </c>
      <c r="P46" s="25">
        <f t="shared" si="15"/>
        <v>204800</v>
      </c>
    </row>
    <row r="47" spans="1:16" x14ac:dyDescent="0.25">
      <c r="A47" s="72" t="s">
        <v>521</v>
      </c>
      <c r="B47" s="33" t="s">
        <v>342</v>
      </c>
      <c r="C47" s="25" t="s">
        <v>20</v>
      </c>
      <c r="D47" s="43">
        <v>7.0000000000000007E-2</v>
      </c>
      <c r="E47" s="43">
        <v>-1</v>
      </c>
      <c r="F47" s="43">
        <v>-2.5099999999999998</v>
      </c>
      <c r="G47" s="43">
        <v>-5.01</v>
      </c>
      <c r="H47" s="43">
        <v>-6.12</v>
      </c>
      <c r="I47" s="44">
        <v>1.57</v>
      </c>
      <c r="J47" s="44">
        <v>-0.46</v>
      </c>
      <c r="K47" s="44">
        <v>-2.1</v>
      </c>
      <c r="L47" s="44">
        <v>-4.1399999999999997</v>
      </c>
      <c r="M47" s="109">
        <v>10.65</v>
      </c>
      <c r="N47" s="109">
        <v>7.75</v>
      </c>
      <c r="O47" s="109">
        <v>4.2300000000000004</v>
      </c>
      <c r="P47" s="109">
        <v>1.65</v>
      </c>
    </row>
    <row r="48" spans="1:16" x14ac:dyDescent="0.25">
      <c r="A48" s="72" t="s">
        <v>446</v>
      </c>
      <c r="B48" s="33" t="s">
        <v>342</v>
      </c>
      <c r="C48" s="25" t="s">
        <v>20</v>
      </c>
      <c r="D48" s="43">
        <f>46+D47</f>
        <v>46.07</v>
      </c>
      <c r="E48" s="43">
        <f t="shared" ref="E48:P48" si="16">46+E47</f>
        <v>45</v>
      </c>
      <c r="F48" s="43">
        <f t="shared" si="16"/>
        <v>43.49</v>
      </c>
      <c r="G48" s="43">
        <f t="shared" si="16"/>
        <v>40.99</v>
      </c>
      <c r="H48" s="43">
        <f t="shared" si="16"/>
        <v>39.880000000000003</v>
      </c>
      <c r="I48" s="43">
        <f t="shared" si="16"/>
        <v>47.57</v>
      </c>
      <c r="J48" s="43">
        <f t="shared" si="16"/>
        <v>45.54</v>
      </c>
      <c r="K48" s="43">
        <f t="shared" si="16"/>
        <v>43.9</v>
      </c>
      <c r="L48" s="43">
        <f t="shared" si="16"/>
        <v>41.86</v>
      </c>
      <c r="M48" s="43">
        <f t="shared" si="16"/>
        <v>56.65</v>
      </c>
      <c r="N48" s="43">
        <f t="shared" si="16"/>
        <v>53.75</v>
      </c>
      <c r="O48" s="43">
        <f t="shared" si="16"/>
        <v>50.230000000000004</v>
      </c>
      <c r="P48" s="43">
        <f t="shared" si="16"/>
        <v>47.65</v>
      </c>
    </row>
    <row r="49" spans="1:16" x14ac:dyDescent="0.25">
      <c r="A49" s="72" t="s">
        <v>447</v>
      </c>
      <c r="B49" s="33" t="s">
        <v>337</v>
      </c>
      <c r="C49" s="25" t="s">
        <v>20</v>
      </c>
      <c r="D49" s="25">
        <f>10*LOG10(D50)</f>
        <v>21.987600346881511</v>
      </c>
      <c r="E49" s="25">
        <f>10*LOG10(E50)</f>
        <v>19.156687756324697</v>
      </c>
      <c r="F49" s="25">
        <f>10*LOG10(F50)</f>
        <v>16.397300390241703</v>
      </c>
      <c r="G49" s="25">
        <f>10*LOG10(G50)</f>
        <v>12.136387799684885</v>
      </c>
      <c r="H49" s="25">
        <f>10*LOG10(H50)</f>
        <v>9.7770004336018861</v>
      </c>
      <c r="I49" s="31">
        <f t="shared" ref="I49:P49" si="17">10*LOG10(I50)</f>
        <v>17.467000433601882</v>
      </c>
      <c r="J49" s="31">
        <f t="shared" si="17"/>
        <v>13.676087843045078</v>
      </c>
      <c r="K49" s="31">
        <f t="shared" si="17"/>
        <v>10.786700476962071</v>
      </c>
      <c r="L49" s="31">
        <f t="shared" si="17"/>
        <v>7.7776003468815116</v>
      </c>
      <c r="M49" s="32">
        <f t="shared" si="17"/>
        <v>26.547000433601884</v>
      </c>
      <c r="N49" s="32">
        <f t="shared" si="17"/>
        <v>20.636700476962076</v>
      </c>
      <c r="O49" s="32">
        <f t="shared" si="17"/>
        <v>15.355787886405265</v>
      </c>
      <c r="P49" s="32">
        <f t="shared" si="17"/>
        <v>11.526400520322259</v>
      </c>
    </row>
    <row r="50" spans="1:16" x14ac:dyDescent="0.25">
      <c r="A50" s="72" t="s">
        <v>319</v>
      </c>
      <c r="B50" s="126" t="s">
        <v>337</v>
      </c>
      <c r="C50" s="25" t="s">
        <v>20</v>
      </c>
      <c r="D50" s="25">
        <f t="shared" ref="D50:P50" si="18">10^(D48/10)/D2</f>
        <v>158.03745769431384</v>
      </c>
      <c r="E50" s="25">
        <f t="shared" si="18"/>
        <v>82.350980733551665</v>
      </c>
      <c r="F50" s="25">
        <f t="shared" si="18"/>
        <v>43.624457477158913</v>
      </c>
      <c r="G50" s="25">
        <f t="shared" si="18"/>
        <v>16.354556818943699</v>
      </c>
      <c r="H50" s="25">
        <f t="shared" si="18"/>
        <v>9.499484607196937</v>
      </c>
      <c r="I50" s="31">
        <f t="shared" si="18"/>
        <v>55.808460612487039</v>
      </c>
      <c r="J50" s="31">
        <f t="shared" si="18"/>
        <v>23.313570123869578</v>
      </c>
      <c r="K50" s="31">
        <f t="shared" si="18"/>
        <v>11.985883377368321</v>
      </c>
      <c r="L50" s="31">
        <f t="shared" si="18"/>
        <v>5.9945975890597527</v>
      </c>
      <c r="M50" s="32">
        <f t="shared" si="18"/>
        <v>451.54396621021556</v>
      </c>
      <c r="N50" s="32">
        <f t="shared" si="18"/>
        <v>115.78973172176073</v>
      </c>
      <c r="O50" s="32">
        <f t="shared" si="18"/>
        <v>34.322490116903033</v>
      </c>
      <c r="P50" s="32">
        <f t="shared" si="18"/>
        <v>14.211504340109174</v>
      </c>
    </row>
    <row r="51" spans="1:16" x14ac:dyDescent="0.25">
      <c r="A51" s="72" t="s">
        <v>320</v>
      </c>
      <c r="B51" s="126" t="s">
        <v>341</v>
      </c>
      <c r="C51" s="25" t="s">
        <v>20</v>
      </c>
      <c r="D51" s="47">
        <v>0.185</v>
      </c>
      <c r="E51" s="47">
        <v>0.185</v>
      </c>
      <c r="F51" s="47">
        <v>0.185</v>
      </c>
      <c r="G51" s="47">
        <v>0.185</v>
      </c>
      <c r="H51" s="47">
        <v>0.185</v>
      </c>
      <c r="I51" s="47">
        <v>0.185</v>
      </c>
      <c r="J51" s="47">
        <v>0.185</v>
      </c>
      <c r="K51" s="47">
        <v>0.185</v>
      </c>
      <c r="L51" s="47">
        <v>0.185</v>
      </c>
      <c r="M51" s="47">
        <v>0.185</v>
      </c>
      <c r="N51" s="47">
        <v>0.185</v>
      </c>
      <c r="O51" s="47">
        <v>0.185</v>
      </c>
      <c r="P51" s="47">
        <v>0.185</v>
      </c>
    </row>
    <row r="52" spans="1:16" x14ac:dyDescent="0.25">
      <c r="A52" s="72" t="s">
        <v>321</v>
      </c>
      <c r="B52" s="126" t="s">
        <v>337</v>
      </c>
      <c r="C52" s="25" t="s">
        <v>20</v>
      </c>
      <c r="D52" s="25">
        <f>D50/D51</f>
        <v>854.25652807737208</v>
      </c>
      <c r="E52" s="25">
        <f>E50/E51</f>
        <v>445.14043639757659</v>
      </c>
      <c r="F52" s="25">
        <f>F50/F51</f>
        <v>235.80787825491305</v>
      </c>
      <c r="G52" s="25">
        <f>G50/G51</f>
        <v>88.403009832128106</v>
      </c>
      <c r="H52" s="25">
        <f>H50/H51</f>
        <v>51.348565444307766</v>
      </c>
      <c r="I52" s="31">
        <f t="shared" ref="I52:P52" si="19">I50/I51</f>
        <v>301.66735466209212</v>
      </c>
      <c r="J52" s="31">
        <f t="shared" si="19"/>
        <v>126.01929796686258</v>
      </c>
      <c r="K52" s="31">
        <f t="shared" si="19"/>
        <v>64.788558796585519</v>
      </c>
      <c r="L52" s="31">
        <f t="shared" si="19"/>
        <v>32.403230211133796</v>
      </c>
      <c r="M52" s="32">
        <f t="shared" si="19"/>
        <v>2440.7781957308948</v>
      </c>
      <c r="N52" s="32">
        <f t="shared" si="19"/>
        <v>625.89044173924719</v>
      </c>
      <c r="O52" s="32">
        <f t="shared" si="19"/>
        <v>185.52697360488125</v>
      </c>
      <c r="P52" s="32">
        <f t="shared" si="19"/>
        <v>76.818942378968515</v>
      </c>
    </row>
    <row r="53" spans="1:16" x14ac:dyDescent="0.25">
      <c r="A53" s="72" t="s">
        <v>470</v>
      </c>
      <c r="B53" s="33" t="s">
        <v>366</v>
      </c>
      <c r="C53" s="25" t="s">
        <v>20</v>
      </c>
      <c r="D53" s="25">
        <f t="shared" ref="D53:P53" si="20">D52*D2</f>
        <v>218689.67118780725</v>
      </c>
      <c r="E53" s="25">
        <f t="shared" si="20"/>
        <v>170933.9275766694</v>
      </c>
      <c r="F53" s="25">
        <f t="shared" si="20"/>
        <v>120733.63366651548</v>
      </c>
      <c r="G53" s="25">
        <f t="shared" si="20"/>
        <v>67893.511551074393</v>
      </c>
      <c r="H53" s="25">
        <f t="shared" si="20"/>
        <v>52580.931014971153</v>
      </c>
      <c r="I53" s="31">
        <f t="shared" si="20"/>
        <v>308907.37117398233</v>
      </c>
      <c r="J53" s="31">
        <f t="shared" si="20"/>
        <v>193565.64167710091</v>
      </c>
      <c r="K53" s="31">
        <f t="shared" si="20"/>
        <v>132686.96841540714</v>
      </c>
      <c r="L53" s="31">
        <f t="shared" si="20"/>
        <v>82952.26934050252</v>
      </c>
      <c r="M53" s="32">
        <f t="shared" si="20"/>
        <v>2499356.8724284363</v>
      </c>
      <c r="N53" s="32">
        <f t="shared" si="20"/>
        <v>1281823.6246819783</v>
      </c>
      <c r="O53" s="32">
        <f t="shared" si="20"/>
        <v>569938.86291419517</v>
      </c>
      <c r="P53" s="32">
        <f t="shared" si="20"/>
        <v>314650.38798425504</v>
      </c>
    </row>
    <row r="54" spans="1:16" x14ac:dyDescent="0.25">
      <c r="A54" s="80" t="s">
        <v>344</v>
      </c>
      <c r="B54" s="126" t="s">
        <v>338</v>
      </c>
      <c r="C54" s="25" t="s">
        <v>20</v>
      </c>
      <c r="D54" s="25">
        <f t="shared" ref="D54:P54" si="21">D12+D15+D23+D41+D19+D46+D27</f>
        <v>21032.724619694734</v>
      </c>
      <c r="E54" s="25">
        <f t="shared" si="21"/>
        <v>29484.214606773319</v>
      </c>
      <c r="F54" s="25">
        <f t="shared" si="21"/>
        <v>37867.945701126519</v>
      </c>
      <c r="G54" s="25">
        <f t="shared" si="21"/>
        <v>54579.786782480202</v>
      </c>
      <c r="H54" s="25">
        <f t="shared" si="21"/>
        <v>71385.113690307568</v>
      </c>
      <c r="I54" s="31">
        <f t="shared" si="21"/>
        <v>75957.74406078906</v>
      </c>
      <c r="J54" s="31">
        <f t="shared" si="21"/>
        <v>109582.73412566188</v>
      </c>
      <c r="K54" s="31">
        <f t="shared" si="21"/>
        <v>143120.28857439719</v>
      </c>
      <c r="L54" s="31">
        <f t="shared" si="21"/>
        <v>176320.66343272926</v>
      </c>
      <c r="M54" s="32">
        <f t="shared" si="21"/>
        <v>85413.803432191373</v>
      </c>
      <c r="N54" s="32">
        <f t="shared" si="21"/>
        <v>153521.83012722907</v>
      </c>
      <c r="O54" s="32">
        <f t="shared" si="21"/>
        <v>220246.54377543402</v>
      </c>
      <c r="P54" s="32">
        <f t="shared" si="21"/>
        <v>286800.75960685284</v>
      </c>
    </row>
    <row r="55" spans="1:16" x14ac:dyDescent="0.25">
      <c r="A55" s="80" t="s">
        <v>345</v>
      </c>
      <c r="B55" s="126" t="s">
        <v>337</v>
      </c>
      <c r="C55" s="25" t="s">
        <v>20</v>
      </c>
      <c r="D55" s="25">
        <f t="shared" ref="D55:P55" si="22">D54/D2</f>
        <v>82.159080545682556</v>
      </c>
      <c r="E55" s="25">
        <f t="shared" si="22"/>
        <v>76.781808871805524</v>
      </c>
      <c r="F55" s="25">
        <f t="shared" si="22"/>
        <v>73.960831447512732</v>
      </c>
      <c r="G55" s="25">
        <f t="shared" si="22"/>
        <v>71.067430706354429</v>
      </c>
      <c r="H55" s="25">
        <f t="shared" si="22"/>
        <v>69.712025088190984</v>
      </c>
      <c r="I55" s="31">
        <f t="shared" si="22"/>
        <v>74.177484434364317</v>
      </c>
      <c r="J55" s="31">
        <f t="shared" si="22"/>
        <v>71.342925863061126</v>
      </c>
      <c r="K55" s="31">
        <f t="shared" si="22"/>
        <v>69.882953405467376</v>
      </c>
      <c r="L55" s="31">
        <f t="shared" si="22"/>
        <v>68.875259153409871</v>
      </c>
      <c r="M55" s="32">
        <f t="shared" si="22"/>
        <v>83.411917414249388</v>
      </c>
      <c r="N55" s="32">
        <f t="shared" si="22"/>
        <v>74.961831116811069</v>
      </c>
      <c r="O55" s="32">
        <f t="shared" si="22"/>
        <v>71.694838468565763</v>
      </c>
      <c r="P55" s="32">
        <f t="shared" si="22"/>
        <v>70.019716700891806</v>
      </c>
    </row>
    <row r="56" spans="1:16" x14ac:dyDescent="0.25">
      <c r="A56" s="80" t="s">
        <v>83</v>
      </c>
      <c r="B56" s="126" t="s">
        <v>338</v>
      </c>
      <c r="C56" s="25" t="s">
        <v>20</v>
      </c>
      <c r="D56" s="25">
        <f>D54+D53</f>
        <v>239722.39580750198</v>
      </c>
      <c r="E56" s="25">
        <f>E54+E53</f>
        <v>200418.14218344272</v>
      </c>
      <c r="F56" s="25">
        <f>F54+F53</f>
        <v>158601.579367642</v>
      </c>
      <c r="G56" s="25">
        <f>G54+G53</f>
        <v>122473.29833355459</v>
      </c>
      <c r="H56" s="25">
        <f>H54+H53</f>
        <v>123966.04470527872</v>
      </c>
      <c r="I56" s="31">
        <f t="shared" ref="I56:P56" si="23">I54+I53</f>
        <v>384865.11523477139</v>
      </c>
      <c r="J56" s="31">
        <f t="shared" si="23"/>
        <v>303148.37580276281</v>
      </c>
      <c r="K56" s="31">
        <f t="shared" si="23"/>
        <v>275807.25698980433</v>
      </c>
      <c r="L56" s="31">
        <f t="shared" si="23"/>
        <v>259272.93277323176</v>
      </c>
      <c r="M56" s="32">
        <f t="shared" si="23"/>
        <v>2584770.6758606276</v>
      </c>
      <c r="N56" s="32">
        <f t="shared" si="23"/>
        <v>1435345.4548092072</v>
      </c>
      <c r="O56" s="32">
        <f t="shared" si="23"/>
        <v>790185.40668962919</v>
      </c>
      <c r="P56" s="32">
        <f t="shared" si="23"/>
        <v>601451.14759110787</v>
      </c>
    </row>
    <row r="57" spans="1:16" x14ac:dyDescent="0.25">
      <c r="A57" s="80" t="s">
        <v>157</v>
      </c>
      <c r="B57" s="40" t="s">
        <v>340</v>
      </c>
      <c r="C57" s="31">
        <f>C38+C18+C40+C45+C28+C24+C13</f>
        <v>163.84</v>
      </c>
      <c r="D57" s="31" t="s">
        <v>20</v>
      </c>
      <c r="E57" s="31" t="s">
        <v>20</v>
      </c>
      <c r="F57" s="31" t="s">
        <v>20</v>
      </c>
      <c r="G57" s="31" t="s">
        <v>20</v>
      </c>
      <c r="H57" s="31" t="s">
        <v>20</v>
      </c>
      <c r="I57" s="103" t="s">
        <v>20</v>
      </c>
      <c r="J57" s="103" t="s">
        <v>20</v>
      </c>
      <c r="K57" s="103" t="s">
        <v>20</v>
      </c>
      <c r="L57" s="103" t="s">
        <v>20</v>
      </c>
      <c r="M57" s="104" t="s">
        <v>20</v>
      </c>
      <c r="N57" s="104" t="s">
        <v>20</v>
      </c>
      <c r="O57" s="104" t="s">
        <v>20</v>
      </c>
      <c r="P57" s="104" t="s">
        <v>20</v>
      </c>
    </row>
    <row r="61" spans="1:16" x14ac:dyDescent="0.25">
      <c r="A61" s="126" t="s">
        <v>269</v>
      </c>
      <c r="B61" s="126"/>
    </row>
    <row r="62" spans="1:16" x14ac:dyDescent="0.25">
      <c r="A62" s="2">
        <v>1</v>
      </c>
      <c r="B62" s="2"/>
      <c r="C62" t="s">
        <v>325</v>
      </c>
    </row>
    <row r="63" spans="1:16" x14ac:dyDescent="0.25">
      <c r="A63" s="2">
        <v>2</v>
      </c>
      <c r="B63" s="2"/>
      <c r="C63" t="s">
        <v>538</v>
      </c>
    </row>
    <row r="64" spans="1:16" x14ac:dyDescent="0.25">
      <c r="A64" s="2">
        <v>3</v>
      </c>
      <c r="B64" s="2"/>
      <c r="C64" t="s">
        <v>539</v>
      </c>
    </row>
    <row r="65" spans="1:13" x14ac:dyDescent="0.25">
      <c r="A65" s="2">
        <v>4</v>
      </c>
      <c r="C65" t="s">
        <v>540</v>
      </c>
    </row>
    <row r="66" spans="1:13" x14ac:dyDescent="0.25">
      <c r="A66" s="38">
        <v>5</v>
      </c>
      <c r="C66" t="s">
        <v>541</v>
      </c>
    </row>
    <row r="68" spans="1:13" x14ac:dyDescent="0.25">
      <c r="B68" s="39">
        <v>256</v>
      </c>
      <c r="C68" s="39">
        <v>384</v>
      </c>
      <c r="D68" s="39">
        <v>512</v>
      </c>
      <c r="E68" s="39">
        <v>768</v>
      </c>
      <c r="F68" s="39">
        <v>1024</v>
      </c>
      <c r="G68" s="113"/>
      <c r="I68" s="39">
        <v>256</v>
      </c>
      <c r="J68" s="39">
        <v>384</v>
      </c>
      <c r="K68" s="39">
        <v>512</v>
      </c>
      <c r="L68" s="39">
        <v>768</v>
      </c>
      <c r="M68" s="134">
        <v>1024</v>
      </c>
    </row>
    <row r="69" spans="1:13" x14ac:dyDescent="0.25">
      <c r="A69" t="str">
        <f>$A$12</f>
        <v>BB Precoding</v>
      </c>
      <c r="B69" s="78">
        <f>D12</f>
        <v>3264</v>
      </c>
      <c r="C69" s="78">
        <f>E12</f>
        <v>3264</v>
      </c>
      <c r="D69" s="78">
        <f>F12</f>
        <v>3264</v>
      </c>
      <c r="E69" s="78">
        <f>$G$12</f>
        <v>3264</v>
      </c>
      <c r="F69" s="78">
        <f>H12</f>
        <v>3264</v>
      </c>
      <c r="G69" s="78"/>
      <c r="H69" t="str">
        <f t="shared" ref="H69:H76" si="24">A69</f>
        <v>BB Precoding</v>
      </c>
      <c r="I69" s="78">
        <f>B69/1000</f>
        <v>3.2639999999999998</v>
      </c>
      <c r="J69" s="78">
        <f>C69/1000</f>
        <v>3.2639999999999998</v>
      </c>
      <c r="K69" s="78">
        <f>D69/1000</f>
        <v>3.2639999999999998</v>
      </c>
      <c r="L69" s="78">
        <f>E69/1000</f>
        <v>3.2639999999999998</v>
      </c>
      <c r="M69" s="78">
        <f>F69/1000</f>
        <v>3.2639999999999998</v>
      </c>
    </row>
    <row r="70" spans="1:13" x14ac:dyDescent="0.25">
      <c r="A70" t="str">
        <f>$A$15</f>
        <v>SERDES</v>
      </c>
      <c r="B70" s="78">
        <f>D15</f>
        <v>975.21406438213251</v>
      </c>
      <c r="C70" s="78">
        <f t="shared" ref="C70:D70" si="25">E15</f>
        <v>990.87474976808699</v>
      </c>
      <c r="D70" s="78">
        <f t="shared" si="25"/>
        <v>984.96753006596828</v>
      </c>
      <c r="E70" s="78">
        <f>$G$15</f>
        <v>968.21488211858946</v>
      </c>
      <c r="F70" s="78">
        <f>H15</f>
        <v>971.37432908313724</v>
      </c>
      <c r="G70" s="78"/>
      <c r="H70" t="str">
        <f t="shared" si="24"/>
        <v>SERDES</v>
      </c>
      <c r="I70" s="78">
        <f t="shared" ref="I70:M76" si="26">B70/1000</f>
        <v>0.97521406438213254</v>
      </c>
      <c r="J70" s="78">
        <f t="shared" si="26"/>
        <v>0.99087474976808698</v>
      </c>
      <c r="K70" s="78">
        <f t="shared" si="26"/>
        <v>0.98496753006596827</v>
      </c>
      <c r="L70" s="78">
        <f t="shared" si="26"/>
        <v>0.96821488211858941</v>
      </c>
      <c r="M70" s="78">
        <f t="shared" si="26"/>
        <v>0.97137432908313726</v>
      </c>
    </row>
    <row r="71" spans="1:13" x14ac:dyDescent="0.25">
      <c r="A71" t="str">
        <f>$A$19</f>
        <v>DAC</v>
      </c>
      <c r="B71" s="78">
        <f>D19</f>
        <v>313.51055531260101</v>
      </c>
      <c r="C71" s="78">
        <f t="shared" ref="C71:D71" si="27">E19</f>
        <v>509.33985700523129</v>
      </c>
      <c r="D71" s="78">
        <f t="shared" si="27"/>
        <v>658.97817106055084</v>
      </c>
      <c r="E71" s="78">
        <f>$G$19</f>
        <v>907.57190036161251</v>
      </c>
      <c r="F71" s="78">
        <f>H19</f>
        <v>1229.7393612244255</v>
      </c>
      <c r="G71" s="78"/>
      <c r="H71" t="str">
        <f t="shared" si="24"/>
        <v>DAC</v>
      </c>
      <c r="I71" s="78">
        <f t="shared" si="26"/>
        <v>0.31351055531260102</v>
      </c>
      <c r="J71" s="78">
        <f t="shared" si="26"/>
        <v>0.50933985700523132</v>
      </c>
      <c r="K71" s="78">
        <f t="shared" si="26"/>
        <v>0.65897817106055079</v>
      </c>
      <c r="L71" s="78">
        <f t="shared" si="26"/>
        <v>0.9075719003616125</v>
      </c>
      <c r="M71" s="78">
        <f t="shared" si="26"/>
        <v>1.2297393612244254</v>
      </c>
    </row>
    <row r="72" spans="1:13" x14ac:dyDescent="0.25">
      <c r="A72" t="str">
        <f>$A$23</f>
        <v>Mixer</v>
      </c>
      <c r="B72" s="78">
        <f>D23</f>
        <v>160</v>
      </c>
      <c r="C72" s="78">
        <f t="shared" ref="C72:D72" si="28">E23</f>
        <v>240</v>
      </c>
      <c r="D72" s="78">
        <f t="shared" si="28"/>
        <v>320</v>
      </c>
      <c r="E72" s="78">
        <f>$G$23</f>
        <v>480</v>
      </c>
      <c r="F72" s="78">
        <f>H23</f>
        <v>640</v>
      </c>
      <c r="G72" s="78"/>
      <c r="H72" t="str">
        <f t="shared" si="24"/>
        <v>Mixer</v>
      </c>
      <c r="I72" s="78">
        <f t="shared" si="26"/>
        <v>0.16</v>
      </c>
      <c r="J72" s="78">
        <f t="shared" si="26"/>
        <v>0.24</v>
      </c>
      <c r="K72" s="78">
        <f t="shared" si="26"/>
        <v>0.32</v>
      </c>
      <c r="L72" s="78">
        <f t="shared" si="26"/>
        <v>0.48</v>
      </c>
      <c r="M72" s="78">
        <f t="shared" si="26"/>
        <v>0.64</v>
      </c>
    </row>
    <row r="73" spans="1:13" x14ac:dyDescent="0.25">
      <c r="A73" t="str">
        <f>$A$27</f>
        <v xml:space="preserve"> VCO</v>
      </c>
      <c r="B73" s="78">
        <f>D27</f>
        <v>960</v>
      </c>
      <c r="C73" s="78">
        <f t="shared" ref="C73:D73" si="29">E27</f>
        <v>1440</v>
      </c>
      <c r="D73" s="78">
        <f t="shared" si="29"/>
        <v>1920</v>
      </c>
      <c r="E73" s="78">
        <f>$G$27</f>
        <v>2880</v>
      </c>
      <c r="F73" s="78">
        <f>H27</f>
        <v>3840</v>
      </c>
      <c r="G73" s="78"/>
      <c r="H73" t="str">
        <f t="shared" si="24"/>
        <v xml:space="preserve"> VCO</v>
      </c>
      <c r="I73" s="78">
        <f t="shared" si="26"/>
        <v>0.96</v>
      </c>
      <c r="J73" s="78">
        <f t="shared" si="26"/>
        <v>1.44</v>
      </c>
      <c r="K73" s="78">
        <f t="shared" si="26"/>
        <v>1.92</v>
      </c>
      <c r="L73" s="78">
        <f t="shared" si="26"/>
        <v>2.88</v>
      </c>
      <c r="M73" s="78">
        <f t="shared" si="26"/>
        <v>3.84</v>
      </c>
    </row>
    <row r="74" spans="1:13" x14ac:dyDescent="0.25">
      <c r="A74" t="str">
        <f>$A$41</f>
        <v>PS</v>
      </c>
      <c r="B74" s="78">
        <f>D41</f>
        <v>2560</v>
      </c>
      <c r="C74" s="78">
        <f t="shared" ref="C74:D74" si="30">E41</f>
        <v>3840</v>
      </c>
      <c r="D74" s="78">
        <f t="shared" si="30"/>
        <v>5120</v>
      </c>
      <c r="E74" s="78">
        <f>$G$41</f>
        <v>7680</v>
      </c>
      <c r="F74" s="78">
        <f>H41</f>
        <v>10240</v>
      </c>
      <c r="G74" s="78"/>
      <c r="H74" t="str">
        <f t="shared" si="24"/>
        <v>PS</v>
      </c>
      <c r="I74" s="78">
        <f t="shared" si="26"/>
        <v>2.56</v>
      </c>
      <c r="J74" s="78">
        <f t="shared" si="26"/>
        <v>3.84</v>
      </c>
      <c r="K74" s="78">
        <f t="shared" si="26"/>
        <v>5.12</v>
      </c>
      <c r="L74" s="78">
        <f t="shared" si="26"/>
        <v>7.68</v>
      </c>
      <c r="M74" s="78">
        <f t="shared" si="26"/>
        <v>10.24</v>
      </c>
    </row>
    <row r="75" spans="1:13" x14ac:dyDescent="0.25">
      <c r="A75" t="str">
        <f>$A$46</f>
        <v>RF Amp</v>
      </c>
      <c r="B75" s="78">
        <f>D46</f>
        <v>12800</v>
      </c>
      <c r="C75" s="78">
        <f t="shared" ref="C75:D75" si="31">E46</f>
        <v>19200</v>
      </c>
      <c r="D75" s="78">
        <f t="shared" si="31"/>
        <v>25600</v>
      </c>
      <c r="E75" s="78">
        <f>$G$46</f>
        <v>38400</v>
      </c>
      <c r="F75" s="78">
        <f>H46</f>
        <v>51200</v>
      </c>
      <c r="G75" s="78"/>
      <c r="H75" t="str">
        <f t="shared" si="24"/>
        <v>RF Amp</v>
      </c>
      <c r="I75" s="78">
        <f t="shared" si="26"/>
        <v>12.8</v>
      </c>
      <c r="J75" s="78">
        <f t="shared" si="26"/>
        <v>19.2</v>
      </c>
      <c r="K75" s="78">
        <f t="shared" si="26"/>
        <v>25.6</v>
      </c>
      <c r="L75" s="78">
        <f t="shared" si="26"/>
        <v>38.4</v>
      </c>
      <c r="M75" s="78">
        <f t="shared" si="26"/>
        <v>51.2</v>
      </c>
    </row>
    <row r="76" spans="1:13" x14ac:dyDescent="0.25">
      <c r="A76" t="str">
        <f>$A$53</f>
        <v>PA</v>
      </c>
      <c r="B76" s="78">
        <f>D53</f>
        <v>218689.67118780725</v>
      </c>
      <c r="C76" s="78">
        <f t="shared" ref="C76:D76" si="32">E53</f>
        <v>170933.9275766694</v>
      </c>
      <c r="D76" s="78">
        <f t="shared" si="32"/>
        <v>120733.63366651548</v>
      </c>
      <c r="E76" s="78">
        <f>$G$53</f>
        <v>67893.511551074393</v>
      </c>
      <c r="F76" s="78">
        <f>H53</f>
        <v>52580.931014971153</v>
      </c>
      <c r="G76" s="78"/>
      <c r="H76" t="str">
        <f t="shared" si="24"/>
        <v>PA</v>
      </c>
      <c r="I76" s="78">
        <f t="shared" si="26"/>
        <v>218.68967118780725</v>
      </c>
      <c r="J76" s="78">
        <f t="shared" si="26"/>
        <v>170.93392757666942</v>
      </c>
      <c r="K76" s="78">
        <f t="shared" si="26"/>
        <v>120.73363366651549</v>
      </c>
      <c r="L76" s="78">
        <f t="shared" si="26"/>
        <v>67.893511551074397</v>
      </c>
      <c r="M76" s="78">
        <f t="shared" si="26"/>
        <v>52.580931014971149</v>
      </c>
    </row>
    <row r="78" spans="1:13" x14ac:dyDescent="0.25">
      <c r="B78" s="39">
        <f>I2</f>
        <v>1024</v>
      </c>
      <c r="C78" s="39">
        <f>J2</f>
        <v>1536</v>
      </c>
      <c r="D78" s="39">
        <f>K2</f>
        <v>2048</v>
      </c>
      <c r="E78" s="39">
        <f>L2</f>
        <v>2560</v>
      </c>
      <c r="F78" s="39"/>
      <c r="G78" s="113"/>
      <c r="I78" s="39">
        <f>I2</f>
        <v>1024</v>
      </c>
      <c r="J78" s="39">
        <f>J2</f>
        <v>1536</v>
      </c>
      <c r="K78" s="39">
        <f>K2</f>
        <v>2048</v>
      </c>
      <c r="L78" s="39">
        <f>L2</f>
        <v>2560</v>
      </c>
    </row>
    <row r="79" spans="1:13" x14ac:dyDescent="0.25">
      <c r="A79" t="str">
        <f>$A$12</f>
        <v>BB Precoding</v>
      </c>
      <c r="B79" s="78">
        <f>I12</f>
        <v>6528</v>
      </c>
      <c r="C79" s="78">
        <f>J12</f>
        <v>6528</v>
      </c>
      <c r="D79" s="78">
        <f>K12</f>
        <v>6528</v>
      </c>
      <c r="E79" s="78">
        <f>$L$12</f>
        <v>6528</v>
      </c>
      <c r="F79" s="78"/>
      <c r="G79" s="78"/>
      <c r="H79" s="78" t="str">
        <f>$A$12</f>
        <v>BB Precoding</v>
      </c>
      <c r="I79" s="78">
        <f>B79/1000</f>
        <v>6.5279999999999996</v>
      </c>
      <c r="J79" s="78">
        <f>C79/1000</f>
        <v>6.5279999999999996</v>
      </c>
      <c r="K79" s="78">
        <f>D79/1000</f>
        <v>6.5279999999999996</v>
      </c>
      <c r="L79" s="78">
        <f>E79/1000</f>
        <v>6.5279999999999996</v>
      </c>
    </row>
    <row r="80" spans="1:13" x14ac:dyDescent="0.25">
      <c r="A80" t="str">
        <f>$A$15</f>
        <v>SERDES</v>
      </c>
      <c r="B80" s="78">
        <f>I15</f>
        <v>2018.428128764265</v>
      </c>
      <c r="C80" s="78">
        <f t="shared" ref="C80" si="33">J15</f>
        <v>2006.2294995361735</v>
      </c>
      <c r="D80" s="78">
        <f>K15</f>
        <v>1988.5217267986031</v>
      </c>
      <c r="E80" s="78">
        <f>$L$15</f>
        <v>1939.9742660289221</v>
      </c>
      <c r="F80" s="78"/>
      <c r="G80" s="78"/>
      <c r="H80" s="78" t="str">
        <f>$A$15</f>
        <v>SERDES</v>
      </c>
      <c r="I80" s="78">
        <f t="shared" ref="I80:L86" si="34">B80/1000</f>
        <v>2.0184281287642651</v>
      </c>
      <c r="J80" s="78">
        <f t="shared" si="34"/>
        <v>2.0062294995361736</v>
      </c>
      <c r="K80" s="78">
        <f t="shared" si="34"/>
        <v>1.9885217267986031</v>
      </c>
      <c r="L80" s="78">
        <f t="shared" si="34"/>
        <v>1.9399742660289221</v>
      </c>
    </row>
    <row r="81" spans="1:12" x14ac:dyDescent="0.25">
      <c r="A81" t="str">
        <f>$A$19</f>
        <v>DAC</v>
      </c>
      <c r="B81" s="78">
        <f>I19</f>
        <v>1491.3159320247964</v>
      </c>
      <c r="C81" s="78">
        <f t="shared" ref="C81" si="35">J19</f>
        <v>2168.5046261257044</v>
      </c>
      <c r="D81" s="78">
        <f>K19</f>
        <v>2763.7668475985902</v>
      </c>
      <c r="E81" s="78">
        <f>$L$19</f>
        <v>3052.6891667003238</v>
      </c>
      <c r="F81" s="78"/>
      <c r="G81" s="78"/>
      <c r="H81" s="78" t="str">
        <f>$A$19</f>
        <v>DAC</v>
      </c>
      <c r="I81" s="78">
        <f t="shared" si="34"/>
        <v>1.4913159320247964</v>
      </c>
      <c r="J81" s="78">
        <f t="shared" si="34"/>
        <v>2.1685046261257042</v>
      </c>
      <c r="K81" s="78">
        <f t="shared" si="34"/>
        <v>2.7637668475985904</v>
      </c>
      <c r="L81" s="78">
        <f t="shared" si="34"/>
        <v>3.0526891667003238</v>
      </c>
    </row>
    <row r="82" spans="1:12" x14ac:dyDescent="0.25">
      <c r="A82" t="str">
        <f>$A$23</f>
        <v>Mixer</v>
      </c>
      <c r="B82" s="78">
        <f>I23</f>
        <v>640</v>
      </c>
      <c r="C82" s="78">
        <f t="shared" ref="C82" si="36">J23</f>
        <v>960</v>
      </c>
      <c r="D82" s="78">
        <f>K23</f>
        <v>1280</v>
      </c>
      <c r="E82" s="78">
        <f>$L$23</f>
        <v>1600</v>
      </c>
      <c r="F82" s="78"/>
      <c r="G82" s="78"/>
      <c r="H82" s="78" t="str">
        <f>$A$23</f>
        <v>Mixer</v>
      </c>
      <c r="I82" s="78">
        <f t="shared" si="34"/>
        <v>0.64</v>
      </c>
      <c r="J82" s="78">
        <f t="shared" si="34"/>
        <v>0.96</v>
      </c>
      <c r="K82" s="78">
        <f t="shared" si="34"/>
        <v>1.28</v>
      </c>
      <c r="L82" s="78">
        <f t="shared" si="34"/>
        <v>1.6</v>
      </c>
    </row>
    <row r="83" spans="1:12" x14ac:dyDescent="0.25">
      <c r="A83" t="str">
        <f>$A$27</f>
        <v xml:space="preserve"> VCO</v>
      </c>
      <c r="B83" s="78">
        <f>I27</f>
        <v>3840</v>
      </c>
      <c r="C83" s="78">
        <f t="shared" ref="C83" si="37">J27</f>
        <v>5760</v>
      </c>
      <c r="D83" s="78">
        <f>K27</f>
        <v>7680</v>
      </c>
      <c r="E83" s="78">
        <f>$L$27</f>
        <v>9600</v>
      </c>
      <c r="F83" s="78"/>
      <c r="G83" s="78"/>
      <c r="H83" s="78" t="str">
        <f>$A$27</f>
        <v xml:space="preserve"> VCO</v>
      </c>
      <c r="I83" s="78">
        <f t="shared" si="34"/>
        <v>3.84</v>
      </c>
      <c r="J83" s="78">
        <f t="shared" si="34"/>
        <v>5.76</v>
      </c>
      <c r="K83" s="78">
        <f t="shared" si="34"/>
        <v>7.68</v>
      </c>
      <c r="L83" s="78">
        <f t="shared" si="34"/>
        <v>9.6</v>
      </c>
    </row>
    <row r="84" spans="1:12" x14ac:dyDescent="0.25">
      <c r="A84" t="str">
        <f>$A$41</f>
        <v>PS</v>
      </c>
      <c r="B84" s="78">
        <f>I41</f>
        <v>10240</v>
      </c>
      <c r="C84" s="78">
        <f t="shared" ref="C84" si="38">J41</f>
        <v>15360</v>
      </c>
      <c r="D84" s="78">
        <f>K41</f>
        <v>20480</v>
      </c>
      <c r="E84" s="78">
        <f>$L$41</f>
        <v>25600</v>
      </c>
      <c r="F84" s="78"/>
      <c r="G84" s="78"/>
      <c r="H84" s="78" t="str">
        <f>$A$41</f>
        <v>PS</v>
      </c>
      <c r="I84" s="78">
        <f t="shared" si="34"/>
        <v>10.24</v>
      </c>
      <c r="J84" s="78">
        <f t="shared" si="34"/>
        <v>15.36</v>
      </c>
      <c r="K84" s="78">
        <f t="shared" si="34"/>
        <v>20.48</v>
      </c>
      <c r="L84" s="78">
        <f t="shared" si="34"/>
        <v>25.6</v>
      </c>
    </row>
    <row r="85" spans="1:12" x14ac:dyDescent="0.25">
      <c r="A85" t="str">
        <f>$A$46</f>
        <v>RF Amp</v>
      </c>
      <c r="B85" s="78">
        <f>I46</f>
        <v>51200</v>
      </c>
      <c r="C85" s="78">
        <f t="shared" ref="C85" si="39">J46</f>
        <v>76800</v>
      </c>
      <c r="D85" s="78">
        <f>K46</f>
        <v>102400</v>
      </c>
      <c r="E85" s="78">
        <f>$L$46</f>
        <v>128000</v>
      </c>
      <c r="F85" s="78"/>
      <c r="G85" s="78"/>
      <c r="H85" s="78" t="str">
        <f>$A$46</f>
        <v>RF Amp</v>
      </c>
      <c r="I85" s="78">
        <f t="shared" si="34"/>
        <v>51.2</v>
      </c>
      <c r="J85" s="78">
        <f t="shared" si="34"/>
        <v>76.8</v>
      </c>
      <c r="K85" s="78">
        <f t="shared" si="34"/>
        <v>102.4</v>
      </c>
      <c r="L85" s="78">
        <f t="shared" si="34"/>
        <v>128</v>
      </c>
    </row>
    <row r="86" spans="1:12" x14ac:dyDescent="0.25">
      <c r="A86" t="str">
        <f>$A$53</f>
        <v>PA</v>
      </c>
      <c r="B86" s="78">
        <f>I53</f>
        <v>308907.37117398233</v>
      </c>
      <c r="C86" s="78">
        <f t="shared" ref="C86" si="40">J53</f>
        <v>193565.64167710091</v>
      </c>
      <c r="D86" s="78">
        <f>K53</f>
        <v>132686.96841540714</v>
      </c>
      <c r="E86" s="78">
        <f>$L$53</f>
        <v>82952.26934050252</v>
      </c>
      <c r="F86" s="78"/>
      <c r="G86" s="78"/>
      <c r="H86" s="78" t="str">
        <f>$A$53</f>
        <v>PA</v>
      </c>
      <c r="I86" s="78">
        <f t="shared" si="34"/>
        <v>308.90737117398231</v>
      </c>
      <c r="J86" s="78">
        <f t="shared" si="34"/>
        <v>193.5656416771009</v>
      </c>
      <c r="K86" s="78">
        <f t="shared" si="34"/>
        <v>132.68696841540714</v>
      </c>
      <c r="L86" s="78">
        <f t="shared" si="34"/>
        <v>82.952269340502525</v>
      </c>
    </row>
    <row r="88" spans="1:12" x14ac:dyDescent="0.25">
      <c r="B88" s="39">
        <f>M2</f>
        <v>1024</v>
      </c>
      <c r="C88" s="39">
        <f>N2</f>
        <v>2048</v>
      </c>
      <c r="D88" s="39">
        <f>O2</f>
        <v>3072</v>
      </c>
      <c r="E88" s="39">
        <f>P2</f>
        <v>4096</v>
      </c>
      <c r="F88" s="39"/>
      <c r="G88" s="113"/>
      <c r="I88" s="39">
        <f>M2</f>
        <v>1024</v>
      </c>
      <c r="J88" s="39">
        <f>N2</f>
        <v>2048</v>
      </c>
      <c r="K88" s="39">
        <f>O2</f>
        <v>3072</v>
      </c>
      <c r="L88" s="39">
        <f>P2</f>
        <v>4096</v>
      </c>
    </row>
    <row r="89" spans="1:12" x14ac:dyDescent="0.25">
      <c r="A89" t="str">
        <f>$A$12</f>
        <v>BB Precoding</v>
      </c>
      <c r="B89" s="78">
        <f>M12</f>
        <v>13056</v>
      </c>
      <c r="C89" s="78">
        <f>N12</f>
        <v>13056</v>
      </c>
      <c r="D89" s="78">
        <f>O12</f>
        <v>13056</v>
      </c>
      <c r="E89" s="78">
        <f>$P$12</f>
        <v>13056</v>
      </c>
      <c r="F89" s="78"/>
      <c r="G89" s="78"/>
      <c r="H89" s="78" t="str">
        <f>$A$12</f>
        <v>BB Precoding</v>
      </c>
      <c r="I89" s="78">
        <f>B89/1000</f>
        <v>13.055999999999999</v>
      </c>
      <c r="J89" s="78">
        <f>C89/1000</f>
        <v>13.055999999999999</v>
      </c>
      <c r="K89" s="78">
        <f>D89/1000</f>
        <v>13.055999999999999</v>
      </c>
      <c r="L89" s="78">
        <f>E89/1000</f>
        <v>13.055999999999999</v>
      </c>
    </row>
    <row r="90" spans="1:12" x14ac:dyDescent="0.25">
      <c r="A90" t="str">
        <f>$A$15</f>
        <v>SERDES</v>
      </c>
      <c r="B90" s="78">
        <f>M15</f>
        <v>4314.2418653911764</v>
      </c>
      <c r="C90" s="78">
        <f t="shared" ref="C90:D90" si="41">N15</f>
        <v>4324.2423947931875</v>
      </c>
      <c r="D90" s="78">
        <f t="shared" si="41"/>
        <v>4164.7518030036717</v>
      </c>
      <c r="E90" s="78">
        <f>$P$15</f>
        <v>4044.1095908618631</v>
      </c>
      <c r="F90" s="78"/>
      <c r="G90" s="78"/>
      <c r="H90" s="78" t="str">
        <f>$A$15</f>
        <v>SERDES</v>
      </c>
      <c r="I90" s="78">
        <f t="shared" ref="I90:L96" si="42">B90/1000</f>
        <v>4.3142418653911765</v>
      </c>
      <c r="J90" s="78">
        <f t="shared" si="42"/>
        <v>4.3242423947931874</v>
      </c>
      <c r="K90" s="78">
        <f t="shared" si="42"/>
        <v>4.1647518030036714</v>
      </c>
      <c r="L90" s="78">
        <f t="shared" si="42"/>
        <v>4.0441095908618632</v>
      </c>
    </row>
    <row r="91" spans="1:12" x14ac:dyDescent="0.25">
      <c r="A91" t="str">
        <f>$A$19</f>
        <v>DAC</v>
      </c>
      <c r="B91" s="78">
        <f>M19</f>
        <v>2123.5615668002038</v>
      </c>
      <c r="C91" s="78">
        <f t="shared" ref="C91:D91" si="43">N19</f>
        <v>4301.5877324358817</v>
      </c>
      <c r="D91" s="78">
        <f t="shared" si="43"/>
        <v>5265.7919724303392</v>
      </c>
      <c r="E91" s="78">
        <f>$P$19</f>
        <v>6020.6500159909901</v>
      </c>
      <c r="F91" s="78"/>
      <c r="G91" s="78"/>
      <c r="H91" s="78" t="str">
        <f>$A$19</f>
        <v>DAC</v>
      </c>
      <c r="I91" s="78">
        <f t="shared" si="42"/>
        <v>2.1235615668002037</v>
      </c>
      <c r="J91" s="78">
        <f t="shared" si="42"/>
        <v>4.3015877324358813</v>
      </c>
      <c r="K91" s="78">
        <f t="shared" si="42"/>
        <v>5.265791972430339</v>
      </c>
      <c r="L91" s="78">
        <f t="shared" si="42"/>
        <v>6.0206500159909897</v>
      </c>
    </row>
    <row r="92" spans="1:12" x14ac:dyDescent="0.25">
      <c r="A92" t="str">
        <f>$A$23</f>
        <v>Mixer</v>
      </c>
      <c r="B92" s="78">
        <f>M23</f>
        <v>640</v>
      </c>
      <c r="C92" s="78">
        <f t="shared" ref="C92:D92" si="44">N23</f>
        <v>1280</v>
      </c>
      <c r="D92" s="78">
        <f t="shared" si="44"/>
        <v>1920</v>
      </c>
      <c r="E92" s="78">
        <f>$P$23</f>
        <v>2560</v>
      </c>
      <c r="F92" s="78"/>
      <c r="G92" s="78"/>
      <c r="H92" s="78" t="str">
        <f>$A$23</f>
        <v>Mixer</v>
      </c>
      <c r="I92" s="78">
        <f t="shared" si="42"/>
        <v>0.64</v>
      </c>
      <c r="J92" s="78">
        <f t="shared" si="42"/>
        <v>1.28</v>
      </c>
      <c r="K92" s="78">
        <f t="shared" si="42"/>
        <v>1.92</v>
      </c>
      <c r="L92" s="78">
        <f t="shared" si="42"/>
        <v>2.56</v>
      </c>
    </row>
    <row r="93" spans="1:12" x14ac:dyDescent="0.25">
      <c r="A93" t="str">
        <f>$A$27</f>
        <v xml:space="preserve"> VCO</v>
      </c>
      <c r="B93" s="78">
        <f>M27</f>
        <v>3840</v>
      </c>
      <c r="C93" s="78">
        <f t="shared" ref="C93:D93" si="45">N27</f>
        <v>7680</v>
      </c>
      <c r="D93" s="78">
        <f t="shared" si="45"/>
        <v>11520</v>
      </c>
      <c r="E93" s="78">
        <f>$P$27</f>
        <v>15360</v>
      </c>
      <c r="F93" s="78"/>
      <c r="G93" s="78"/>
      <c r="H93" s="78" t="str">
        <f>$A$27</f>
        <v xml:space="preserve"> VCO</v>
      </c>
      <c r="I93" s="78">
        <f t="shared" si="42"/>
        <v>3.84</v>
      </c>
      <c r="J93" s="78">
        <f t="shared" si="42"/>
        <v>7.68</v>
      </c>
      <c r="K93" s="78">
        <f t="shared" si="42"/>
        <v>11.52</v>
      </c>
      <c r="L93" s="78">
        <f t="shared" si="42"/>
        <v>15.36</v>
      </c>
    </row>
    <row r="94" spans="1:12" x14ac:dyDescent="0.25">
      <c r="A94" t="str">
        <f>$A$41</f>
        <v>PS</v>
      </c>
      <c r="B94" s="78">
        <f>M41</f>
        <v>10240</v>
      </c>
      <c r="C94" s="78">
        <f t="shared" ref="C94:D94" si="46">N41</f>
        <v>20480</v>
      </c>
      <c r="D94" s="78">
        <f t="shared" si="46"/>
        <v>30720</v>
      </c>
      <c r="E94" s="78">
        <f>$P$41</f>
        <v>40960</v>
      </c>
      <c r="F94" s="78"/>
      <c r="G94" s="78"/>
      <c r="H94" s="78" t="str">
        <f>$A$41</f>
        <v>PS</v>
      </c>
      <c r="I94" s="78">
        <f t="shared" si="42"/>
        <v>10.24</v>
      </c>
      <c r="J94" s="78">
        <f t="shared" si="42"/>
        <v>20.48</v>
      </c>
      <c r="K94" s="78">
        <f t="shared" si="42"/>
        <v>30.72</v>
      </c>
      <c r="L94" s="78">
        <f t="shared" si="42"/>
        <v>40.96</v>
      </c>
    </row>
    <row r="95" spans="1:12" x14ac:dyDescent="0.25">
      <c r="A95" t="str">
        <f>$A$46</f>
        <v>RF Amp</v>
      </c>
      <c r="B95" s="78">
        <f>M46</f>
        <v>51200</v>
      </c>
      <c r="C95" s="78">
        <f t="shared" ref="C95:D95" si="47">N46</f>
        <v>102400</v>
      </c>
      <c r="D95" s="78">
        <f t="shared" si="47"/>
        <v>153600</v>
      </c>
      <c r="E95" s="78">
        <f>$P$46</f>
        <v>204800</v>
      </c>
      <c r="F95" s="78"/>
      <c r="G95" s="78"/>
      <c r="H95" s="78" t="str">
        <f>$A$46</f>
        <v>RF Amp</v>
      </c>
      <c r="I95" s="78">
        <f t="shared" si="42"/>
        <v>51.2</v>
      </c>
      <c r="J95" s="78">
        <f t="shared" si="42"/>
        <v>102.4</v>
      </c>
      <c r="K95" s="78">
        <f t="shared" si="42"/>
        <v>153.6</v>
      </c>
      <c r="L95" s="78">
        <f t="shared" si="42"/>
        <v>204.8</v>
      </c>
    </row>
    <row r="96" spans="1:12" x14ac:dyDescent="0.25">
      <c r="A96" t="str">
        <f>$A$53</f>
        <v>PA</v>
      </c>
      <c r="B96" s="78">
        <f>M53</f>
        <v>2499356.8724284363</v>
      </c>
      <c r="C96" s="78">
        <f t="shared" ref="C96:D96" si="48">N53</f>
        <v>1281823.6246819783</v>
      </c>
      <c r="D96" s="78">
        <f t="shared" si="48"/>
        <v>569938.86291419517</v>
      </c>
      <c r="E96" s="78">
        <f>$P$53</f>
        <v>314650.38798425504</v>
      </c>
      <c r="F96" s="78"/>
      <c r="G96" s="78"/>
      <c r="H96" s="78" t="str">
        <f>$A$53</f>
        <v>PA</v>
      </c>
      <c r="I96" s="78">
        <f t="shared" si="42"/>
        <v>2499.3568724284364</v>
      </c>
      <c r="J96" s="78">
        <f t="shared" si="42"/>
        <v>1281.8236246819783</v>
      </c>
      <c r="K96" s="78">
        <f t="shared" si="42"/>
        <v>569.93886291419517</v>
      </c>
      <c r="L96" s="78">
        <f t="shared" si="42"/>
        <v>314.65038798425502</v>
      </c>
    </row>
    <row r="100" spans="1:4" x14ac:dyDescent="0.25">
      <c r="B100" t="s">
        <v>550</v>
      </c>
      <c r="C100" t="s">
        <v>551</v>
      </c>
      <c r="D100" t="s">
        <v>552</v>
      </c>
    </row>
    <row r="101" spans="1:4" x14ac:dyDescent="0.25">
      <c r="A101" t="str">
        <f t="shared" ref="A101:A108" si="49">A89</f>
        <v>BB Precoding</v>
      </c>
      <c r="B101" s="78">
        <f>'Power Chart'!C3</f>
        <v>251.07692307692307</v>
      </c>
      <c r="C101" s="78">
        <f t="shared" ref="C101:C108" si="50">D79</f>
        <v>6528</v>
      </c>
      <c r="D101" s="78">
        <f t="shared" ref="D101:D108" si="51">E89</f>
        <v>13056</v>
      </c>
    </row>
    <row r="102" spans="1:4" x14ac:dyDescent="0.25">
      <c r="A102" t="str">
        <f t="shared" si="49"/>
        <v>SERDES</v>
      </c>
      <c r="B102" s="78">
        <f>'Power Chart'!C4</f>
        <v>968.21488211858946</v>
      </c>
      <c r="C102" s="78">
        <f t="shared" si="50"/>
        <v>1988.5217267986031</v>
      </c>
      <c r="D102" s="78">
        <f t="shared" si="51"/>
        <v>4044.1095908618631</v>
      </c>
    </row>
    <row r="103" spans="1:4" x14ac:dyDescent="0.25">
      <c r="A103" t="str">
        <f t="shared" si="49"/>
        <v>DAC</v>
      </c>
      <c r="B103" s="78">
        <f>'Power Chart'!C5</f>
        <v>907.57190036161251</v>
      </c>
      <c r="C103" s="78">
        <f t="shared" si="50"/>
        <v>2763.7668475985902</v>
      </c>
      <c r="D103" s="78">
        <f t="shared" si="51"/>
        <v>6020.6500159909901</v>
      </c>
    </row>
    <row r="104" spans="1:4" x14ac:dyDescent="0.25">
      <c r="A104" t="str">
        <f t="shared" si="49"/>
        <v>Mixer</v>
      </c>
      <c r="B104" s="78">
        <f>'Power Chart'!C6</f>
        <v>480</v>
      </c>
      <c r="C104" s="78">
        <f t="shared" si="50"/>
        <v>1280</v>
      </c>
      <c r="D104" s="78">
        <f t="shared" si="51"/>
        <v>2560</v>
      </c>
    </row>
    <row r="105" spans="1:4" x14ac:dyDescent="0.25">
      <c r="A105" t="str">
        <f t="shared" si="49"/>
        <v xml:space="preserve"> VCO</v>
      </c>
      <c r="B105" s="78">
        <f>'Power Chart'!C7</f>
        <v>2880</v>
      </c>
      <c r="C105" s="78">
        <f t="shared" si="50"/>
        <v>7680</v>
      </c>
      <c r="D105" s="78">
        <f t="shared" si="51"/>
        <v>15360</v>
      </c>
    </row>
    <row r="106" spans="1:4" x14ac:dyDescent="0.25">
      <c r="A106" t="str">
        <f t="shared" si="49"/>
        <v>PS</v>
      </c>
      <c r="B106" s="78">
        <f>'Power Chart'!C8</f>
        <v>7680</v>
      </c>
      <c r="C106" s="78">
        <f t="shared" si="50"/>
        <v>20480</v>
      </c>
      <c r="D106" s="78">
        <f t="shared" si="51"/>
        <v>40960</v>
      </c>
    </row>
    <row r="107" spans="1:4" x14ac:dyDescent="0.25">
      <c r="A107" t="str">
        <f t="shared" si="49"/>
        <v>RF Amp</v>
      </c>
      <c r="B107" s="78">
        <f>'Power Chart'!C9</f>
        <v>38400</v>
      </c>
      <c r="C107" s="78">
        <f t="shared" si="50"/>
        <v>102400</v>
      </c>
      <c r="D107" s="78">
        <f t="shared" si="51"/>
        <v>204800</v>
      </c>
    </row>
    <row r="108" spans="1:4" x14ac:dyDescent="0.25">
      <c r="A108" t="str">
        <f t="shared" si="49"/>
        <v>PA</v>
      </c>
      <c r="B108" s="78">
        <f>'Power Chart'!C10</f>
        <v>67893.511551074393</v>
      </c>
      <c r="C108" s="78">
        <f t="shared" si="50"/>
        <v>132686.96841540714</v>
      </c>
      <c r="D108" s="78">
        <f t="shared" si="51"/>
        <v>314650.38798425504</v>
      </c>
    </row>
  </sheetData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06F6A-B430-4CD7-88A7-16A76245666D}">
  <dimension ref="A1:AI88"/>
  <sheetViews>
    <sheetView workbookViewId="0">
      <selection activeCell="C13" sqref="C13:E40"/>
    </sheetView>
  </sheetViews>
  <sheetFormatPr defaultRowHeight="15" x14ac:dyDescent="0.25"/>
  <cols>
    <col min="1" max="1" width="31.140625" customWidth="1"/>
    <col min="2" max="4" width="13.5703125" customWidth="1"/>
    <col min="5" max="5" width="13.28515625" customWidth="1"/>
    <col min="6" max="6" width="11.5703125" customWidth="1"/>
    <col min="7" max="7" width="12" customWidth="1"/>
    <col min="8" max="8" width="12.28515625" customWidth="1"/>
    <col min="9" max="19" width="12.7109375" customWidth="1"/>
    <col min="20" max="20" width="11.85546875" customWidth="1"/>
    <col min="21" max="21" width="12" customWidth="1"/>
    <col min="22" max="22" width="12.28515625" customWidth="1"/>
    <col min="23" max="31" width="14.5703125" customWidth="1"/>
    <col min="32" max="32" width="11.85546875" customWidth="1"/>
    <col min="33" max="34" width="12.140625" customWidth="1"/>
    <col min="35" max="35" width="12.28515625" customWidth="1"/>
  </cols>
  <sheetData>
    <row r="1" spans="1:35" x14ac:dyDescent="0.25">
      <c r="A1" s="152" t="s">
        <v>343</v>
      </c>
      <c r="B1" s="166" t="s">
        <v>326</v>
      </c>
      <c r="C1" s="2" t="s">
        <v>335</v>
      </c>
      <c r="D1" s="2" t="s">
        <v>480</v>
      </c>
      <c r="E1" s="2" t="s">
        <v>481</v>
      </c>
      <c r="F1" s="2" t="s">
        <v>449</v>
      </c>
      <c r="G1" s="2" t="s">
        <v>448</v>
      </c>
      <c r="H1" s="2" t="s">
        <v>450</v>
      </c>
      <c r="I1" s="2" t="s">
        <v>451</v>
      </c>
      <c r="J1" s="161" t="s">
        <v>563</v>
      </c>
      <c r="K1" s="2" t="s">
        <v>592</v>
      </c>
      <c r="L1" s="2" t="s">
        <v>593</v>
      </c>
      <c r="M1" s="2" t="s">
        <v>594</v>
      </c>
      <c r="N1" s="2" t="s">
        <v>595</v>
      </c>
      <c r="O1" s="161" t="s">
        <v>564</v>
      </c>
      <c r="P1" s="2" t="s">
        <v>596</v>
      </c>
      <c r="Q1" s="2" t="s">
        <v>597</v>
      </c>
      <c r="R1" s="2" t="s">
        <v>598</v>
      </c>
      <c r="S1" s="2" t="s">
        <v>599</v>
      </c>
      <c r="T1" s="2" t="s">
        <v>452</v>
      </c>
      <c r="U1" s="2" t="s">
        <v>453</v>
      </c>
      <c r="V1" s="2" t="s">
        <v>454</v>
      </c>
      <c r="W1" s="2" t="s">
        <v>455</v>
      </c>
      <c r="X1" s="2" t="s">
        <v>581</v>
      </c>
      <c r="Y1" s="2" t="s">
        <v>582</v>
      </c>
      <c r="Z1" s="2" t="s">
        <v>583</v>
      </c>
      <c r="AA1" s="2" t="s">
        <v>584</v>
      </c>
      <c r="AB1" s="2" t="s">
        <v>562</v>
      </c>
      <c r="AC1" s="2" t="s">
        <v>561</v>
      </c>
      <c r="AD1" s="2" t="s">
        <v>560</v>
      </c>
      <c r="AE1" s="2" t="s">
        <v>183</v>
      </c>
      <c r="AF1" s="101" t="s">
        <v>457</v>
      </c>
      <c r="AG1" s="101" t="s">
        <v>456</v>
      </c>
      <c r="AH1" s="101" t="s">
        <v>458</v>
      </c>
      <c r="AI1" s="102" t="s">
        <v>459</v>
      </c>
    </row>
    <row r="2" spans="1:35" x14ac:dyDescent="0.25">
      <c r="A2" s="62" t="s">
        <v>8</v>
      </c>
      <c r="B2" s="152" t="s">
        <v>330</v>
      </c>
      <c r="C2" s="29">
        <v>128</v>
      </c>
      <c r="D2" s="29">
        <v>256</v>
      </c>
      <c r="E2" s="29">
        <v>384</v>
      </c>
      <c r="F2" s="29">
        <v>64</v>
      </c>
      <c r="G2" s="29">
        <v>128</v>
      </c>
      <c r="H2" s="29">
        <v>192</v>
      </c>
      <c r="I2" s="29">
        <v>256</v>
      </c>
      <c r="J2" s="29">
        <v>32</v>
      </c>
      <c r="K2" s="29">
        <v>64</v>
      </c>
      <c r="L2" s="29">
        <v>128</v>
      </c>
      <c r="M2" s="29">
        <v>192</v>
      </c>
      <c r="N2" s="29">
        <v>256</v>
      </c>
      <c r="O2" s="29">
        <v>32</v>
      </c>
      <c r="P2" s="29">
        <v>64</v>
      </c>
      <c r="Q2" s="29">
        <v>128</v>
      </c>
      <c r="R2" s="29">
        <v>192</v>
      </c>
      <c r="S2" s="29">
        <v>256</v>
      </c>
      <c r="T2" s="29">
        <v>384</v>
      </c>
      <c r="U2" s="29">
        <v>512</v>
      </c>
      <c r="V2" s="105">
        <v>768</v>
      </c>
      <c r="W2" s="105">
        <v>1024</v>
      </c>
      <c r="X2" s="29">
        <v>256</v>
      </c>
      <c r="Y2" s="29">
        <v>384</v>
      </c>
      <c r="Z2" s="105">
        <v>512</v>
      </c>
      <c r="AA2" s="105">
        <v>768</v>
      </c>
      <c r="AB2" s="105">
        <v>256</v>
      </c>
      <c r="AC2" s="105">
        <v>384</v>
      </c>
      <c r="AD2" s="105">
        <v>512</v>
      </c>
      <c r="AE2" s="105">
        <v>768</v>
      </c>
      <c r="AF2" s="42">
        <v>128</v>
      </c>
      <c r="AG2" s="42">
        <v>256</v>
      </c>
      <c r="AH2" s="42">
        <v>384</v>
      </c>
      <c r="AI2" s="42">
        <v>512</v>
      </c>
    </row>
    <row r="3" spans="1:35" x14ac:dyDescent="0.25">
      <c r="A3" s="62" t="s">
        <v>355</v>
      </c>
      <c r="B3" s="152" t="s">
        <v>330</v>
      </c>
      <c r="C3" s="29">
        <f>C2</f>
        <v>128</v>
      </c>
      <c r="D3" s="29">
        <v>256</v>
      </c>
      <c r="E3" s="29">
        <f>E2</f>
        <v>384</v>
      </c>
      <c r="F3" s="29">
        <f t="shared" ref="F3:AI3" si="0">F2</f>
        <v>64</v>
      </c>
      <c r="G3" s="29">
        <f t="shared" si="0"/>
        <v>128</v>
      </c>
      <c r="H3" s="29">
        <f t="shared" si="0"/>
        <v>192</v>
      </c>
      <c r="I3" s="29">
        <f t="shared" si="0"/>
        <v>256</v>
      </c>
      <c r="J3" s="29">
        <f t="shared" si="0"/>
        <v>32</v>
      </c>
      <c r="K3" s="29">
        <f t="shared" ref="K3:O3" si="1">K2</f>
        <v>64</v>
      </c>
      <c r="L3" s="29">
        <f t="shared" si="1"/>
        <v>128</v>
      </c>
      <c r="M3" s="29">
        <f t="shared" si="1"/>
        <v>192</v>
      </c>
      <c r="N3" s="29">
        <f t="shared" si="1"/>
        <v>256</v>
      </c>
      <c r="O3" s="29">
        <f t="shared" si="1"/>
        <v>32</v>
      </c>
      <c r="P3" s="29">
        <f t="shared" ref="P3:V3" si="2">P2</f>
        <v>64</v>
      </c>
      <c r="Q3" s="29">
        <f t="shared" si="2"/>
        <v>128</v>
      </c>
      <c r="R3" s="29">
        <f t="shared" si="2"/>
        <v>192</v>
      </c>
      <c r="S3" s="29">
        <f t="shared" si="2"/>
        <v>256</v>
      </c>
      <c r="T3" s="29">
        <f t="shared" si="2"/>
        <v>384</v>
      </c>
      <c r="U3" s="29">
        <f t="shared" si="2"/>
        <v>512</v>
      </c>
      <c r="V3" s="105">
        <f t="shared" si="2"/>
        <v>768</v>
      </c>
      <c r="W3" s="105">
        <f t="shared" si="0"/>
        <v>1024</v>
      </c>
      <c r="X3" s="29">
        <f t="shared" ref="X3:AA3" si="3">X2</f>
        <v>256</v>
      </c>
      <c r="Y3" s="29">
        <f t="shared" si="3"/>
        <v>384</v>
      </c>
      <c r="Z3" s="105">
        <f t="shared" si="3"/>
        <v>512</v>
      </c>
      <c r="AA3" s="105">
        <f t="shared" si="3"/>
        <v>768</v>
      </c>
      <c r="AB3" s="105">
        <f t="shared" ref="AB3:AE3" si="4">AB2</f>
        <v>256</v>
      </c>
      <c r="AC3" s="105">
        <f t="shared" si="4"/>
        <v>384</v>
      </c>
      <c r="AD3" s="105">
        <f t="shared" si="4"/>
        <v>512</v>
      </c>
      <c r="AE3" s="105">
        <f t="shared" si="4"/>
        <v>768</v>
      </c>
      <c r="AF3" s="31">
        <f t="shared" si="0"/>
        <v>128</v>
      </c>
      <c r="AG3" s="31">
        <f t="shared" si="0"/>
        <v>256</v>
      </c>
      <c r="AH3" s="31">
        <f t="shared" si="0"/>
        <v>384</v>
      </c>
      <c r="AI3" s="31">
        <f t="shared" si="0"/>
        <v>512</v>
      </c>
    </row>
    <row r="4" spans="1:35" x14ac:dyDescent="0.25">
      <c r="A4" s="62" t="s">
        <v>263</v>
      </c>
      <c r="B4" s="152" t="s">
        <v>330</v>
      </c>
      <c r="C4" s="29">
        <f t="shared" ref="C4:AI4" si="5">C2/C3</f>
        <v>1</v>
      </c>
      <c r="D4" s="29">
        <f t="shared" si="5"/>
        <v>1</v>
      </c>
      <c r="E4" s="29">
        <f t="shared" si="5"/>
        <v>1</v>
      </c>
      <c r="F4" s="29">
        <f t="shared" si="5"/>
        <v>1</v>
      </c>
      <c r="G4" s="29">
        <f t="shared" si="5"/>
        <v>1</v>
      </c>
      <c r="H4" s="29">
        <f t="shared" si="5"/>
        <v>1</v>
      </c>
      <c r="I4" s="29">
        <f t="shared" si="5"/>
        <v>1</v>
      </c>
      <c r="J4" s="29">
        <f t="shared" si="5"/>
        <v>1</v>
      </c>
      <c r="K4" s="29">
        <f t="shared" ref="K4:O4" si="6">K2/K3</f>
        <v>1</v>
      </c>
      <c r="L4" s="29">
        <f t="shared" si="6"/>
        <v>1</v>
      </c>
      <c r="M4" s="29">
        <f t="shared" si="6"/>
        <v>1</v>
      </c>
      <c r="N4" s="29">
        <f t="shared" si="6"/>
        <v>1</v>
      </c>
      <c r="O4" s="29">
        <f t="shared" si="6"/>
        <v>1</v>
      </c>
      <c r="P4" s="29">
        <f t="shared" ref="P4:V4" si="7">P2/P3</f>
        <v>1</v>
      </c>
      <c r="Q4" s="29">
        <f t="shared" si="7"/>
        <v>1</v>
      </c>
      <c r="R4" s="29">
        <f t="shared" si="7"/>
        <v>1</v>
      </c>
      <c r="S4" s="29">
        <f t="shared" si="7"/>
        <v>1</v>
      </c>
      <c r="T4" s="29">
        <f t="shared" si="7"/>
        <v>1</v>
      </c>
      <c r="U4" s="29">
        <f t="shared" si="7"/>
        <v>1</v>
      </c>
      <c r="V4" s="105">
        <f t="shared" si="7"/>
        <v>1</v>
      </c>
      <c r="W4" s="105">
        <f t="shared" si="5"/>
        <v>1</v>
      </c>
      <c r="X4" s="29">
        <f t="shared" ref="X4:AA4" si="8">X2/X3</f>
        <v>1</v>
      </c>
      <c r="Y4" s="29">
        <f t="shared" si="8"/>
        <v>1</v>
      </c>
      <c r="Z4" s="105">
        <f t="shared" si="8"/>
        <v>1</v>
      </c>
      <c r="AA4" s="105">
        <f t="shared" si="8"/>
        <v>1</v>
      </c>
      <c r="AB4" s="105">
        <f t="shared" ref="AB4:AE4" si="9">AB2/AB3</f>
        <v>1</v>
      </c>
      <c r="AC4" s="105">
        <f t="shared" si="9"/>
        <v>1</v>
      </c>
      <c r="AD4" s="105">
        <f t="shared" si="9"/>
        <v>1</v>
      </c>
      <c r="AE4" s="105">
        <f t="shared" si="9"/>
        <v>1</v>
      </c>
      <c r="AF4" s="31">
        <f t="shared" si="5"/>
        <v>1</v>
      </c>
      <c r="AG4" s="31">
        <f t="shared" si="5"/>
        <v>1</v>
      </c>
      <c r="AH4" s="31">
        <f t="shared" si="5"/>
        <v>1</v>
      </c>
      <c r="AI4" s="31">
        <f t="shared" si="5"/>
        <v>1</v>
      </c>
    </row>
    <row r="5" spans="1:35" x14ac:dyDescent="0.25">
      <c r="A5" s="62" t="s">
        <v>464</v>
      </c>
      <c r="B5" s="33" t="s">
        <v>342</v>
      </c>
      <c r="C5" s="25">
        <v>16</v>
      </c>
      <c r="D5" s="25">
        <v>16</v>
      </c>
      <c r="E5" s="25">
        <v>16</v>
      </c>
      <c r="F5" s="29">
        <v>8</v>
      </c>
      <c r="G5" s="112">
        <v>8</v>
      </c>
      <c r="H5" s="112">
        <v>8</v>
      </c>
      <c r="I5" s="29">
        <v>8</v>
      </c>
      <c r="J5" s="29">
        <v>16</v>
      </c>
      <c r="K5" s="29">
        <v>16</v>
      </c>
      <c r="L5" s="29">
        <v>16</v>
      </c>
      <c r="M5" s="29">
        <v>16</v>
      </c>
      <c r="N5" s="29">
        <v>16</v>
      </c>
      <c r="O5" s="29">
        <v>32</v>
      </c>
      <c r="P5" s="29">
        <v>32</v>
      </c>
      <c r="Q5" s="29">
        <v>32</v>
      </c>
      <c r="R5" s="29">
        <v>32</v>
      </c>
      <c r="S5" s="29">
        <v>32</v>
      </c>
      <c r="T5" s="29">
        <v>2</v>
      </c>
      <c r="U5" s="112">
        <v>2</v>
      </c>
      <c r="V5" s="112">
        <v>2</v>
      </c>
      <c r="W5" s="112">
        <v>2</v>
      </c>
      <c r="X5" s="29">
        <v>4</v>
      </c>
      <c r="Y5" s="112">
        <v>4</v>
      </c>
      <c r="Z5" s="112">
        <v>4</v>
      </c>
      <c r="AA5" s="112">
        <v>4</v>
      </c>
      <c r="AB5" s="112">
        <v>8</v>
      </c>
      <c r="AC5" s="112">
        <v>8</v>
      </c>
      <c r="AD5" s="112">
        <v>8</v>
      </c>
      <c r="AE5" s="112">
        <v>8</v>
      </c>
      <c r="AF5" s="39">
        <v>1</v>
      </c>
      <c r="AG5" s="39">
        <v>1</v>
      </c>
      <c r="AH5" s="39">
        <v>1</v>
      </c>
      <c r="AI5" s="39">
        <v>1</v>
      </c>
    </row>
    <row r="6" spans="1:35" x14ac:dyDescent="0.25">
      <c r="A6" s="62" t="s">
        <v>262</v>
      </c>
      <c r="B6" s="152" t="s">
        <v>330</v>
      </c>
      <c r="C6" s="29">
        <f>C3</f>
        <v>128</v>
      </c>
      <c r="D6" s="29">
        <f>D3</f>
        <v>256</v>
      </c>
      <c r="E6" s="29">
        <f>E3</f>
        <v>384</v>
      </c>
      <c r="F6" s="29">
        <f t="shared" ref="F6:AI6" si="10">F3</f>
        <v>64</v>
      </c>
      <c r="G6" s="29">
        <f t="shared" si="10"/>
        <v>128</v>
      </c>
      <c r="H6" s="29">
        <f t="shared" si="10"/>
        <v>192</v>
      </c>
      <c r="I6" s="29">
        <f t="shared" si="10"/>
        <v>256</v>
      </c>
      <c r="J6" s="29">
        <f t="shared" si="10"/>
        <v>32</v>
      </c>
      <c r="K6" s="29">
        <f t="shared" ref="K6:O6" si="11">K3</f>
        <v>64</v>
      </c>
      <c r="L6" s="29">
        <f t="shared" si="11"/>
        <v>128</v>
      </c>
      <c r="M6" s="29">
        <f t="shared" si="11"/>
        <v>192</v>
      </c>
      <c r="N6" s="29">
        <f t="shared" si="11"/>
        <v>256</v>
      </c>
      <c r="O6" s="29">
        <f t="shared" si="11"/>
        <v>32</v>
      </c>
      <c r="P6" s="29">
        <f t="shared" ref="P6:V6" si="12">P3</f>
        <v>64</v>
      </c>
      <c r="Q6" s="29">
        <f t="shared" si="12"/>
        <v>128</v>
      </c>
      <c r="R6" s="29">
        <f t="shared" si="12"/>
        <v>192</v>
      </c>
      <c r="S6" s="29">
        <f t="shared" si="12"/>
        <v>256</v>
      </c>
      <c r="T6" s="29">
        <f t="shared" si="12"/>
        <v>384</v>
      </c>
      <c r="U6" s="29">
        <f t="shared" si="12"/>
        <v>512</v>
      </c>
      <c r="V6" s="105">
        <f t="shared" si="12"/>
        <v>768</v>
      </c>
      <c r="W6" s="105">
        <f t="shared" si="10"/>
        <v>1024</v>
      </c>
      <c r="X6" s="29">
        <f t="shared" ref="X6:AA6" si="13">X3</f>
        <v>256</v>
      </c>
      <c r="Y6" s="29">
        <f t="shared" si="13"/>
        <v>384</v>
      </c>
      <c r="Z6" s="105">
        <f t="shared" si="13"/>
        <v>512</v>
      </c>
      <c r="AA6" s="105">
        <f t="shared" si="13"/>
        <v>768</v>
      </c>
      <c r="AB6" s="105">
        <f t="shared" ref="AB6:AE6" si="14">AB3</f>
        <v>256</v>
      </c>
      <c r="AC6" s="105">
        <f t="shared" si="14"/>
        <v>384</v>
      </c>
      <c r="AD6" s="105">
        <f t="shared" si="14"/>
        <v>512</v>
      </c>
      <c r="AE6" s="105">
        <f t="shared" si="14"/>
        <v>768</v>
      </c>
      <c r="AF6" s="31">
        <f t="shared" si="10"/>
        <v>128</v>
      </c>
      <c r="AG6" s="31">
        <f t="shared" si="10"/>
        <v>256</v>
      </c>
      <c r="AH6" s="31">
        <f t="shared" si="10"/>
        <v>384</v>
      </c>
      <c r="AI6" s="31">
        <f t="shared" si="10"/>
        <v>512</v>
      </c>
    </row>
    <row r="7" spans="1:35" x14ac:dyDescent="0.25">
      <c r="A7" s="62" t="s">
        <v>491</v>
      </c>
      <c r="B7" s="152" t="s">
        <v>342</v>
      </c>
      <c r="C7" s="43">
        <f t="shared" ref="C7:D7" si="15">C9*5</f>
        <v>4.25</v>
      </c>
      <c r="D7" s="43">
        <f t="shared" si="15"/>
        <v>4.25</v>
      </c>
      <c r="E7" s="43">
        <f>E9*2</f>
        <v>1.7</v>
      </c>
      <c r="F7" s="43">
        <f t="shared" ref="F7:AI7" si="16">F9*2</f>
        <v>1.7</v>
      </c>
      <c r="G7" s="43">
        <f t="shared" si="16"/>
        <v>1.7</v>
      </c>
      <c r="H7" s="43">
        <f t="shared" si="16"/>
        <v>1.7</v>
      </c>
      <c r="I7" s="43">
        <f t="shared" si="16"/>
        <v>1.7</v>
      </c>
      <c r="J7" s="43">
        <f t="shared" si="16"/>
        <v>1.7</v>
      </c>
      <c r="K7" s="43">
        <f t="shared" ref="K7:O7" si="17">K9*2</f>
        <v>1.7</v>
      </c>
      <c r="L7" s="43">
        <f t="shared" si="17"/>
        <v>1.7</v>
      </c>
      <c r="M7" s="43">
        <f t="shared" si="17"/>
        <v>1.7</v>
      </c>
      <c r="N7" s="43">
        <f t="shared" si="17"/>
        <v>1.7</v>
      </c>
      <c r="O7" s="43">
        <f t="shared" si="17"/>
        <v>1.7</v>
      </c>
      <c r="P7" s="43">
        <f t="shared" ref="P7:V7" si="18">P9*2</f>
        <v>1.7</v>
      </c>
      <c r="Q7" s="43">
        <f t="shared" si="18"/>
        <v>1.7</v>
      </c>
      <c r="R7" s="43">
        <f t="shared" si="18"/>
        <v>1.7</v>
      </c>
      <c r="S7" s="43">
        <f t="shared" si="18"/>
        <v>1.7</v>
      </c>
      <c r="T7" s="43">
        <f t="shared" si="18"/>
        <v>1.7</v>
      </c>
      <c r="U7" s="43">
        <f t="shared" si="18"/>
        <v>1.7</v>
      </c>
      <c r="V7" s="43">
        <f t="shared" si="18"/>
        <v>1.7</v>
      </c>
      <c r="W7" s="43">
        <f t="shared" si="16"/>
        <v>1.7</v>
      </c>
      <c r="X7" s="43">
        <f t="shared" ref="X7:AA7" si="19">X9*2</f>
        <v>1.7</v>
      </c>
      <c r="Y7" s="43">
        <f t="shared" si="19"/>
        <v>1.7</v>
      </c>
      <c r="Z7" s="43">
        <f t="shared" si="19"/>
        <v>1.7</v>
      </c>
      <c r="AA7" s="43">
        <f t="shared" si="19"/>
        <v>1.7</v>
      </c>
      <c r="AB7" s="43">
        <f t="shared" ref="AB7:AE7" si="20">AB9*2</f>
        <v>1.7</v>
      </c>
      <c r="AC7" s="43">
        <f t="shared" si="20"/>
        <v>1.7</v>
      </c>
      <c r="AD7" s="43">
        <f t="shared" si="20"/>
        <v>1.7</v>
      </c>
      <c r="AE7" s="43">
        <f t="shared" si="20"/>
        <v>1.7</v>
      </c>
      <c r="AF7" s="43">
        <f t="shared" si="16"/>
        <v>1.7</v>
      </c>
      <c r="AG7" s="43">
        <f t="shared" si="16"/>
        <v>1.7</v>
      </c>
      <c r="AH7" s="43">
        <f t="shared" si="16"/>
        <v>1.7</v>
      </c>
      <c r="AI7" s="43">
        <f t="shared" si="16"/>
        <v>1.7</v>
      </c>
    </row>
    <row r="8" spans="1:35" x14ac:dyDescent="0.25">
      <c r="A8" s="62" t="s">
        <v>492</v>
      </c>
      <c r="B8" s="152" t="s">
        <v>342</v>
      </c>
      <c r="C8" s="25">
        <v>6</v>
      </c>
      <c r="D8" s="25">
        <v>6</v>
      </c>
      <c r="E8" s="25">
        <v>6</v>
      </c>
      <c r="F8" s="110">
        <f>MAX((10+15-1.76+F10+F41)/6,4)</f>
        <v>6.1655916643220179</v>
      </c>
      <c r="G8" s="110">
        <f>MAX((10+15-1.76+G10+G41)/6,4)</f>
        <v>5.6139249976553502</v>
      </c>
      <c r="H8" s="110">
        <f>MAX((10+15-1.76+H10+H41)/6,4)</f>
        <v>5.3005916643220168</v>
      </c>
      <c r="I8" s="110">
        <f>MAX((10+15-1.76+I10+I41)/6,4)</f>
        <v>5.082258330988684</v>
      </c>
      <c r="J8" s="110">
        <f>MAX((10+15-1.76+J10+J41)/6,4)</f>
        <v>5.6022583309886835</v>
      </c>
      <c r="K8" s="110">
        <f>MAX((10+15-1.76+K10+K41)/6,4)</f>
        <v>4.9089249976553502</v>
      </c>
      <c r="L8" s="110">
        <f>MAX((10+15-1.76+L10+L41)/6,4)</f>
        <v>4.2805916643220172</v>
      </c>
      <c r="M8" s="110">
        <f>MAX((10+15-1.76+M10+M41)/6,4)</f>
        <v>4</v>
      </c>
      <c r="N8" s="110">
        <f>MAX((10+15-1.76+N10+N41)/6,4)</f>
        <v>4</v>
      </c>
      <c r="O8" s="110">
        <f>MAX((10+15-1.76+O10+O41)/6,4)</f>
        <v>5.1305916643220177</v>
      </c>
      <c r="P8" s="110">
        <f>MAX((10+15-1.76+P10+P41)/6,4)</f>
        <v>4.3255916643220171</v>
      </c>
      <c r="Q8" s="110">
        <f>MAX((10+15-1.76+Q10+Q41)/6,4)</f>
        <v>4</v>
      </c>
      <c r="R8" s="110">
        <f>MAX((10+15-1.76+R10+R41)/6,4)</f>
        <v>4</v>
      </c>
      <c r="S8" s="110">
        <f>MAX((10+15-1.76+S10+S41)/6,4)</f>
        <v>4</v>
      </c>
      <c r="T8" s="110">
        <f>MAX((10+15-1.76+T10+T41)/6,4)</f>
        <v>4</v>
      </c>
      <c r="U8" s="110">
        <f>MAX((10+15-1.76+U10+U41)/6,4)</f>
        <v>4</v>
      </c>
      <c r="V8" s="110">
        <f>MAX((10+15-1.76+V10+V41)/6,4)</f>
        <v>4</v>
      </c>
      <c r="W8" s="110">
        <f>MAX((10+15-1.76+W10+W41)/6,4)</f>
        <v>4</v>
      </c>
      <c r="X8" s="110">
        <f>MAX((10+15-1.76+X10+X41)/6,4)</f>
        <v>4</v>
      </c>
      <c r="Y8" s="110">
        <f>MAX((10+15-1.76+Y10+Y41)/6,4)</f>
        <v>4</v>
      </c>
      <c r="Z8" s="110">
        <f>MAX((10+15-1.76+Z10+Z41)/6,4)</f>
        <v>4</v>
      </c>
      <c r="AA8" s="110">
        <f>MAX((10+15-1.76+AA10+AA41)/6,4)</f>
        <v>4</v>
      </c>
      <c r="AB8" s="110">
        <f>MAX((10+15-1.76+AB10+AB41)/6,4)</f>
        <v>4</v>
      </c>
      <c r="AC8" s="110">
        <f>MAX((10+15-1.76+AC10+AC41)/6,4)</f>
        <v>4</v>
      </c>
      <c r="AD8" s="110">
        <f>MAX((10+15-1.76+AD10+AD41)/6,4)</f>
        <v>4</v>
      </c>
      <c r="AE8" s="110">
        <f>MAX((10+15-1.76+AE10+AE41)/6,4)</f>
        <v>4</v>
      </c>
      <c r="AF8" s="110">
        <f>MAX((10+15-1.76+AF10+AF41)/6,4)</f>
        <v>6.2616666666666658</v>
      </c>
      <c r="AG8" s="110">
        <f>MAX((10+15-1.76+AG10+AG41)/6,4)</f>
        <v>5.7616666666666658</v>
      </c>
      <c r="AH8" s="110">
        <f>MAX((10+15-1.76+AH10+AH41)/6,4)</f>
        <v>5.4666666666666659</v>
      </c>
      <c r="AI8" s="110">
        <f>MAX((10+15-1.76+AI10+AI41)/6,4)</f>
        <v>5.258333333333332</v>
      </c>
    </row>
    <row r="9" spans="1:35" x14ac:dyDescent="0.25">
      <c r="A9" s="62" t="s">
        <v>493</v>
      </c>
      <c r="B9" s="152" t="s">
        <v>342</v>
      </c>
      <c r="C9" s="43">
        <v>0.85</v>
      </c>
      <c r="D9" s="43">
        <v>0.85</v>
      </c>
      <c r="E9" s="43">
        <v>0.85</v>
      </c>
      <c r="F9" s="43">
        <v>0.85</v>
      </c>
      <c r="G9" s="43">
        <v>0.85</v>
      </c>
      <c r="H9" s="43">
        <v>0.85</v>
      </c>
      <c r="I9" s="43">
        <v>0.85</v>
      </c>
      <c r="J9" s="43">
        <v>0.85</v>
      </c>
      <c r="K9" s="43">
        <v>0.85</v>
      </c>
      <c r="L9" s="43">
        <v>0.85</v>
      </c>
      <c r="M9" s="43">
        <v>0.85</v>
      </c>
      <c r="N9" s="43">
        <v>0.85</v>
      </c>
      <c r="O9" s="43">
        <v>0.85</v>
      </c>
      <c r="P9" s="43">
        <v>0.85</v>
      </c>
      <c r="Q9" s="43">
        <v>0.85</v>
      </c>
      <c r="R9" s="43">
        <v>0.85</v>
      </c>
      <c r="S9" s="43">
        <v>0.85</v>
      </c>
      <c r="T9" s="43">
        <v>0.85</v>
      </c>
      <c r="U9" s="43">
        <v>0.85</v>
      </c>
      <c r="V9" s="105">
        <v>0.85</v>
      </c>
      <c r="W9" s="105">
        <v>0.85</v>
      </c>
      <c r="X9" s="43">
        <v>0.85</v>
      </c>
      <c r="Y9" s="43">
        <v>0.85</v>
      </c>
      <c r="Z9" s="105">
        <v>0.85</v>
      </c>
      <c r="AA9" s="105">
        <v>0.85</v>
      </c>
      <c r="AB9" s="105">
        <v>0.85</v>
      </c>
      <c r="AC9" s="105">
        <v>0.85</v>
      </c>
      <c r="AD9" s="105">
        <v>0.85</v>
      </c>
      <c r="AE9" s="105">
        <v>0.85</v>
      </c>
      <c r="AF9" s="31">
        <v>0.85</v>
      </c>
      <c r="AG9" s="31">
        <v>0.85</v>
      </c>
      <c r="AH9" s="31">
        <v>0.85</v>
      </c>
      <c r="AI9" s="31">
        <v>0.85</v>
      </c>
    </row>
    <row r="10" spans="1:35" x14ac:dyDescent="0.25">
      <c r="A10" s="62" t="s">
        <v>494</v>
      </c>
      <c r="B10" s="33" t="s">
        <v>342</v>
      </c>
      <c r="C10" s="25" t="s">
        <v>20</v>
      </c>
      <c r="D10" s="25" t="s">
        <v>20</v>
      </c>
      <c r="E10" s="25" t="s">
        <v>20</v>
      </c>
      <c r="F10" s="25">
        <v>18.693549985932108</v>
      </c>
      <c r="G10" s="25">
        <v>18.693549985932108</v>
      </c>
      <c r="H10" s="25">
        <v>18.693549985932108</v>
      </c>
      <c r="I10" s="25">
        <v>18.693549985932108</v>
      </c>
      <c r="J10" s="25">
        <v>18.693549985932108</v>
      </c>
      <c r="K10" s="25">
        <v>18.693549985932108</v>
      </c>
      <c r="L10" s="25">
        <v>18.693549985932108</v>
      </c>
      <c r="M10" s="25">
        <v>18.693549985932108</v>
      </c>
      <c r="N10" s="25">
        <v>18.693549985932108</v>
      </c>
      <c r="O10" s="25">
        <v>18.693549985932108</v>
      </c>
      <c r="P10" s="25">
        <v>18.693549985932108</v>
      </c>
      <c r="Q10" s="25">
        <v>18.693549985932108</v>
      </c>
      <c r="R10" s="25">
        <v>18.693549985932108</v>
      </c>
      <c r="S10" s="25">
        <v>18.693549985932108</v>
      </c>
      <c r="T10" s="43">
        <v>-14.7</v>
      </c>
      <c r="U10" s="43">
        <v>-14.7</v>
      </c>
      <c r="V10" s="43">
        <v>-14.7</v>
      </c>
      <c r="W10" s="43">
        <v>-14.7</v>
      </c>
      <c r="X10" s="43">
        <v>-14.7</v>
      </c>
      <c r="Y10" s="43">
        <v>-14.7</v>
      </c>
      <c r="Z10" s="43">
        <v>-14.7</v>
      </c>
      <c r="AA10" s="43">
        <v>-14.7</v>
      </c>
      <c r="AB10" s="43">
        <v>-14.7</v>
      </c>
      <c r="AC10" s="43">
        <v>-14.7</v>
      </c>
      <c r="AD10" s="43">
        <v>-14.7</v>
      </c>
      <c r="AE10" s="43">
        <v>-14.7</v>
      </c>
      <c r="AF10" s="31">
        <v>15.5</v>
      </c>
      <c r="AG10" s="31">
        <v>15.5</v>
      </c>
      <c r="AH10" s="31">
        <v>15.5</v>
      </c>
      <c r="AI10" s="31">
        <v>15.5</v>
      </c>
    </row>
    <row r="11" spans="1:35" x14ac:dyDescent="0.25">
      <c r="A11" s="55" t="s">
        <v>600</v>
      </c>
      <c r="B11" s="33" t="s">
        <v>341</v>
      </c>
      <c r="C11" s="25" t="s">
        <v>20</v>
      </c>
      <c r="D11" s="25" t="s">
        <v>20</v>
      </c>
      <c r="E11" s="25" t="s">
        <v>20</v>
      </c>
      <c r="F11" s="25">
        <v>13</v>
      </c>
      <c r="G11" s="25">
        <v>13</v>
      </c>
      <c r="H11" s="25">
        <v>13</v>
      </c>
      <c r="I11" s="25">
        <v>13</v>
      </c>
      <c r="J11" s="25">
        <v>13</v>
      </c>
      <c r="K11" s="25">
        <v>13</v>
      </c>
      <c r="L11" s="25">
        <v>13</v>
      </c>
      <c r="M11" s="25">
        <v>13</v>
      </c>
      <c r="N11" s="25">
        <v>13</v>
      </c>
      <c r="O11" s="25">
        <v>13</v>
      </c>
      <c r="P11" s="25">
        <v>13</v>
      </c>
      <c r="Q11" s="25">
        <v>13</v>
      </c>
      <c r="R11" s="25">
        <v>13</v>
      </c>
      <c r="S11" s="25">
        <v>13</v>
      </c>
      <c r="T11" s="25">
        <v>13</v>
      </c>
      <c r="U11" s="25">
        <v>13</v>
      </c>
      <c r="V11" s="25">
        <v>13</v>
      </c>
      <c r="W11" s="25">
        <v>13</v>
      </c>
      <c r="X11" s="25">
        <v>13</v>
      </c>
      <c r="Y11" s="25">
        <v>13</v>
      </c>
      <c r="Z11" s="25">
        <v>13</v>
      </c>
      <c r="AA11" s="25">
        <v>13</v>
      </c>
      <c r="AB11" s="25">
        <v>13</v>
      </c>
      <c r="AC11" s="25">
        <v>13</v>
      </c>
      <c r="AD11" s="25">
        <v>13</v>
      </c>
      <c r="AE11" s="25">
        <v>13</v>
      </c>
      <c r="AF11" s="25">
        <v>13</v>
      </c>
      <c r="AG11" s="25">
        <v>13</v>
      </c>
      <c r="AH11" s="25">
        <v>13</v>
      </c>
      <c r="AI11" s="25">
        <v>13</v>
      </c>
    </row>
    <row r="12" spans="1:35" x14ac:dyDescent="0.25">
      <c r="A12" s="55" t="s">
        <v>601</v>
      </c>
      <c r="B12" s="33" t="s">
        <v>341</v>
      </c>
      <c r="C12" s="31">
        <v>500</v>
      </c>
      <c r="D12" s="31">
        <v>500</v>
      </c>
      <c r="E12" s="31">
        <v>500</v>
      </c>
      <c r="F12" s="25" t="s">
        <v>20</v>
      </c>
      <c r="G12" s="25" t="s">
        <v>20</v>
      </c>
      <c r="H12" s="25" t="s">
        <v>20</v>
      </c>
      <c r="I12" s="25" t="s">
        <v>20</v>
      </c>
      <c r="J12" s="25" t="s">
        <v>20</v>
      </c>
      <c r="K12" s="25" t="s">
        <v>20</v>
      </c>
      <c r="L12" s="25" t="s">
        <v>20</v>
      </c>
      <c r="M12" s="25" t="s">
        <v>20</v>
      </c>
      <c r="N12" s="25" t="s">
        <v>20</v>
      </c>
      <c r="O12" s="25" t="s">
        <v>20</v>
      </c>
      <c r="P12" s="25" t="s">
        <v>20</v>
      </c>
      <c r="Q12" s="25" t="s">
        <v>20</v>
      </c>
      <c r="R12" s="25" t="s">
        <v>20</v>
      </c>
      <c r="S12" s="25" t="s">
        <v>20</v>
      </c>
      <c r="T12" s="25" t="s">
        <v>20</v>
      </c>
      <c r="U12" s="25" t="s">
        <v>20</v>
      </c>
      <c r="V12" s="25" t="s">
        <v>20</v>
      </c>
      <c r="W12" s="25" t="s">
        <v>20</v>
      </c>
      <c r="X12" s="25" t="s">
        <v>20</v>
      </c>
      <c r="Y12" s="25" t="s">
        <v>20</v>
      </c>
      <c r="Z12" s="25" t="s">
        <v>20</v>
      </c>
      <c r="AA12" s="25" t="s">
        <v>20</v>
      </c>
      <c r="AB12" s="25" t="s">
        <v>20</v>
      </c>
      <c r="AC12" s="25" t="s">
        <v>20</v>
      </c>
      <c r="AD12" s="25" t="s">
        <v>20</v>
      </c>
      <c r="AE12" s="25" t="s">
        <v>20</v>
      </c>
      <c r="AF12" s="25" t="s">
        <v>20</v>
      </c>
      <c r="AG12" s="25" t="s">
        <v>20</v>
      </c>
      <c r="AH12" s="25" t="s">
        <v>20</v>
      </c>
      <c r="AI12" s="25" t="s">
        <v>20</v>
      </c>
    </row>
    <row r="13" spans="1:35" x14ac:dyDescent="0.25">
      <c r="A13" s="55" t="s">
        <v>602</v>
      </c>
      <c r="B13" s="33" t="s">
        <v>340</v>
      </c>
      <c r="C13" s="31">
        <f>(C9*10^9)*(C5*C3*6+72*C3)/(C12*10^9)</f>
        <v>36.556800000000003</v>
      </c>
      <c r="D13" s="31">
        <f t="shared" ref="D13:E13" si="21">(D9*10^9)*(D5*D3*6+72*D3)/(D12*10^9)</f>
        <v>73.113600000000005</v>
      </c>
      <c r="E13" s="31">
        <f t="shared" si="21"/>
        <v>109.6704</v>
      </c>
      <c r="F13" s="25" t="s">
        <v>20</v>
      </c>
      <c r="G13" s="25" t="s">
        <v>20</v>
      </c>
      <c r="H13" s="25" t="s">
        <v>20</v>
      </c>
      <c r="I13" s="25" t="s">
        <v>20</v>
      </c>
      <c r="J13" s="25" t="s">
        <v>20</v>
      </c>
      <c r="K13" s="25" t="s">
        <v>20</v>
      </c>
      <c r="L13" s="25" t="s">
        <v>20</v>
      </c>
      <c r="M13" s="25" t="s">
        <v>20</v>
      </c>
      <c r="N13" s="25" t="s">
        <v>20</v>
      </c>
      <c r="O13" s="25" t="s">
        <v>20</v>
      </c>
      <c r="P13" s="25" t="s">
        <v>20</v>
      </c>
      <c r="Q13" s="25" t="s">
        <v>20</v>
      </c>
      <c r="R13" s="25" t="s">
        <v>20</v>
      </c>
      <c r="S13" s="25" t="s">
        <v>20</v>
      </c>
      <c r="T13" s="25" t="s">
        <v>20</v>
      </c>
      <c r="U13" s="25" t="s">
        <v>20</v>
      </c>
      <c r="V13" s="25" t="s">
        <v>20</v>
      </c>
      <c r="W13" s="25" t="s">
        <v>20</v>
      </c>
      <c r="X13" s="25" t="s">
        <v>20</v>
      </c>
      <c r="Y13" s="25" t="s">
        <v>20</v>
      </c>
      <c r="Z13" s="25" t="s">
        <v>20</v>
      </c>
      <c r="AA13" s="25" t="s">
        <v>20</v>
      </c>
      <c r="AB13" s="25" t="s">
        <v>20</v>
      </c>
      <c r="AC13" s="25" t="s">
        <v>20</v>
      </c>
      <c r="AD13" s="25" t="s">
        <v>20</v>
      </c>
      <c r="AE13" s="25" t="s">
        <v>20</v>
      </c>
      <c r="AF13" s="25" t="s">
        <v>20</v>
      </c>
      <c r="AG13" s="25" t="s">
        <v>20</v>
      </c>
      <c r="AH13" s="25" t="s">
        <v>20</v>
      </c>
      <c r="AI13" s="25" t="s">
        <v>20</v>
      </c>
    </row>
    <row r="14" spans="1:35" x14ac:dyDescent="0.25">
      <c r="A14" s="55" t="s">
        <v>409</v>
      </c>
      <c r="B14" s="33" t="s">
        <v>366</v>
      </c>
      <c r="C14" s="25" t="s">
        <v>20</v>
      </c>
      <c r="D14" s="25" t="s">
        <v>20</v>
      </c>
      <c r="E14" s="25" t="s">
        <v>20</v>
      </c>
      <c r="F14" s="35">
        <f>(F9*10^9)*(F5*F3*6+6*12*F3)/(F11*10^9)</f>
        <v>502.15384615384613</v>
      </c>
      <c r="G14" s="35">
        <f>(G9*10^9)*(G5*G3*6+6*12*G3)/(G11*10^9)</f>
        <v>1004.3076923076923</v>
      </c>
      <c r="H14" s="35">
        <f>(H9*10^9)*(H5*H3*6+6*12*H3)/(H11*10^9)</f>
        <v>1506.4615384615386</v>
      </c>
      <c r="I14" s="35">
        <f>(I9*10^9)*(I5*I3*6+6*12*I3)/(I11*10^9)</f>
        <v>2008.6153846153845</v>
      </c>
      <c r="J14" s="35">
        <f>(J9*10^9)*(J5*J3*6+6*12*J3)/(J11*10^9)</f>
        <v>351.50769230769231</v>
      </c>
      <c r="K14" s="35">
        <f>(K9*10^9)*(K5*K3*6+6*12*K3)/(K11*10^9)</f>
        <v>703.01538461538462</v>
      </c>
      <c r="L14" s="35">
        <f>(L9*10^9)*(L5*L3*6+6*12*L3)/(L11*10^9)</f>
        <v>1406.0307692307692</v>
      </c>
      <c r="M14" s="35">
        <f>(M9*10^9)*(M5*M3*6+6*12*M3)/(M11*10^9)</f>
        <v>2109.0461538461536</v>
      </c>
      <c r="N14" s="35">
        <f>(N9*10^9)*(N5*N3*6+6*12*N3)/(N11*10^9)</f>
        <v>2812.0615384615385</v>
      </c>
      <c r="O14" s="35">
        <f>(O9*10^9)*(O5*O3*6+6*12*O3)/(O11*10^9)</f>
        <v>552.36923076923074</v>
      </c>
      <c r="P14" s="35">
        <f>(P9*10^9)*(P5*P3*6+6*12*P3)/(P11*10^9)</f>
        <v>1104.7384615384615</v>
      </c>
      <c r="Q14" s="35">
        <f>(Q9*10^9)*(Q5*Q3*6+6*12*Q3)/(Q11*10^9)</f>
        <v>2209.476923076923</v>
      </c>
      <c r="R14" s="35">
        <f>(R9*10^9)*(R5*R3*6+6*12*R3)/(R11*10^9)</f>
        <v>3314.2153846153847</v>
      </c>
      <c r="S14" s="35">
        <f>(S9*10^9)*(S5*S3*6+6*12*S3)/(S11*10^9)</f>
        <v>4418.9538461538459</v>
      </c>
      <c r="T14" s="35">
        <f>(T9*10^9)*(T5*T3*6+6*12*T3)/(T11*10^9)</f>
        <v>2109.0461538461536</v>
      </c>
      <c r="U14" s="35">
        <f>(U9*10^9)*(U5*U3*6+6*12*U3)/(U11*10^9)</f>
        <v>2812.0615384615385</v>
      </c>
      <c r="V14" s="35">
        <f>(V9*10^9)*(V5*V3*6+6*12*V3)/(V11*10^9)</f>
        <v>4218.0923076923073</v>
      </c>
      <c r="W14" s="35">
        <f>(W9*10^9)*(W5*W3*6+6*12*W3)/(W11*10^9)</f>
        <v>5624.123076923077</v>
      </c>
      <c r="X14" s="35">
        <f>(X9*10^9)*(X5*X3*6+6*12*X3)/(X11*10^9)</f>
        <v>1606.8923076923077</v>
      </c>
      <c r="Y14" s="35">
        <f>(Y9*10^9)*(Y5*Y3*6+6*12*Y3)/(Y11*10^9)</f>
        <v>2410.3384615384616</v>
      </c>
      <c r="Z14" s="35">
        <f>(Z9*10^9)*(Z5*Z3*6+6*12*Z3)/(Z11*10^9)</f>
        <v>3213.7846153846153</v>
      </c>
      <c r="AA14" s="35">
        <f>(AA9*10^9)*(AA5*AA3*6+6*12*AA3)/(AA11*10^9)</f>
        <v>4820.6769230769232</v>
      </c>
      <c r="AB14" s="35">
        <f>(AB9*10^9)*(AB5*AB3*6+6*12*AB3)/(AB11*10^9)</f>
        <v>2008.6153846153845</v>
      </c>
      <c r="AC14" s="35">
        <f>(AC9*10^9)*(AC5*AC3*6+6*12*AC3)/(AC11*10^9)</f>
        <v>3012.9230769230771</v>
      </c>
      <c r="AD14" s="35">
        <f>(AD9*10^9)*(AD5*AD3*6+6*12*AD3)/(AD11*10^9)</f>
        <v>4017.2307692307691</v>
      </c>
      <c r="AE14" s="35">
        <f>(AE9*10^9)*(AE5*AE3*6+6*12*AE3)/(AE11*10^9)</f>
        <v>6025.8461538461543</v>
      </c>
      <c r="AF14" s="35">
        <f>(AF9*10^9)*(AF5*AF3*6+6*12*AF3)/(AF11*10^9)</f>
        <v>652.79999999999995</v>
      </c>
      <c r="AG14" s="35">
        <f>(AG9*10^9)*(AG5*AG3*6+6*12*AG3)/(AG11*10^9)</f>
        <v>1305.5999999999999</v>
      </c>
      <c r="AH14" s="35">
        <f>(AH9*10^9)*(AH5*AH3*6+6*12*AH3)/(AH11*10^9)</f>
        <v>1958.4</v>
      </c>
      <c r="AI14" s="35">
        <f>(AI9*10^9)*(AI5*AI3*6+6*12*AI3)/(AI11*10^9)</f>
        <v>2611.1999999999998</v>
      </c>
    </row>
    <row r="15" spans="1:35" x14ac:dyDescent="0.25">
      <c r="A15" s="55" t="s">
        <v>495</v>
      </c>
      <c r="B15" s="33" t="s">
        <v>341</v>
      </c>
      <c r="C15" s="122" t="s">
        <v>20</v>
      </c>
      <c r="D15" s="122" t="s">
        <v>20</v>
      </c>
      <c r="E15" s="25" t="s">
        <v>20</v>
      </c>
      <c r="F15" s="35">
        <v>10</v>
      </c>
      <c r="G15" s="35">
        <v>10</v>
      </c>
      <c r="H15" s="35">
        <v>10</v>
      </c>
      <c r="I15" s="35">
        <v>10</v>
      </c>
      <c r="J15" s="35">
        <v>10</v>
      </c>
      <c r="K15" s="35">
        <v>10</v>
      </c>
      <c r="L15" s="35">
        <v>10</v>
      </c>
      <c r="M15" s="35">
        <v>10</v>
      </c>
      <c r="N15" s="35">
        <v>10</v>
      </c>
      <c r="O15" s="35">
        <v>10</v>
      </c>
      <c r="P15" s="35">
        <v>10</v>
      </c>
      <c r="Q15" s="35">
        <v>10</v>
      </c>
      <c r="R15" s="35">
        <v>10</v>
      </c>
      <c r="S15" s="35">
        <v>10</v>
      </c>
      <c r="T15" s="35">
        <v>10</v>
      </c>
      <c r="U15" s="35">
        <v>10</v>
      </c>
      <c r="V15" s="35">
        <v>10</v>
      </c>
      <c r="W15" s="35">
        <v>10</v>
      </c>
      <c r="X15" s="35">
        <v>10</v>
      </c>
      <c r="Y15" s="35">
        <v>10</v>
      </c>
      <c r="Z15" s="35">
        <v>10</v>
      </c>
      <c r="AA15" s="35">
        <v>10</v>
      </c>
      <c r="AB15" s="35">
        <v>10</v>
      </c>
      <c r="AC15" s="35">
        <v>10</v>
      </c>
      <c r="AD15" s="35">
        <v>10</v>
      </c>
      <c r="AE15" s="35">
        <v>10</v>
      </c>
      <c r="AF15" s="35">
        <v>10</v>
      </c>
      <c r="AG15" s="35">
        <v>10</v>
      </c>
      <c r="AH15" s="35">
        <v>10</v>
      </c>
      <c r="AI15" s="35">
        <v>10</v>
      </c>
    </row>
    <row r="16" spans="1:35" x14ac:dyDescent="0.25">
      <c r="A16" s="55" t="s">
        <v>496</v>
      </c>
      <c r="B16" s="33" t="s">
        <v>340</v>
      </c>
      <c r="C16" s="147">
        <f>1.23*C5/8</f>
        <v>2.46</v>
      </c>
      <c r="D16" s="147">
        <f t="shared" ref="D16:E16" si="22">1.23*D5/8</f>
        <v>2.46</v>
      </c>
      <c r="E16" s="147">
        <f t="shared" si="22"/>
        <v>2.46</v>
      </c>
      <c r="F16" s="25" t="s">
        <v>20</v>
      </c>
      <c r="G16" s="25" t="s">
        <v>20</v>
      </c>
      <c r="H16" s="25" t="s">
        <v>20</v>
      </c>
      <c r="I16" s="25" t="s">
        <v>20</v>
      </c>
      <c r="J16" s="25" t="s">
        <v>20</v>
      </c>
      <c r="K16" s="25" t="s">
        <v>20</v>
      </c>
      <c r="L16" s="25" t="s">
        <v>20</v>
      </c>
      <c r="M16" s="25" t="s">
        <v>20</v>
      </c>
      <c r="N16" s="25" t="s">
        <v>20</v>
      </c>
      <c r="O16" s="25" t="s">
        <v>20</v>
      </c>
      <c r="P16" s="25" t="s">
        <v>20</v>
      </c>
      <c r="Q16" s="25" t="s">
        <v>20</v>
      </c>
      <c r="R16" s="25" t="s">
        <v>20</v>
      </c>
      <c r="S16" s="25" t="s">
        <v>20</v>
      </c>
      <c r="T16" s="25" t="s">
        <v>20</v>
      </c>
      <c r="U16" s="25" t="s">
        <v>20</v>
      </c>
      <c r="V16" s="105" t="s">
        <v>20</v>
      </c>
      <c r="W16" s="105" t="s">
        <v>20</v>
      </c>
      <c r="X16" s="25" t="s">
        <v>20</v>
      </c>
      <c r="Y16" s="25" t="s">
        <v>20</v>
      </c>
      <c r="Z16" s="105" t="s">
        <v>20</v>
      </c>
      <c r="AA16" s="105" t="s">
        <v>20</v>
      </c>
      <c r="AB16" s="105" t="s">
        <v>20</v>
      </c>
      <c r="AC16" s="105" t="s">
        <v>20</v>
      </c>
      <c r="AD16" s="105" t="s">
        <v>20</v>
      </c>
      <c r="AE16" s="105" t="s">
        <v>20</v>
      </c>
      <c r="AF16" s="31" t="s">
        <v>20</v>
      </c>
      <c r="AG16" s="31" t="s">
        <v>20</v>
      </c>
      <c r="AH16" s="31" t="s">
        <v>20</v>
      </c>
      <c r="AI16" s="31" t="s">
        <v>20</v>
      </c>
    </row>
    <row r="17" spans="1:35" x14ac:dyDescent="0.25">
      <c r="A17" s="55" t="s">
        <v>410</v>
      </c>
      <c r="B17" s="33" t="s">
        <v>366</v>
      </c>
      <c r="C17" s="25" t="s">
        <v>20</v>
      </c>
      <c r="D17" s="25" t="s">
        <v>20</v>
      </c>
      <c r="E17" s="25" t="s">
        <v>20</v>
      </c>
      <c r="F17" s="35">
        <f>F15*F7*F5*F8</f>
        <v>838.52046634779447</v>
      </c>
      <c r="G17" s="35">
        <f>G15*G7*G5*G8</f>
        <v>763.4937996811276</v>
      </c>
      <c r="H17" s="35">
        <f>H15*H7*H5*H8</f>
        <v>720.88046634779425</v>
      </c>
      <c r="I17" s="35">
        <f>I15*I7*I5*I8</f>
        <v>691.18713301446098</v>
      </c>
      <c r="J17" s="35">
        <f>J15*J7*J5*J8</f>
        <v>1523.814266028922</v>
      </c>
      <c r="K17" s="35">
        <f>K15*K7*K5*K8</f>
        <v>1335.2275993622552</v>
      </c>
      <c r="L17" s="35">
        <f>L15*L7*L5*L8</f>
        <v>1164.3209326955887</v>
      </c>
      <c r="M17" s="35">
        <f>M15*M7*M5*M8</f>
        <v>1088</v>
      </c>
      <c r="N17" s="35">
        <f>N15*N7*N5*N8</f>
        <v>1088</v>
      </c>
      <c r="O17" s="35">
        <f>O15*O7*O5*O8</f>
        <v>2791.0418653911775</v>
      </c>
      <c r="P17" s="35">
        <f>P15*P7*P5*P8</f>
        <v>2353.1218653911774</v>
      </c>
      <c r="Q17" s="35">
        <f>Q15*Q7*Q5*Q8</f>
        <v>2176</v>
      </c>
      <c r="R17" s="35">
        <f>R15*R7*R5*R8</f>
        <v>2176</v>
      </c>
      <c r="S17" s="35">
        <f>S15*S7*S5*S8</f>
        <v>2176</v>
      </c>
      <c r="T17" s="35">
        <f>T15*T7*T5*T8</f>
        <v>136</v>
      </c>
      <c r="U17" s="35">
        <f>U15*U7*U5*U8</f>
        <v>136</v>
      </c>
      <c r="V17" s="35">
        <f>V15*V7*V5*V8</f>
        <v>136</v>
      </c>
      <c r="W17" s="35">
        <f>W15*W7*W5*W8</f>
        <v>136</v>
      </c>
      <c r="X17" s="35">
        <f>X15*X7*X5*X8</f>
        <v>272</v>
      </c>
      <c r="Y17" s="35">
        <f>Y15*Y7*Y5*Y8</f>
        <v>272</v>
      </c>
      <c r="Z17" s="35">
        <f>Z15*Z7*Z5*Z8</f>
        <v>272</v>
      </c>
      <c r="AA17" s="35">
        <f>AA15*AA7*AA5*AA8</f>
        <v>272</v>
      </c>
      <c r="AB17" s="35">
        <f>AB15*AB7*AB5*AB8</f>
        <v>544</v>
      </c>
      <c r="AC17" s="35">
        <f>AC15*AC7*AC5*AC8</f>
        <v>544</v>
      </c>
      <c r="AD17" s="35">
        <f>AD15*AD7*AD5*AD8</f>
        <v>544</v>
      </c>
      <c r="AE17" s="35">
        <f>AE15*AE7*AE5*AE8</f>
        <v>544</v>
      </c>
      <c r="AF17" s="35">
        <f>AF15*AF7*AF5*AF8</f>
        <v>106.44833333333332</v>
      </c>
      <c r="AG17" s="35">
        <f>AG15*AG7*AG5*AG8</f>
        <v>97.948333333333323</v>
      </c>
      <c r="AH17" s="35">
        <f>AH15*AH7*AH5*AH8</f>
        <v>92.933333333333323</v>
      </c>
      <c r="AI17" s="35">
        <f>AI15*AI7*AI5*AI8</f>
        <v>89.391666666666637</v>
      </c>
    </row>
    <row r="18" spans="1:35" x14ac:dyDescent="0.25">
      <c r="A18" s="58" t="s">
        <v>497</v>
      </c>
      <c r="B18" s="33" t="s">
        <v>339</v>
      </c>
      <c r="C18" s="34">
        <v>0.05</v>
      </c>
      <c r="D18" s="34">
        <v>0.05</v>
      </c>
      <c r="E18" s="34">
        <v>0.05</v>
      </c>
      <c r="F18" s="34" t="s">
        <v>20</v>
      </c>
      <c r="G18" s="34" t="s">
        <v>20</v>
      </c>
      <c r="H18" s="34" t="s">
        <v>20</v>
      </c>
      <c r="I18" s="34" t="s">
        <v>20</v>
      </c>
      <c r="J18" s="34" t="s">
        <v>20</v>
      </c>
      <c r="K18" s="34" t="s">
        <v>20</v>
      </c>
      <c r="L18" s="34" t="s">
        <v>20</v>
      </c>
      <c r="M18" s="34" t="s">
        <v>20</v>
      </c>
      <c r="N18" s="34" t="s">
        <v>20</v>
      </c>
      <c r="O18" s="34" t="s">
        <v>20</v>
      </c>
      <c r="P18" s="34" t="s">
        <v>20</v>
      </c>
      <c r="Q18" s="34" t="s">
        <v>20</v>
      </c>
      <c r="R18" s="34" t="s">
        <v>20</v>
      </c>
      <c r="S18" s="34" t="s">
        <v>20</v>
      </c>
      <c r="T18" s="34" t="s">
        <v>20</v>
      </c>
      <c r="U18" s="34" t="s">
        <v>20</v>
      </c>
      <c r="V18" s="106" t="s">
        <v>20</v>
      </c>
      <c r="W18" s="106" t="s">
        <v>20</v>
      </c>
      <c r="X18" s="34" t="s">
        <v>20</v>
      </c>
      <c r="Y18" s="34" t="s">
        <v>20</v>
      </c>
      <c r="Z18" s="106" t="s">
        <v>20</v>
      </c>
      <c r="AA18" s="106" t="s">
        <v>20</v>
      </c>
      <c r="AB18" s="106" t="s">
        <v>20</v>
      </c>
      <c r="AC18" s="106" t="s">
        <v>20</v>
      </c>
      <c r="AD18" s="106" t="s">
        <v>20</v>
      </c>
      <c r="AE18" s="106" t="s">
        <v>20</v>
      </c>
      <c r="AF18" s="31" t="s">
        <v>20</v>
      </c>
      <c r="AG18" s="31" t="s">
        <v>20</v>
      </c>
      <c r="AH18" s="31" t="s">
        <v>20</v>
      </c>
      <c r="AI18" s="31" t="s">
        <v>20</v>
      </c>
    </row>
    <row r="19" spans="1:35" x14ac:dyDescent="0.25">
      <c r="A19" s="57" t="s">
        <v>498</v>
      </c>
      <c r="B19" s="152" t="s">
        <v>337</v>
      </c>
      <c r="C19" s="25" t="s">
        <v>20</v>
      </c>
      <c r="D19" s="25" t="s">
        <v>20</v>
      </c>
      <c r="E19" s="25" t="s">
        <v>20</v>
      </c>
      <c r="F19" s="25">
        <f>F20*F7*2^F8+10</f>
        <v>19.762632479945321</v>
      </c>
      <c r="G19" s="25">
        <f>G20*G7*2^G8+10</f>
        <v>16.660375675896589</v>
      </c>
      <c r="H19" s="25">
        <f>H20*H7*2^H8+10</f>
        <v>15.360138284935999</v>
      </c>
      <c r="I19" s="25">
        <f>I20*I7*2^I8+10</f>
        <v>14.607349010986184</v>
      </c>
      <c r="J19" s="25">
        <f>J20*J7*2^J8+10</f>
        <v>16.606732293744166</v>
      </c>
      <c r="K19" s="25">
        <f>K20*K7*2^K8+10</f>
        <v>14.085757429812087</v>
      </c>
      <c r="L19" s="25">
        <f>L20*L7*2^L8+10</f>
        <v>12.643171838605413</v>
      </c>
      <c r="M19" s="25">
        <f>M20*M7*2^M8+10</f>
        <v>12.176</v>
      </c>
      <c r="N19" s="25">
        <f>N20*N7*2^N8+10</f>
        <v>12.176</v>
      </c>
      <c r="O19" s="25">
        <f>O20*O7*2^O8+10</f>
        <v>14.764319684606097</v>
      </c>
      <c r="P19" s="25">
        <f>P20*P7*2^P8+10</f>
        <v>12.72691592589225</v>
      </c>
      <c r="Q19" s="25">
        <f>Q20*Q7*2^Q8+10</f>
        <v>12.176</v>
      </c>
      <c r="R19" s="25">
        <f>R20*R7*2^R8+10</f>
        <v>12.176</v>
      </c>
      <c r="S19" s="25">
        <f>S20*S7*2^S8+10</f>
        <v>12.176</v>
      </c>
      <c r="T19" s="25">
        <f>T20*T7*2^T8+10</f>
        <v>12.176</v>
      </c>
      <c r="U19" s="25">
        <f>U20*U7*2^U8+10</f>
        <v>12.176</v>
      </c>
      <c r="V19" s="25">
        <f>V20*V7*2^V8+10</f>
        <v>12.176</v>
      </c>
      <c r="W19" s="25">
        <f>W20*W7*2^W8+10</f>
        <v>12.176</v>
      </c>
      <c r="X19" s="25">
        <f>X20*X7*2^X8+10</f>
        <v>12.176</v>
      </c>
      <c r="Y19" s="25">
        <f>Y20*Y7*2^Y8+10</f>
        <v>12.176</v>
      </c>
      <c r="Z19" s="25">
        <f>Z20*Z7*2^Z8+10</f>
        <v>12.176</v>
      </c>
      <c r="AA19" s="25">
        <f>AA20*AA7*2^AA8+10</f>
        <v>12.176</v>
      </c>
      <c r="AB19" s="25">
        <f>AB20*AB7*2^AB8+10</f>
        <v>12.176</v>
      </c>
      <c r="AC19" s="25">
        <f>AC20*AC7*2^AC8+10</f>
        <v>12.176</v>
      </c>
      <c r="AD19" s="25">
        <f>AD20*AD7*2^AD8+10</f>
        <v>12.176</v>
      </c>
      <c r="AE19" s="25">
        <f>AE20*AE7*2^AE8+10</f>
        <v>12.176</v>
      </c>
      <c r="AF19" s="25">
        <f>AF20*AF7*2^AF8+10</f>
        <v>20.434902556660845</v>
      </c>
      <c r="AG19" s="25">
        <f>AG20*AG7*2^AG8+10</f>
        <v>17.378590358835723</v>
      </c>
      <c r="AH19" s="25">
        <f>AH20*AH7*2^AH8+10</f>
        <v>16.014084853619757</v>
      </c>
      <c r="AI19" s="25">
        <f>AI20*AI7*2^AI8+10</f>
        <v>15.205410321801176</v>
      </c>
    </row>
    <row r="20" spans="1:35" x14ac:dyDescent="0.25">
      <c r="A20" s="57" t="s">
        <v>499</v>
      </c>
      <c r="B20" s="152" t="s">
        <v>341</v>
      </c>
      <c r="C20" s="34" t="s">
        <v>20</v>
      </c>
      <c r="D20" s="34" t="s">
        <v>20</v>
      </c>
      <c r="E20" s="34" t="s">
        <v>20</v>
      </c>
      <c r="F20" s="34">
        <v>0.08</v>
      </c>
      <c r="G20" s="34">
        <v>0.08</v>
      </c>
      <c r="H20" s="34">
        <v>0.08</v>
      </c>
      <c r="I20" s="34">
        <v>0.08</v>
      </c>
      <c r="J20" s="34">
        <v>0.08</v>
      </c>
      <c r="K20" s="34">
        <v>0.08</v>
      </c>
      <c r="L20" s="34">
        <v>0.08</v>
      </c>
      <c r="M20" s="34">
        <v>0.08</v>
      </c>
      <c r="N20" s="34">
        <v>0.08</v>
      </c>
      <c r="O20" s="34">
        <v>0.08</v>
      </c>
      <c r="P20" s="34">
        <v>0.08</v>
      </c>
      <c r="Q20" s="34">
        <v>0.08</v>
      </c>
      <c r="R20" s="34">
        <v>0.08</v>
      </c>
      <c r="S20" s="34">
        <v>0.08</v>
      </c>
      <c r="T20" s="34">
        <v>0.08</v>
      </c>
      <c r="U20" s="34">
        <v>0.08</v>
      </c>
      <c r="V20" s="106">
        <v>0.08</v>
      </c>
      <c r="W20" s="106">
        <v>0.08</v>
      </c>
      <c r="X20" s="34">
        <v>0.08</v>
      </c>
      <c r="Y20" s="34">
        <v>0.08</v>
      </c>
      <c r="Z20" s="106">
        <v>0.08</v>
      </c>
      <c r="AA20" s="106">
        <v>0.08</v>
      </c>
      <c r="AB20" s="106">
        <v>0.08</v>
      </c>
      <c r="AC20" s="106">
        <v>0.08</v>
      </c>
      <c r="AD20" s="106">
        <v>0.08</v>
      </c>
      <c r="AE20" s="106">
        <v>0.08</v>
      </c>
      <c r="AF20" s="31">
        <v>0.08</v>
      </c>
      <c r="AG20" s="31">
        <v>0.08</v>
      </c>
      <c r="AH20" s="31">
        <v>0.08</v>
      </c>
      <c r="AI20" s="31">
        <v>0.08</v>
      </c>
    </row>
    <row r="21" spans="1:35" x14ac:dyDescent="0.25">
      <c r="A21" s="58" t="s">
        <v>411</v>
      </c>
      <c r="B21" s="33" t="s">
        <v>366</v>
      </c>
      <c r="C21" s="31" t="s">
        <v>20</v>
      </c>
      <c r="D21" s="31" t="s">
        <v>20</v>
      </c>
      <c r="E21" s="31" t="s">
        <v>20</v>
      </c>
      <c r="F21" s="31">
        <f>F19*F3</f>
        <v>1264.8084787165005</v>
      </c>
      <c r="G21" s="31">
        <f>G19*G3</f>
        <v>2132.5280865147633</v>
      </c>
      <c r="H21" s="31">
        <f>H19*H3</f>
        <v>2949.1465507077119</v>
      </c>
      <c r="I21" s="31">
        <f>I19*I3</f>
        <v>3739.481346812463</v>
      </c>
      <c r="J21" s="31">
        <f>J19*J3</f>
        <v>531.41543339981331</v>
      </c>
      <c r="K21" s="31">
        <f>K19*K3</f>
        <v>901.48847550797359</v>
      </c>
      <c r="L21" s="31">
        <f>L19*L3</f>
        <v>1618.3259953414929</v>
      </c>
      <c r="M21" s="31">
        <f>M19*M3</f>
        <v>2337.7919999999999</v>
      </c>
      <c r="N21" s="31">
        <f>N19*N3</f>
        <v>3117.056</v>
      </c>
      <c r="O21" s="31">
        <f>O19*O3</f>
        <v>472.45822990739509</v>
      </c>
      <c r="P21" s="31">
        <f>P19*P3</f>
        <v>814.522619257104</v>
      </c>
      <c r="Q21" s="31">
        <f>Q19*Q3</f>
        <v>1558.528</v>
      </c>
      <c r="R21" s="31">
        <f>R19*R3</f>
        <v>2337.7919999999999</v>
      </c>
      <c r="S21" s="31">
        <f>S19*S3</f>
        <v>3117.056</v>
      </c>
      <c r="T21" s="31">
        <f>T19*T3</f>
        <v>4675.5839999999998</v>
      </c>
      <c r="U21" s="31">
        <f>U19*U3</f>
        <v>6234.1120000000001</v>
      </c>
      <c r="V21" s="31">
        <f>V19*V3</f>
        <v>9351.1679999999997</v>
      </c>
      <c r="W21" s="31">
        <f>W19*W3</f>
        <v>12468.224</v>
      </c>
      <c r="X21" s="31">
        <f>X19*X3</f>
        <v>3117.056</v>
      </c>
      <c r="Y21" s="31">
        <f>Y19*Y3</f>
        <v>4675.5839999999998</v>
      </c>
      <c r="Z21" s="31">
        <f>Z19*Z3</f>
        <v>6234.1120000000001</v>
      </c>
      <c r="AA21" s="31">
        <f>AA19*AA3</f>
        <v>9351.1679999999997</v>
      </c>
      <c r="AB21" s="31">
        <f>AB19*AB3</f>
        <v>3117.056</v>
      </c>
      <c r="AC21" s="31">
        <f>AC19*AC3</f>
        <v>4675.5839999999998</v>
      </c>
      <c r="AD21" s="31">
        <f>AD19*AD3</f>
        <v>6234.1120000000001</v>
      </c>
      <c r="AE21" s="31">
        <f>AE19*AE3</f>
        <v>9351.1679999999997</v>
      </c>
      <c r="AF21" s="31">
        <f>AF19*AF3</f>
        <v>2615.6675272525881</v>
      </c>
      <c r="AG21" s="31">
        <f>AG19*AG3</f>
        <v>4448.9191318619451</v>
      </c>
      <c r="AH21" s="31">
        <f>AH19*AH3</f>
        <v>6149.4085837899866</v>
      </c>
      <c r="AI21" s="31">
        <f>AI19*AI3</f>
        <v>7785.1700847622024</v>
      </c>
    </row>
    <row r="22" spans="1:35" x14ac:dyDescent="0.25">
      <c r="A22" s="58" t="s">
        <v>500</v>
      </c>
      <c r="B22" s="33" t="s">
        <v>340</v>
      </c>
      <c r="C22" s="31">
        <f>C18*C2</f>
        <v>6.4</v>
      </c>
      <c r="D22" s="31">
        <f>D18*D2</f>
        <v>12.8</v>
      </c>
      <c r="E22" s="31">
        <f>E18*E2</f>
        <v>19.200000000000003</v>
      </c>
      <c r="F22" s="31" t="s">
        <v>20</v>
      </c>
      <c r="G22" s="31" t="s">
        <v>20</v>
      </c>
      <c r="H22" s="31" t="s">
        <v>20</v>
      </c>
      <c r="I22" s="31" t="s">
        <v>20</v>
      </c>
      <c r="J22" s="31" t="s">
        <v>20</v>
      </c>
      <c r="K22" s="31" t="s">
        <v>20</v>
      </c>
      <c r="L22" s="31" t="s">
        <v>20</v>
      </c>
      <c r="M22" s="31" t="s">
        <v>20</v>
      </c>
      <c r="N22" s="31" t="s">
        <v>20</v>
      </c>
      <c r="O22" s="31" t="s">
        <v>20</v>
      </c>
      <c r="P22" s="31" t="s">
        <v>20</v>
      </c>
      <c r="Q22" s="31" t="s">
        <v>20</v>
      </c>
      <c r="R22" s="31" t="s">
        <v>20</v>
      </c>
      <c r="S22" s="31" t="s">
        <v>20</v>
      </c>
      <c r="T22" s="31" t="s">
        <v>20</v>
      </c>
      <c r="U22" s="31" t="s">
        <v>20</v>
      </c>
      <c r="V22" s="31" t="s">
        <v>20</v>
      </c>
      <c r="W22" s="31" t="s">
        <v>20</v>
      </c>
      <c r="X22" s="31" t="s">
        <v>20</v>
      </c>
      <c r="Y22" s="31" t="s">
        <v>20</v>
      </c>
      <c r="Z22" s="31" t="s">
        <v>20</v>
      </c>
      <c r="AA22" s="31" t="s">
        <v>20</v>
      </c>
      <c r="AB22" s="31" t="s">
        <v>20</v>
      </c>
      <c r="AC22" s="31" t="s">
        <v>20</v>
      </c>
      <c r="AD22" s="31" t="s">
        <v>20</v>
      </c>
      <c r="AE22" s="31" t="s">
        <v>20</v>
      </c>
      <c r="AF22" s="31" t="s">
        <v>20</v>
      </c>
      <c r="AG22" s="31" t="s">
        <v>20</v>
      </c>
      <c r="AH22" s="31" t="s">
        <v>20</v>
      </c>
      <c r="AI22" s="31" t="s">
        <v>20</v>
      </c>
    </row>
    <row r="23" spans="1:35" x14ac:dyDescent="0.25">
      <c r="A23" s="60" t="s">
        <v>501</v>
      </c>
      <c r="B23" s="152" t="s">
        <v>337</v>
      </c>
      <c r="C23" s="34" t="s">
        <v>20</v>
      </c>
      <c r="D23" s="34" t="s">
        <v>20</v>
      </c>
      <c r="E23" s="34" t="s">
        <v>20</v>
      </c>
      <c r="F23" s="34">
        <v>10</v>
      </c>
      <c r="G23" s="34">
        <v>10</v>
      </c>
      <c r="H23" s="34">
        <v>10</v>
      </c>
      <c r="I23" s="34">
        <v>10</v>
      </c>
      <c r="J23" s="34">
        <v>10</v>
      </c>
      <c r="K23" s="34">
        <v>10</v>
      </c>
      <c r="L23" s="34">
        <v>10</v>
      </c>
      <c r="M23" s="34">
        <v>10</v>
      </c>
      <c r="N23" s="34">
        <v>10</v>
      </c>
      <c r="O23" s="34">
        <v>10</v>
      </c>
      <c r="P23" s="34">
        <v>10</v>
      </c>
      <c r="Q23" s="34">
        <v>10</v>
      </c>
      <c r="R23" s="34">
        <v>10</v>
      </c>
      <c r="S23" s="34">
        <v>10</v>
      </c>
      <c r="T23" s="34">
        <v>10</v>
      </c>
      <c r="U23" s="34">
        <v>10</v>
      </c>
      <c r="V23" s="106">
        <v>10</v>
      </c>
      <c r="W23" s="106">
        <v>10</v>
      </c>
      <c r="X23" s="34">
        <v>10</v>
      </c>
      <c r="Y23" s="34">
        <v>10</v>
      </c>
      <c r="Z23" s="106">
        <v>10</v>
      </c>
      <c r="AA23" s="106">
        <v>10</v>
      </c>
      <c r="AB23" s="106">
        <v>10</v>
      </c>
      <c r="AC23" s="106">
        <v>10</v>
      </c>
      <c r="AD23" s="106">
        <v>10</v>
      </c>
      <c r="AE23" s="106">
        <v>10</v>
      </c>
      <c r="AF23" s="31">
        <v>10</v>
      </c>
      <c r="AG23" s="31">
        <v>10</v>
      </c>
      <c r="AH23" s="31">
        <v>10</v>
      </c>
      <c r="AI23" s="31">
        <v>10</v>
      </c>
    </row>
    <row r="24" spans="1:35" x14ac:dyDescent="0.25">
      <c r="A24" s="60" t="s">
        <v>502</v>
      </c>
      <c r="B24" s="33" t="s">
        <v>339</v>
      </c>
      <c r="C24" s="34">
        <v>0</v>
      </c>
      <c r="D24" s="34">
        <v>0</v>
      </c>
      <c r="E24" s="34">
        <v>0</v>
      </c>
      <c r="F24" s="34" t="s">
        <v>20</v>
      </c>
      <c r="G24" s="34" t="s">
        <v>20</v>
      </c>
      <c r="H24" s="34" t="s">
        <v>20</v>
      </c>
      <c r="I24" s="34" t="s">
        <v>20</v>
      </c>
      <c r="J24" s="34" t="s">
        <v>20</v>
      </c>
      <c r="K24" s="34" t="s">
        <v>20</v>
      </c>
      <c r="L24" s="34" t="s">
        <v>20</v>
      </c>
      <c r="M24" s="34" t="s">
        <v>20</v>
      </c>
      <c r="N24" s="34" t="s">
        <v>20</v>
      </c>
      <c r="O24" s="34" t="s">
        <v>20</v>
      </c>
      <c r="P24" s="34" t="s">
        <v>20</v>
      </c>
      <c r="Q24" s="34" t="s">
        <v>20</v>
      </c>
      <c r="R24" s="34" t="s">
        <v>20</v>
      </c>
      <c r="S24" s="34" t="s">
        <v>20</v>
      </c>
      <c r="T24" s="34" t="s">
        <v>20</v>
      </c>
      <c r="U24" s="34" t="s">
        <v>20</v>
      </c>
      <c r="V24" s="106" t="s">
        <v>20</v>
      </c>
      <c r="W24" s="106" t="s">
        <v>20</v>
      </c>
      <c r="X24" s="34" t="s">
        <v>20</v>
      </c>
      <c r="Y24" s="34" t="s">
        <v>20</v>
      </c>
      <c r="Z24" s="106" t="s">
        <v>20</v>
      </c>
      <c r="AA24" s="106" t="s">
        <v>20</v>
      </c>
      <c r="AB24" s="106" t="s">
        <v>20</v>
      </c>
      <c r="AC24" s="106" t="s">
        <v>20</v>
      </c>
      <c r="AD24" s="106" t="s">
        <v>20</v>
      </c>
      <c r="AE24" s="106" t="s">
        <v>20</v>
      </c>
      <c r="AF24" s="31" t="s">
        <v>20</v>
      </c>
      <c r="AG24" s="31" t="s">
        <v>20</v>
      </c>
      <c r="AH24" s="31" t="s">
        <v>20</v>
      </c>
      <c r="AI24" s="31" t="s">
        <v>20</v>
      </c>
    </row>
    <row r="25" spans="1:35" x14ac:dyDescent="0.25">
      <c r="A25" s="61" t="s">
        <v>412</v>
      </c>
      <c r="B25" s="33" t="s">
        <v>366</v>
      </c>
      <c r="C25" s="35" t="s">
        <v>20</v>
      </c>
      <c r="D25" s="35" t="s">
        <v>20</v>
      </c>
      <c r="E25" s="35" t="s">
        <v>20</v>
      </c>
      <c r="F25" s="35">
        <f>F23*F3</f>
        <v>640</v>
      </c>
      <c r="G25" s="35">
        <f>G23*G3</f>
        <v>1280</v>
      </c>
      <c r="H25" s="35">
        <f>H23*H3</f>
        <v>1920</v>
      </c>
      <c r="I25" s="35">
        <f>I23*I3</f>
        <v>2560</v>
      </c>
      <c r="J25" s="35">
        <f>J23*J3</f>
        <v>320</v>
      </c>
      <c r="K25" s="35">
        <f>K23*K3</f>
        <v>640</v>
      </c>
      <c r="L25" s="35">
        <f>L23*L3</f>
        <v>1280</v>
      </c>
      <c r="M25" s="35">
        <f>M23*M3</f>
        <v>1920</v>
      </c>
      <c r="N25" s="35">
        <f>N23*N3</f>
        <v>2560</v>
      </c>
      <c r="O25" s="35">
        <f>O23*O3</f>
        <v>320</v>
      </c>
      <c r="P25" s="35">
        <f>P23*P3</f>
        <v>640</v>
      </c>
      <c r="Q25" s="35">
        <f>Q23*Q3</f>
        <v>1280</v>
      </c>
      <c r="R25" s="35">
        <f>R23*R3</f>
        <v>1920</v>
      </c>
      <c r="S25" s="35">
        <f>S23*S3</f>
        <v>2560</v>
      </c>
      <c r="T25" s="35">
        <f>T23*T3</f>
        <v>3840</v>
      </c>
      <c r="U25" s="35">
        <f>U23*U3</f>
        <v>5120</v>
      </c>
      <c r="V25" s="106">
        <f>V23*V3</f>
        <v>7680</v>
      </c>
      <c r="W25" s="106">
        <f>W23*W3</f>
        <v>10240</v>
      </c>
      <c r="X25" s="35">
        <f>X23*X3</f>
        <v>2560</v>
      </c>
      <c r="Y25" s="35">
        <f>Y23*Y3</f>
        <v>3840</v>
      </c>
      <c r="Z25" s="106">
        <f>Z23*Z3</f>
        <v>5120</v>
      </c>
      <c r="AA25" s="106">
        <f>AA23*AA3</f>
        <v>7680</v>
      </c>
      <c r="AB25" s="106">
        <f>AB23*AB3</f>
        <v>2560</v>
      </c>
      <c r="AC25" s="106">
        <f>AC23*AC3</f>
        <v>3840</v>
      </c>
      <c r="AD25" s="106">
        <f>AD23*AD3</f>
        <v>5120</v>
      </c>
      <c r="AE25" s="106">
        <f>AE23*AE3</f>
        <v>7680</v>
      </c>
      <c r="AF25" s="31">
        <f>AF23*AF3</f>
        <v>1280</v>
      </c>
      <c r="AG25" s="31">
        <f>AG23*AG3</f>
        <v>2560</v>
      </c>
      <c r="AH25" s="31">
        <f>AH23*AH3</f>
        <v>3840</v>
      </c>
      <c r="AI25" s="31">
        <f>AI23*AI3</f>
        <v>5120</v>
      </c>
    </row>
    <row r="26" spans="1:35" x14ac:dyDescent="0.25">
      <c r="A26" s="61" t="s">
        <v>503</v>
      </c>
      <c r="B26" s="33" t="s">
        <v>340</v>
      </c>
      <c r="C26" s="31">
        <f>C24*C2</f>
        <v>0</v>
      </c>
      <c r="D26" s="31">
        <f>D24*D2</f>
        <v>0</v>
      </c>
      <c r="E26" s="31">
        <f>E24*E2</f>
        <v>0</v>
      </c>
      <c r="F26" s="31" t="s">
        <v>20</v>
      </c>
      <c r="G26" s="31" t="s">
        <v>20</v>
      </c>
      <c r="H26" s="31" t="s">
        <v>20</v>
      </c>
      <c r="I26" s="31" t="s">
        <v>20</v>
      </c>
      <c r="J26" s="31" t="s">
        <v>20</v>
      </c>
      <c r="K26" s="31" t="s">
        <v>20</v>
      </c>
      <c r="L26" s="31" t="s">
        <v>20</v>
      </c>
      <c r="M26" s="31" t="s">
        <v>20</v>
      </c>
      <c r="N26" s="31" t="s">
        <v>20</v>
      </c>
      <c r="O26" s="31" t="s">
        <v>20</v>
      </c>
      <c r="P26" s="31" t="s">
        <v>20</v>
      </c>
      <c r="Q26" s="31" t="s">
        <v>20</v>
      </c>
      <c r="R26" s="31" t="s">
        <v>20</v>
      </c>
      <c r="S26" s="31" t="s">
        <v>20</v>
      </c>
      <c r="T26" s="31" t="s">
        <v>20</v>
      </c>
      <c r="U26" s="31" t="s">
        <v>20</v>
      </c>
      <c r="V26" s="31" t="s">
        <v>20</v>
      </c>
      <c r="W26" s="31" t="s">
        <v>20</v>
      </c>
      <c r="X26" s="31" t="s">
        <v>20</v>
      </c>
      <c r="Y26" s="31" t="s">
        <v>20</v>
      </c>
      <c r="Z26" s="31" t="s">
        <v>20</v>
      </c>
      <c r="AA26" s="31" t="s">
        <v>20</v>
      </c>
      <c r="AB26" s="31" t="s">
        <v>20</v>
      </c>
      <c r="AC26" s="31" t="s">
        <v>20</v>
      </c>
      <c r="AD26" s="31" t="s">
        <v>20</v>
      </c>
      <c r="AE26" s="31" t="s">
        <v>20</v>
      </c>
      <c r="AF26" s="31" t="s">
        <v>20</v>
      </c>
      <c r="AG26" s="31" t="s">
        <v>20</v>
      </c>
      <c r="AH26" s="31" t="s">
        <v>20</v>
      </c>
      <c r="AI26" s="31" t="s">
        <v>20</v>
      </c>
    </row>
    <row r="27" spans="1:35" x14ac:dyDescent="0.25">
      <c r="A27" s="66" t="s">
        <v>504</v>
      </c>
      <c r="B27" s="152" t="s">
        <v>337</v>
      </c>
      <c r="C27" s="25" t="s">
        <v>20</v>
      </c>
      <c r="D27" s="25" t="s">
        <v>20</v>
      </c>
      <c r="E27" s="25" t="s">
        <v>20</v>
      </c>
      <c r="F27" s="25">
        <v>60</v>
      </c>
      <c r="G27" s="25">
        <v>60</v>
      </c>
      <c r="H27" s="25">
        <v>60</v>
      </c>
      <c r="I27" s="25">
        <v>60</v>
      </c>
      <c r="J27" s="25">
        <v>60</v>
      </c>
      <c r="K27" s="25">
        <v>60</v>
      </c>
      <c r="L27" s="25">
        <v>60</v>
      </c>
      <c r="M27" s="25">
        <v>60</v>
      </c>
      <c r="N27" s="25">
        <v>60</v>
      </c>
      <c r="O27" s="25">
        <v>60</v>
      </c>
      <c r="P27" s="25">
        <v>60</v>
      </c>
      <c r="Q27" s="25">
        <v>60</v>
      </c>
      <c r="R27" s="25">
        <v>60</v>
      </c>
      <c r="S27" s="25">
        <v>60</v>
      </c>
      <c r="T27" s="25">
        <v>60</v>
      </c>
      <c r="U27" s="25">
        <v>60</v>
      </c>
      <c r="V27" s="25">
        <v>60</v>
      </c>
      <c r="W27" s="25">
        <v>60</v>
      </c>
      <c r="X27" s="25">
        <v>60</v>
      </c>
      <c r="Y27" s="25">
        <v>60</v>
      </c>
      <c r="Z27" s="25">
        <v>60</v>
      </c>
      <c r="AA27" s="25">
        <v>60</v>
      </c>
      <c r="AB27" s="25">
        <v>60</v>
      </c>
      <c r="AC27" s="25">
        <v>60</v>
      </c>
      <c r="AD27" s="25">
        <v>60</v>
      </c>
      <c r="AE27" s="25">
        <v>60</v>
      </c>
      <c r="AF27" s="25">
        <v>60</v>
      </c>
      <c r="AG27" s="25">
        <v>60</v>
      </c>
      <c r="AH27" s="25">
        <v>60</v>
      </c>
      <c r="AI27" s="25">
        <v>60</v>
      </c>
    </row>
    <row r="28" spans="1:35" x14ac:dyDescent="0.25">
      <c r="A28" s="66" t="s">
        <v>505</v>
      </c>
      <c r="B28" s="33" t="s">
        <v>339</v>
      </c>
      <c r="C28" s="145">
        <v>0.18</v>
      </c>
      <c r="D28" s="145">
        <v>0.18</v>
      </c>
      <c r="E28" s="145">
        <v>0.18</v>
      </c>
      <c r="F28" s="25" t="s">
        <v>20</v>
      </c>
      <c r="G28" s="25" t="s">
        <v>20</v>
      </c>
      <c r="H28" s="25" t="s">
        <v>20</v>
      </c>
      <c r="I28" s="25" t="s">
        <v>20</v>
      </c>
      <c r="J28" s="25" t="s">
        <v>20</v>
      </c>
      <c r="K28" s="25" t="s">
        <v>20</v>
      </c>
      <c r="L28" s="25" t="s">
        <v>20</v>
      </c>
      <c r="M28" s="25" t="s">
        <v>20</v>
      </c>
      <c r="N28" s="25" t="s">
        <v>20</v>
      </c>
      <c r="O28" s="25" t="s">
        <v>20</v>
      </c>
      <c r="P28" s="25" t="s">
        <v>20</v>
      </c>
      <c r="Q28" s="25" t="s">
        <v>20</v>
      </c>
      <c r="R28" s="25" t="s">
        <v>20</v>
      </c>
      <c r="S28" s="25" t="s">
        <v>20</v>
      </c>
      <c r="T28" s="2" t="s">
        <v>20</v>
      </c>
      <c r="U28" s="2" t="s">
        <v>20</v>
      </c>
      <c r="V28" s="105" t="s">
        <v>20</v>
      </c>
      <c r="W28" s="105" t="s">
        <v>20</v>
      </c>
      <c r="X28" s="2" t="s">
        <v>20</v>
      </c>
      <c r="Y28" s="2" t="s">
        <v>20</v>
      </c>
      <c r="Z28" s="105" t="s">
        <v>20</v>
      </c>
      <c r="AA28" s="105" t="s">
        <v>20</v>
      </c>
      <c r="AB28" s="105" t="s">
        <v>20</v>
      </c>
      <c r="AC28" s="105" t="s">
        <v>20</v>
      </c>
      <c r="AD28" s="105" t="s">
        <v>20</v>
      </c>
      <c r="AE28" s="105" t="s">
        <v>20</v>
      </c>
      <c r="AF28" s="31" t="s">
        <v>20</v>
      </c>
      <c r="AG28" s="31" t="s">
        <v>20</v>
      </c>
      <c r="AH28" s="31" t="s">
        <v>20</v>
      </c>
      <c r="AI28" s="31" t="s">
        <v>20</v>
      </c>
    </row>
    <row r="29" spans="1:35" x14ac:dyDescent="0.25">
      <c r="A29" s="66" t="s">
        <v>420</v>
      </c>
      <c r="B29" s="33" t="s">
        <v>366</v>
      </c>
      <c r="C29" s="25" t="s">
        <v>20</v>
      </c>
      <c r="D29" s="25" t="s">
        <v>20</v>
      </c>
      <c r="E29" s="25" t="s">
        <v>20</v>
      </c>
      <c r="F29" s="25">
        <f>F27*F2</f>
        <v>3840</v>
      </c>
      <c r="G29" s="25">
        <f>G27*G2</f>
        <v>7680</v>
      </c>
      <c r="H29" s="25">
        <f>H27*H2</f>
        <v>11520</v>
      </c>
      <c r="I29" s="25">
        <f>I27*I2</f>
        <v>15360</v>
      </c>
      <c r="J29" s="25">
        <f>J27*J2</f>
        <v>1920</v>
      </c>
      <c r="K29" s="25">
        <f>K27*K2</f>
        <v>3840</v>
      </c>
      <c r="L29" s="25">
        <f>L27*L2</f>
        <v>7680</v>
      </c>
      <c r="M29" s="25">
        <f>M27*M2</f>
        <v>11520</v>
      </c>
      <c r="N29" s="25">
        <f>N27*N2</f>
        <v>15360</v>
      </c>
      <c r="O29" s="25">
        <f>O27*O2</f>
        <v>1920</v>
      </c>
      <c r="P29" s="25">
        <f>P27*P2</f>
        <v>3840</v>
      </c>
      <c r="Q29" s="25">
        <f>Q27*Q2</f>
        <v>7680</v>
      </c>
      <c r="R29" s="25">
        <f>R27*R2</f>
        <v>11520</v>
      </c>
      <c r="S29" s="25">
        <f>S27*S2</f>
        <v>15360</v>
      </c>
      <c r="T29" s="25">
        <f>T27*T2</f>
        <v>23040</v>
      </c>
      <c r="U29" s="25">
        <f>U27*U2</f>
        <v>30720</v>
      </c>
      <c r="V29" s="105">
        <f>V27*V2</f>
        <v>46080</v>
      </c>
      <c r="W29" s="105">
        <f>W27*W2</f>
        <v>61440</v>
      </c>
      <c r="X29" s="25">
        <f>X27*X2</f>
        <v>15360</v>
      </c>
      <c r="Y29" s="25">
        <f>Y27*Y2</f>
        <v>23040</v>
      </c>
      <c r="Z29" s="105">
        <f>Z27*Z2</f>
        <v>30720</v>
      </c>
      <c r="AA29" s="105">
        <f>AA27*AA2</f>
        <v>46080</v>
      </c>
      <c r="AB29" s="105">
        <f>AB27*AB2</f>
        <v>15360</v>
      </c>
      <c r="AC29" s="105">
        <f>AC27*AC2</f>
        <v>23040</v>
      </c>
      <c r="AD29" s="105">
        <f>AD27*AD2</f>
        <v>30720</v>
      </c>
      <c r="AE29" s="105">
        <f>AE27*AE2</f>
        <v>46080</v>
      </c>
      <c r="AF29" s="31">
        <f>AF27*AF2</f>
        <v>7680</v>
      </c>
      <c r="AG29" s="31">
        <f>AG27*AG2</f>
        <v>15360</v>
      </c>
      <c r="AH29" s="31">
        <f>AH27*AH2</f>
        <v>23040</v>
      </c>
      <c r="AI29" s="31">
        <f>AI27*AI2</f>
        <v>30720</v>
      </c>
    </row>
    <row r="30" spans="1:35" x14ac:dyDescent="0.25">
      <c r="A30" s="66" t="s">
        <v>506</v>
      </c>
      <c r="B30" s="33" t="s">
        <v>340</v>
      </c>
      <c r="C30" s="25">
        <f>C28*C2</f>
        <v>23.04</v>
      </c>
      <c r="D30" s="25">
        <f>D28*D2</f>
        <v>46.08</v>
      </c>
      <c r="E30" s="25">
        <f>E28*E2</f>
        <v>69.12</v>
      </c>
      <c r="F30" s="25" t="s">
        <v>20</v>
      </c>
      <c r="G30" s="25" t="s">
        <v>20</v>
      </c>
      <c r="H30" s="25" t="s">
        <v>20</v>
      </c>
      <c r="I30" s="25" t="s">
        <v>20</v>
      </c>
      <c r="J30" s="25" t="s">
        <v>20</v>
      </c>
      <c r="K30" s="25" t="s">
        <v>20</v>
      </c>
      <c r="L30" s="25" t="s">
        <v>20</v>
      </c>
      <c r="M30" s="25" t="s">
        <v>20</v>
      </c>
      <c r="N30" s="25" t="s">
        <v>20</v>
      </c>
      <c r="O30" s="25" t="s">
        <v>20</v>
      </c>
      <c r="P30" s="25" t="s">
        <v>20</v>
      </c>
      <c r="Q30" s="25" t="s">
        <v>20</v>
      </c>
      <c r="R30" s="25" t="s">
        <v>20</v>
      </c>
      <c r="S30" s="25" t="s">
        <v>20</v>
      </c>
      <c r="T30" s="2" t="s">
        <v>20</v>
      </c>
      <c r="U30" s="2" t="s">
        <v>20</v>
      </c>
      <c r="V30" s="105" t="s">
        <v>20</v>
      </c>
      <c r="W30" s="105" t="s">
        <v>20</v>
      </c>
      <c r="X30" s="2" t="s">
        <v>20</v>
      </c>
      <c r="Y30" s="2" t="s">
        <v>20</v>
      </c>
      <c r="Z30" s="105" t="s">
        <v>20</v>
      </c>
      <c r="AA30" s="105" t="s">
        <v>20</v>
      </c>
      <c r="AB30" s="105" t="s">
        <v>20</v>
      </c>
      <c r="AC30" s="105" t="s">
        <v>20</v>
      </c>
      <c r="AD30" s="105" t="s">
        <v>20</v>
      </c>
      <c r="AE30" s="105" t="s">
        <v>20</v>
      </c>
      <c r="AF30" s="31" t="s">
        <v>20</v>
      </c>
      <c r="AG30" s="31" t="s">
        <v>20</v>
      </c>
      <c r="AH30" s="31" t="s">
        <v>20</v>
      </c>
      <c r="AI30" s="31" t="s">
        <v>20</v>
      </c>
    </row>
    <row r="31" spans="1:35" x14ac:dyDescent="0.25">
      <c r="A31" s="66" t="s">
        <v>507</v>
      </c>
      <c r="B31" s="33" t="s">
        <v>339</v>
      </c>
      <c r="C31" s="43">
        <v>0.04</v>
      </c>
      <c r="D31" s="43">
        <v>0.04</v>
      </c>
      <c r="E31" s="43">
        <v>0.04</v>
      </c>
      <c r="F31" s="25" t="s">
        <v>20</v>
      </c>
      <c r="G31" s="25" t="s">
        <v>20</v>
      </c>
      <c r="H31" s="25" t="s">
        <v>20</v>
      </c>
      <c r="I31" s="25" t="s">
        <v>20</v>
      </c>
      <c r="J31" s="25" t="s">
        <v>20</v>
      </c>
      <c r="K31" s="25" t="s">
        <v>20</v>
      </c>
      <c r="L31" s="25" t="s">
        <v>20</v>
      </c>
      <c r="M31" s="25" t="s">
        <v>20</v>
      </c>
      <c r="N31" s="25" t="s">
        <v>20</v>
      </c>
      <c r="O31" s="25" t="s">
        <v>20</v>
      </c>
      <c r="P31" s="25" t="s">
        <v>20</v>
      </c>
      <c r="Q31" s="25" t="s">
        <v>20</v>
      </c>
      <c r="R31" s="25" t="s">
        <v>20</v>
      </c>
      <c r="S31" s="25" t="s">
        <v>20</v>
      </c>
      <c r="T31" s="2" t="s">
        <v>20</v>
      </c>
      <c r="U31" s="2" t="s">
        <v>20</v>
      </c>
      <c r="V31" s="105" t="s">
        <v>20</v>
      </c>
      <c r="W31" s="105" t="s">
        <v>20</v>
      </c>
      <c r="X31" s="2" t="s">
        <v>20</v>
      </c>
      <c r="Y31" s="2" t="s">
        <v>20</v>
      </c>
      <c r="Z31" s="105" t="s">
        <v>20</v>
      </c>
      <c r="AA31" s="105" t="s">
        <v>20</v>
      </c>
      <c r="AB31" s="105" t="s">
        <v>20</v>
      </c>
      <c r="AC31" s="105" t="s">
        <v>20</v>
      </c>
      <c r="AD31" s="105" t="s">
        <v>20</v>
      </c>
      <c r="AE31" s="105" t="s">
        <v>20</v>
      </c>
      <c r="AF31" s="31" t="s">
        <v>20</v>
      </c>
      <c r="AG31" s="31" t="s">
        <v>20</v>
      </c>
      <c r="AH31" s="31" t="s">
        <v>20</v>
      </c>
      <c r="AI31" s="31" t="s">
        <v>20</v>
      </c>
    </row>
    <row r="32" spans="1:35" x14ac:dyDescent="0.25">
      <c r="A32" s="66" t="s">
        <v>315</v>
      </c>
      <c r="B32" s="152" t="s">
        <v>330</v>
      </c>
      <c r="C32" s="29">
        <f>(C2/8-1)*8</f>
        <v>120</v>
      </c>
      <c r="D32" s="29">
        <f>(D2/8-1)*8</f>
        <v>248</v>
      </c>
      <c r="E32" s="29">
        <f>(E2/8-1)*8</f>
        <v>376</v>
      </c>
      <c r="F32" s="37" t="s">
        <v>20</v>
      </c>
      <c r="G32" s="37" t="s">
        <v>20</v>
      </c>
      <c r="H32" s="37" t="s">
        <v>20</v>
      </c>
      <c r="I32" s="37" t="s">
        <v>20</v>
      </c>
      <c r="J32" s="37" t="s">
        <v>20</v>
      </c>
      <c r="K32" s="37" t="s">
        <v>20</v>
      </c>
      <c r="L32" s="37" t="s">
        <v>20</v>
      </c>
      <c r="M32" s="37" t="s">
        <v>20</v>
      </c>
      <c r="N32" s="37" t="s">
        <v>20</v>
      </c>
      <c r="O32" s="37" t="s">
        <v>20</v>
      </c>
      <c r="P32" s="37" t="s">
        <v>20</v>
      </c>
      <c r="Q32" s="37" t="s">
        <v>20</v>
      </c>
      <c r="R32" s="37" t="s">
        <v>20</v>
      </c>
      <c r="S32" s="37" t="s">
        <v>20</v>
      </c>
      <c r="T32" s="37" t="s">
        <v>20</v>
      </c>
      <c r="U32" s="37" t="s">
        <v>20</v>
      </c>
      <c r="V32" s="37" t="s">
        <v>20</v>
      </c>
      <c r="W32" s="37" t="s">
        <v>20</v>
      </c>
      <c r="X32" s="37" t="s">
        <v>20</v>
      </c>
      <c r="Y32" s="37" t="s">
        <v>20</v>
      </c>
      <c r="Z32" s="37" t="s">
        <v>20</v>
      </c>
      <c r="AA32" s="37" t="s">
        <v>20</v>
      </c>
      <c r="AB32" s="37" t="s">
        <v>20</v>
      </c>
      <c r="AC32" s="37" t="s">
        <v>20</v>
      </c>
      <c r="AD32" s="37" t="s">
        <v>20</v>
      </c>
      <c r="AE32" s="37" t="s">
        <v>20</v>
      </c>
      <c r="AF32" s="31" t="s">
        <v>20</v>
      </c>
      <c r="AG32" s="31" t="s">
        <v>20</v>
      </c>
      <c r="AH32" s="31" t="s">
        <v>20</v>
      </c>
      <c r="AI32" s="31" t="s">
        <v>20</v>
      </c>
    </row>
    <row r="33" spans="1:35" x14ac:dyDescent="0.25">
      <c r="A33" s="66" t="s">
        <v>508</v>
      </c>
      <c r="B33" s="33" t="s">
        <v>339</v>
      </c>
      <c r="C33" s="25">
        <f>C32*C31</f>
        <v>4.8</v>
      </c>
      <c r="D33" s="25">
        <f>D32*D31</f>
        <v>9.92</v>
      </c>
      <c r="E33" s="25">
        <f>E32*E31</f>
        <v>15.040000000000001</v>
      </c>
      <c r="F33" s="37" t="s">
        <v>20</v>
      </c>
      <c r="G33" s="37" t="s">
        <v>20</v>
      </c>
      <c r="H33" s="37" t="s">
        <v>20</v>
      </c>
      <c r="I33" s="37" t="s">
        <v>20</v>
      </c>
      <c r="J33" s="37" t="s">
        <v>20</v>
      </c>
      <c r="K33" s="37" t="s">
        <v>20</v>
      </c>
      <c r="L33" s="37" t="s">
        <v>20</v>
      </c>
      <c r="M33" s="37" t="s">
        <v>20</v>
      </c>
      <c r="N33" s="37" t="s">
        <v>20</v>
      </c>
      <c r="O33" s="37" t="s">
        <v>20</v>
      </c>
      <c r="P33" s="37" t="s">
        <v>20</v>
      </c>
      <c r="Q33" s="37" t="s">
        <v>20</v>
      </c>
      <c r="R33" s="37" t="s">
        <v>20</v>
      </c>
      <c r="S33" s="37" t="s">
        <v>20</v>
      </c>
      <c r="T33" s="37" t="s">
        <v>20</v>
      </c>
      <c r="U33" s="37" t="s">
        <v>20</v>
      </c>
      <c r="V33" s="37" t="s">
        <v>20</v>
      </c>
      <c r="W33" s="37" t="s">
        <v>20</v>
      </c>
      <c r="X33" s="37" t="s">
        <v>20</v>
      </c>
      <c r="Y33" s="37" t="s">
        <v>20</v>
      </c>
      <c r="Z33" s="37" t="s">
        <v>20</v>
      </c>
      <c r="AA33" s="37" t="s">
        <v>20</v>
      </c>
      <c r="AB33" s="37" t="s">
        <v>20</v>
      </c>
      <c r="AC33" s="37" t="s">
        <v>20</v>
      </c>
      <c r="AD33" s="37" t="s">
        <v>20</v>
      </c>
      <c r="AE33" s="37" t="s">
        <v>20</v>
      </c>
      <c r="AF33" s="31" t="s">
        <v>20</v>
      </c>
      <c r="AG33" s="31" t="s">
        <v>20</v>
      </c>
      <c r="AH33" s="31" t="s">
        <v>20</v>
      </c>
      <c r="AI33" s="31" t="s">
        <v>20</v>
      </c>
    </row>
    <row r="34" spans="1:35" x14ac:dyDescent="0.25">
      <c r="A34" s="53" t="s">
        <v>469</v>
      </c>
      <c r="B34" s="33" t="s">
        <v>366</v>
      </c>
      <c r="C34" s="25" t="s">
        <v>20</v>
      </c>
      <c r="D34" s="25" t="s">
        <v>20</v>
      </c>
      <c r="E34" s="25" t="s">
        <v>20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05">
        <v>0</v>
      </c>
      <c r="W34" s="105">
        <v>0</v>
      </c>
      <c r="X34" s="25">
        <v>0</v>
      </c>
      <c r="Y34" s="25">
        <v>0</v>
      </c>
      <c r="Z34" s="105">
        <v>0</v>
      </c>
      <c r="AA34" s="105">
        <v>0</v>
      </c>
      <c r="AB34" s="105">
        <v>0</v>
      </c>
      <c r="AC34" s="105">
        <v>0</v>
      </c>
      <c r="AD34" s="105">
        <v>0</v>
      </c>
      <c r="AE34" s="105">
        <v>0</v>
      </c>
      <c r="AF34" s="31">
        <v>0</v>
      </c>
      <c r="AG34" s="31">
        <v>0</v>
      </c>
      <c r="AH34" s="31">
        <v>0</v>
      </c>
      <c r="AI34" s="31">
        <v>0</v>
      </c>
    </row>
    <row r="35" spans="1:35" x14ac:dyDescent="0.25">
      <c r="A35" s="53" t="s">
        <v>509</v>
      </c>
      <c r="B35" s="33" t="s">
        <v>340</v>
      </c>
      <c r="C35" s="25">
        <v>0</v>
      </c>
      <c r="D35" s="25">
        <v>0</v>
      </c>
      <c r="E35" s="25">
        <v>0</v>
      </c>
      <c r="F35" s="25" t="s">
        <v>20</v>
      </c>
      <c r="G35" s="25" t="s">
        <v>20</v>
      </c>
      <c r="H35" s="25" t="s">
        <v>20</v>
      </c>
      <c r="I35" s="25" t="s">
        <v>20</v>
      </c>
      <c r="J35" s="25" t="s">
        <v>20</v>
      </c>
      <c r="K35" s="25" t="s">
        <v>20</v>
      </c>
      <c r="L35" s="25" t="s">
        <v>20</v>
      </c>
      <c r="M35" s="25" t="s">
        <v>20</v>
      </c>
      <c r="N35" s="25" t="s">
        <v>20</v>
      </c>
      <c r="O35" s="25" t="s">
        <v>20</v>
      </c>
      <c r="P35" s="25" t="s">
        <v>20</v>
      </c>
      <c r="Q35" s="25" t="s">
        <v>20</v>
      </c>
      <c r="R35" s="25" t="s">
        <v>20</v>
      </c>
      <c r="S35" s="25" t="s">
        <v>20</v>
      </c>
      <c r="T35" s="25" t="s">
        <v>20</v>
      </c>
      <c r="U35" s="25" t="s">
        <v>20</v>
      </c>
      <c r="V35" s="105" t="s">
        <v>20</v>
      </c>
      <c r="W35" s="105" t="s">
        <v>20</v>
      </c>
      <c r="X35" s="25" t="s">
        <v>20</v>
      </c>
      <c r="Y35" s="25" t="s">
        <v>20</v>
      </c>
      <c r="Z35" s="105" t="s">
        <v>20</v>
      </c>
      <c r="AA35" s="105" t="s">
        <v>20</v>
      </c>
      <c r="AB35" s="105" t="s">
        <v>20</v>
      </c>
      <c r="AC35" s="105" t="s">
        <v>20</v>
      </c>
      <c r="AD35" s="105" t="s">
        <v>20</v>
      </c>
      <c r="AE35" s="105" t="s">
        <v>20</v>
      </c>
      <c r="AF35" s="31" t="s">
        <v>20</v>
      </c>
      <c r="AG35" s="31" t="s">
        <v>20</v>
      </c>
      <c r="AH35" s="31" t="s">
        <v>20</v>
      </c>
      <c r="AI35" s="31" t="s">
        <v>20</v>
      </c>
    </row>
    <row r="36" spans="1:35" x14ac:dyDescent="0.25">
      <c r="A36" s="63" t="s">
        <v>510</v>
      </c>
      <c r="B36" s="33" t="s">
        <v>340</v>
      </c>
      <c r="C36" s="25">
        <f>C33</f>
        <v>4.8</v>
      </c>
      <c r="D36" s="25">
        <f t="shared" ref="D36:E36" si="23">D33</f>
        <v>9.92</v>
      </c>
      <c r="E36" s="25">
        <f t="shared" si="23"/>
        <v>15.040000000000001</v>
      </c>
      <c r="F36" s="25" t="s">
        <v>20</v>
      </c>
      <c r="G36" s="25" t="s">
        <v>20</v>
      </c>
      <c r="H36" s="25" t="s">
        <v>20</v>
      </c>
      <c r="I36" s="25" t="s">
        <v>20</v>
      </c>
      <c r="J36" s="25" t="s">
        <v>20</v>
      </c>
      <c r="K36" s="25" t="s">
        <v>20</v>
      </c>
      <c r="L36" s="25" t="s">
        <v>20</v>
      </c>
      <c r="M36" s="25" t="s">
        <v>20</v>
      </c>
      <c r="N36" s="25" t="s">
        <v>20</v>
      </c>
      <c r="O36" s="25" t="s">
        <v>20</v>
      </c>
      <c r="P36" s="25" t="s">
        <v>20</v>
      </c>
      <c r="Q36" s="25" t="s">
        <v>20</v>
      </c>
      <c r="R36" s="25" t="s">
        <v>20</v>
      </c>
      <c r="S36" s="25" t="s">
        <v>20</v>
      </c>
      <c r="T36" s="25" t="s">
        <v>20</v>
      </c>
      <c r="U36" s="25" t="s">
        <v>20</v>
      </c>
      <c r="V36" s="105" t="s">
        <v>20</v>
      </c>
      <c r="W36" s="105" t="s">
        <v>20</v>
      </c>
      <c r="X36" s="25" t="s">
        <v>20</v>
      </c>
      <c r="Y36" s="25" t="s">
        <v>20</v>
      </c>
      <c r="Z36" s="105" t="s">
        <v>20</v>
      </c>
      <c r="AA36" s="105" t="s">
        <v>20</v>
      </c>
      <c r="AB36" s="105" t="s">
        <v>20</v>
      </c>
      <c r="AC36" s="105" t="s">
        <v>20</v>
      </c>
      <c r="AD36" s="105" t="s">
        <v>20</v>
      </c>
      <c r="AE36" s="105" t="s">
        <v>20</v>
      </c>
      <c r="AF36" s="31" t="s">
        <v>20</v>
      </c>
      <c r="AG36" s="31" t="s">
        <v>20</v>
      </c>
      <c r="AH36" s="31" t="s">
        <v>20</v>
      </c>
      <c r="AI36" s="31" t="s">
        <v>20</v>
      </c>
    </row>
    <row r="37" spans="1:35" x14ac:dyDescent="0.25">
      <c r="A37" s="64" t="s">
        <v>511</v>
      </c>
      <c r="B37" s="152" t="s">
        <v>337</v>
      </c>
      <c r="C37" s="34" t="s">
        <v>20</v>
      </c>
      <c r="D37" s="34" t="s">
        <v>20</v>
      </c>
      <c r="E37" s="34" t="s">
        <v>20</v>
      </c>
      <c r="F37" s="34">
        <v>40</v>
      </c>
      <c r="G37" s="34">
        <v>40</v>
      </c>
      <c r="H37" s="34">
        <v>40</v>
      </c>
      <c r="I37" s="34">
        <v>40</v>
      </c>
      <c r="J37" s="34">
        <v>40</v>
      </c>
      <c r="K37" s="34">
        <v>40</v>
      </c>
      <c r="L37" s="34">
        <v>40</v>
      </c>
      <c r="M37" s="34">
        <v>40</v>
      </c>
      <c r="N37" s="34">
        <v>40</v>
      </c>
      <c r="O37" s="34">
        <v>40</v>
      </c>
      <c r="P37" s="34">
        <v>40</v>
      </c>
      <c r="Q37" s="34">
        <v>40</v>
      </c>
      <c r="R37" s="34">
        <v>40</v>
      </c>
      <c r="S37" s="34">
        <v>40</v>
      </c>
      <c r="T37" s="34">
        <v>40</v>
      </c>
      <c r="U37" s="34">
        <v>40</v>
      </c>
      <c r="V37" s="34">
        <v>40</v>
      </c>
      <c r="W37" s="34">
        <v>40</v>
      </c>
      <c r="X37" s="34">
        <v>40</v>
      </c>
      <c r="Y37" s="34">
        <v>40</v>
      </c>
      <c r="Z37" s="34">
        <v>40</v>
      </c>
      <c r="AA37" s="34">
        <v>40</v>
      </c>
      <c r="AB37" s="34">
        <v>40</v>
      </c>
      <c r="AC37" s="34">
        <v>40</v>
      </c>
      <c r="AD37" s="34">
        <v>40</v>
      </c>
      <c r="AE37" s="34">
        <v>40</v>
      </c>
      <c r="AF37" s="34">
        <v>40</v>
      </c>
      <c r="AG37" s="34">
        <v>40</v>
      </c>
      <c r="AH37" s="34">
        <v>40</v>
      </c>
      <c r="AI37" s="34">
        <v>40</v>
      </c>
    </row>
    <row r="38" spans="1:35" x14ac:dyDescent="0.25">
      <c r="A38" s="64" t="s">
        <v>520</v>
      </c>
      <c r="B38" s="33" t="s">
        <v>339</v>
      </c>
      <c r="C38" s="34">
        <v>2.5000000000000001E-2</v>
      </c>
      <c r="D38" s="34">
        <v>2.5000000000000001E-2</v>
      </c>
      <c r="E38" s="34">
        <v>2.5000000000000001E-2</v>
      </c>
      <c r="F38" s="34" t="s">
        <v>20</v>
      </c>
      <c r="G38" s="34" t="s">
        <v>20</v>
      </c>
      <c r="H38" s="34" t="s">
        <v>20</v>
      </c>
      <c r="I38" s="34" t="s">
        <v>20</v>
      </c>
      <c r="J38" s="34" t="s">
        <v>20</v>
      </c>
      <c r="K38" s="34" t="s">
        <v>20</v>
      </c>
      <c r="L38" s="34" t="s">
        <v>20</v>
      </c>
      <c r="M38" s="34" t="s">
        <v>20</v>
      </c>
      <c r="N38" s="34" t="s">
        <v>20</v>
      </c>
      <c r="O38" s="34" t="s">
        <v>20</v>
      </c>
      <c r="P38" s="34" t="s">
        <v>20</v>
      </c>
      <c r="Q38" s="34" t="s">
        <v>20</v>
      </c>
      <c r="R38" s="34" t="s">
        <v>20</v>
      </c>
      <c r="S38" s="34" t="s">
        <v>20</v>
      </c>
      <c r="T38" s="34" t="s">
        <v>20</v>
      </c>
      <c r="U38" s="34" t="s">
        <v>20</v>
      </c>
      <c r="V38" s="106" t="s">
        <v>20</v>
      </c>
      <c r="W38" s="106" t="s">
        <v>20</v>
      </c>
      <c r="X38" s="34" t="s">
        <v>20</v>
      </c>
      <c r="Y38" s="34" t="s">
        <v>20</v>
      </c>
      <c r="Z38" s="106" t="s">
        <v>20</v>
      </c>
      <c r="AA38" s="106" t="s">
        <v>20</v>
      </c>
      <c r="AB38" s="106" t="s">
        <v>20</v>
      </c>
      <c r="AC38" s="106" t="s">
        <v>20</v>
      </c>
      <c r="AD38" s="106" t="s">
        <v>20</v>
      </c>
      <c r="AE38" s="106" t="s">
        <v>20</v>
      </c>
      <c r="AF38" s="31" t="s">
        <v>20</v>
      </c>
      <c r="AG38" s="31" t="s">
        <v>20</v>
      </c>
      <c r="AH38" s="31" t="s">
        <v>20</v>
      </c>
      <c r="AI38" s="31" t="s">
        <v>20</v>
      </c>
    </row>
    <row r="39" spans="1:35" x14ac:dyDescent="0.25">
      <c r="A39" s="65" t="s">
        <v>414</v>
      </c>
      <c r="B39" s="33" t="s">
        <v>366</v>
      </c>
      <c r="C39" s="25" t="s">
        <v>20</v>
      </c>
      <c r="D39" s="25" t="s">
        <v>20</v>
      </c>
      <c r="E39" s="25" t="s">
        <v>20</v>
      </c>
      <c r="F39" s="25">
        <f>F37*F2</f>
        <v>2560</v>
      </c>
      <c r="G39" s="25">
        <f>G37*G2</f>
        <v>5120</v>
      </c>
      <c r="H39" s="25">
        <f>H37*H2</f>
        <v>7680</v>
      </c>
      <c r="I39" s="25">
        <f>I37*I2</f>
        <v>10240</v>
      </c>
      <c r="J39" s="25">
        <f>J37*J2</f>
        <v>1280</v>
      </c>
      <c r="K39" s="25">
        <f>K37*K2</f>
        <v>2560</v>
      </c>
      <c r="L39" s="25">
        <f>L37*L2</f>
        <v>5120</v>
      </c>
      <c r="M39" s="25">
        <f>M37*M2</f>
        <v>7680</v>
      </c>
      <c r="N39" s="25">
        <f>N37*N2</f>
        <v>10240</v>
      </c>
      <c r="O39" s="25">
        <f>O37*O2</f>
        <v>1280</v>
      </c>
      <c r="P39" s="25">
        <f>P37*P2</f>
        <v>2560</v>
      </c>
      <c r="Q39" s="25">
        <f>Q37*Q2</f>
        <v>5120</v>
      </c>
      <c r="R39" s="25">
        <f>R37*R2</f>
        <v>7680</v>
      </c>
      <c r="S39" s="25">
        <f>S37*S2</f>
        <v>10240</v>
      </c>
      <c r="T39" s="25">
        <f>T37*T2</f>
        <v>15360</v>
      </c>
      <c r="U39" s="25">
        <f>U37*U2</f>
        <v>20480</v>
      </c>
      <c r="V39" s="25">
        <f>V37*V2</f>
        <v>30720</v>
      </c>
      <c r="W39" s="25">
        <f>W37*W2</f>
        <v>40960</v>
      </c>
      <c r="X39" s="25">
        <f>X37*X2</f>
        <v>10240</v>
      </c>
      <c r="Y39" s="25">
        <f>Y37*Y2</f>
        <v>15360</v>
      </c>
      <c r="Z39" s="25">
        <f>Z37*Z2</f>
        <v>20480</v>
      </c>
      <c r="AA39" s="25">
        <f>AA37*AA2</f>
        <v>30720</v>
      </c>
      <c r="AB39" s="25">
        <f>AB37*AB2</f>
        <v>10240</v>
      </c>
      <c r="AC39" s="25">
        <f>AC37*AC2</f>
        <v>15360</v>
      </c>
      <c r="AD39" s="25">
        <f>AD37*AD2</f>
        <v>20480</v>
      </c>
      <c r="AE39" s="25">
        <f>AE37*AE2</f>
        <v>30720</v>
      </c>
      <c r="AF39" s="25">
        <f>AF37*AF2</f>
        <v>5120</v>
      </c>
      <c r="AG39" s="25">
        <f>AG37*AG2</f>
        <v>10240</v>
      </c>
      <c r="AH39" s="25">
        <f>AH37*AH2</f>
        <v>15360</v>
      </c>
      <c r="AI39" s="25">
        <f>AI37*AI2</f>
        <v>20480</v>
      </c>
    </row>
    <row r="40" spans="1:35" x14ac:dyDescent="0.25">
      <c r="A40" s="65" t="s">
        <v>519</v>
      </c>
      <c r="B40" s="33" t="s">
        <v>340</v>
      </c>
      <c r="C40" s="25">
        <f>C38*C2</f>
        <v>3.2</v>
      </c>
      <c r="D40" s="25">
        <f>D38*D2</f>
        <v>6.4</v>
      </c>
      <c r="E40" s="25">
        <f>E38*E2</f>
        <v>9.6000000000000014</v>
      </c>
      <c r="F40" s="25" t="s">
        <v>20</v>
      </c>
      <c r="G40" s="25" t="s">
        <v>20</v>
      </c>
      <c r="H40" s="25" t="s">
        <v>20</v>
      </c>
      <c r="I40" s="25" t="s">
        <v>20</v>
      </c>
      <c r="J40" s="25" t="s">
        <v>20</v>
      </c>
      <c r="K40" s="25" t="s">
        <v>20</v>
      </c>
      <c r="L40" s="25" t="s">
        <v>20</v>
      </c>
      <c r="M40" s="25" t="s">
        <v>20</v>
      </c>
      <c r="N40" s="25" t="s">
        <v>20</v>
      </c>
      <c r="O40" s="25" t="s">
        <v>20</v>
      </c>
      <c r="P40" s="25" t="s">
        <v>20</v>
      </c>
      <c r="Q40" s="25" t="s">
        <v>20</v>
      </c>
      <c r="R40" s="25" t="s">
        <v>20</v>
      </c>
      <c r="S40" s="25" t="s">
        <v>20</v>
      </c>
      <c r="T40" s="25" t="s">
        <v>20</v>
      </c>
      <c r="U40" s="25" t="s">
        <v>20</v>
      </c>
      <c r="V40" s="105" t="s">
        <v>20</v>
      </c>
      <c r="W40" s="105" t="s">
        <v>20</v>
      </c>
      <c r="X40" s="25" t="s">
        <v>20</v>
      </c>
      <c r="Y40" s="25" t="s">
        <v>20</v>
      </c>
      <c r="Z40" s="105" t="s">
        <v>20</v>
      </c>
      <c r="AA40" s="105" t="s">
        <v>20</v>
      </c>
      <c r="AB40" s="105" t="s">
        <v>20</v>
      </c>
      <c r="AC40" s="105" t="s">
        <v>20</v>
      </c>
      <c r="AD40" s="105" t="s">
        <v>20</v>
      </c>
      <c r="AE40" s="105" t="s">
        <v>20</v>
      </c>
      <c r="AF40" s="31" t="s">
        <v>20</v>
      </c>
      <c r="AG40" s="31" t="s">
        <v>20</v>
      </c>
      <c r="AH40" s="31" t="s">
        <v>20</v>
      </c>
      <c r="AI40" s="31" t="s">
        <v>20</v>
      </c>
    </row>
    <row r="41" spans="1:35" x14ac:dyDescent="0.25">
      <c r="A41" s="72" t="s">
        <v>521</v>
      </c>
      <c r="B41" s="33" t="s">
        <v>342</v>
      </c>
      <c r="C41" s="25" t="s">
        <v>20</v>
      </c>
      <c r="D41" s="25" t="s">
        <v>20</v>
      </c>
      <c r="E41" s="25" t="s">
        <v>20</v>
      </c>
      <c r="F41" s="43">
        <v>-4.9400000000000004</v>
      </c>
      <c r="G41" s="111">
        <v>-8.25</v>
      </c>
      <c r="H41" s="111">
        <v>-10.130000000000001</v>
      </c>
      <c r="I41" s="43">
        <v>-11.44</v>
      </c>
      <c r="J41" s="43">
        <v>-8.32</v>
      </c>
      <c r="K41" s="43">
        <v>-12.48</v>
      </c>
      <c r="L41" s="43">
        <v>-16.25</v>
      </c>
      <c r="M41" s="43">
        <v>-18.260000000000002</v>
      </c>
      <c r="N41" s="43">
        <v>-19.63</v>
      </c>
      <c r="O41" s="43">
        <v>-11.15</v>
      </c>
      <c r="P41" s="43">
        <v>-15.98</v>
      </c>
      <c r="Q41" s="43">
        <v>-19.79</v>
      </c>
      <c r="R41" s="43">
        <v>-21.86</v>
      </c>
      <c r="S41" s="43">
        <v>-23.25</v>
      </c>
      <c r="T41" s="43">
        <v>-1.97</v>
      </c>
      <c r="U41" s="111">
        <v>-3.22</v>
      </c>
      <c r="V41" s="111">
        <v>-4.99</v>
      </c>
      <c r="W41" s="111">
        <v>-6.19</v>
      </c>
      <c r="X41" s="43">
        <v>-2.25</v>
      </c>
      <c r="Y41" s="111">
        <v>-4.0199999999999996</v>
      </c>
      <c r="Z41" s="111">
        <v>-5.28</v>
      </c>
      <c r="AA41" s="111">
        <v>-7.05</v>
      </c>
      <c r="AB41" s="111">
        <v>-3.45</v>
      </c>
      <c r="AC41" s="111">
        <v>-5.17</v>
      </c>
      <c r="AD41" s="111">
        <v>-6.39</v>
      </c>
      <c r="AE41" s="111">
        <v>-8.1199999999999992</v>
      </c>
      <c r="AF41" s="44">
        <v>-1.17</v>
      </c>
      <c r="AG41" s="44">
        <v>-4.17</v>
      </c>
      <c r="AH41" s="44">
        <v>-5.94</v>
      </c>
      <c r="AI41" s="44">
        <v>-7.19</v>
      </c>
    </row>
    <row r="42" spans="1:35" x14ac:dyDescent="0.25">
      <c r="A42" s="72" t="s">
        <v>515</v>
      </c>
      <c r="B42" s="33" t="s">
        <v>342</v>
      </c>
      <c r="C42" s="25" t="s">
        <v>20</v>
      </c>
      <c r="D42" s="25" t="s">
        <v>20</v>
      </c>
      <c r="E42" s="25" t="s">
        <v>20</v>
      </c>
      <c r="F42" s="43">
        <f>46+F41</f>
        <v>41.06</v>
      </c>
      <c r="G42" s="43">
        <f t="shared" ref="G42:I42" si="24">46+G41</f>
        <v>37.75</v>
      </c>
      <c r="H42" s="43">
        <f t="shared" si="24"/>
        <v>35.869999999999997</v>
      </c>
      <c r="I42" s="43">
        <f t="shared" si="24"/>
        <v>34.56</v>
      </c>
      <c r="J42" s="43">
        <f>46+J41</f>
        <v>37.68</v>
      </c>
      <c r="K42" s="43">
        <f>46+K41</f>
        <v>33.519999999999996</v>
      </c>
      <c r="L42" s="43">
        <f t="shared" ref="L42:N42" si="25">46+L41</f>
        <v>29.75</v>
      </c>
      <c r="M42" s="43">
        <f t="shared" si="25"/>
        <v>27.74</v>
      </c>
      <c r="N42" s="43">
        <f t="shared" si="25"/>
        <v>26.37</v>
      </c>
      <c r="O42" s="43">
        <f>46+O41</f>
        <v>34.85</v>
      </c>
      <c r="P42" s="43">
        <f>46+P41</f>
        <v>30.02</v>
      </c>
      <c r="Q42" s="43">
        <f t="shared" ref="Q42:V42" si="26">46+Q41</f>
        <v>26.21</v>
      </c>
      <c r="R42" s="43">
        <f t="shared" si="26"/>
        <v>24.14</v>
      </c>
      <c r="S42" s="43">
        <f t="shared" si="26"/>
        <v>22.75</v>
      </c>
      <c r="T42" s="43">
        <f t="shared" si="26"/>
        <v>44.03</v>
      </c>
      <c r="U42" s="43">
        <f t="shared" si="26"/>
        <v>42.78</v>
      </c>
      <c r="V42" s="43">
        <f t="shared" si="26"/>
        <v>41.01</v>
      </c>
      <c r="W42" s="43">
        <f t="shared" ref="W42" si="27">46+W41</f>
        <v>39.81</v>
      </c>
      <c r="X42" s="43">
        <f>46+X41</f>
        <v>43.75</v>
      </c>
      <c r="Y42" s="43">
        <f t="shared" ref="Y42:AA42" si="28">46+Y41</f>
        <v>41.980000000000004</v>
      </c>
      <c r="Z42" s="43">
        <f t="shared" si="28"/>
        <v>40.72</v>
      </c>
      <c r="AA42" s="43">
        <f t="shared" si="28"/>
        <v>38.950000000000003</v>
      </c>
      <c r="AB42" s="43">
        <f>46+AB41</f>
        <v>42.55</v>
      </c>
      <c r="AC42" s="43">
        <f t="shared" ref="AC42:AE42" si="29">46+AC41</f>
        <v>40.83</v>
      </c>
      <c r="AD42" s="43">
        <f t="shared" si="29"/>
        <v>39.61</v>
      </c>
      <c r="AE42" s="43">
        <f t="shared" si="29"/>
        <v>37.880000000000003</v>
      </c>
      <c r="AF42" s="44">
        <f>46+AF41</f>
        <v>44.83</v>
      </c>
      <c r="AG42" s="44">
        <f t="shared" ref="AG42:AI42" si="30">46+AG41</f>
        <v>41.83</v>
      </c>
      <c r="AH42" s="44">
        <f t="shared" si="30"/>
        <v>40.06</v>
      </c>
      <c r="AI42" s="44">
        <f t="shared" si="30"/>
        <v>38.81</v>
      </c>
    </row>
    <row r="43" spans="1:35" x14ac:dyDescent="0.25">
      <c r="A43" s="72" t="s">
        <v>516</v>
      </c>
      <c r="B43" s="152" t="s">
        <v>337</v>
      </c>
      <c r="C43" s="25" t="s">
        <v>20</v>
      </c>
      <c r="D43" s="25" t="s">
        <v>20</v>
      </c>
      <c r="E43" s="25" t="s">
        <v>20</v>
      </c>
      <c r="F43" s="25">
        <f>10*LOG10(F44)</f>
        <v>22.998200260161134</v>
      </c>
      <c r="G43" s="25">
        <f t="shared" ref="G43:AI43" si="31">10*LOG10(G44)</f>
        <v>16.677900303521323</v>
      </c>
      <c r="H43" s="25">
        <f t="shared" si="31"/>
        <v>13.036987712964507</v>
      </c>
      <c r="I43" s="25">
        <f t="shared" si="31"/>
        <v>10.477600346881511</v>
      </c>
      <c r="J43" s="25">
        <f>10*LOG10(J44)</f>
        <v>22.628500216800941</v>
      </c>
      <c r="K43" s="25">
        <f>10*LOG10(K44)</f>
        <v>15.458200260161126</v>
      </c>
      <c r="L43" s="25">
        <f t="shared" si="31"/>
        <v>8.6779003035213194</v>
      </c>
      <c r="M43" s="25">
        <f t="shared" si="31"/>
        <v>4.9069877129645052</v>
      </c>
      <c r="N43" s="25">
        <f t="shared" si="31"/>
        <v>2.2876003468815052</v>
      </c>
      <c r="O43" s="25">
        <f>10*LOG10(O44)</f>
        <v>19.798500216800949</v>
      </c>
      <c r="P43" s="25">
        <f>10*LOG10(P44)</f>
        <v>11.95820026016113</v>
      </c>
      <c r="Q43" s="25">
        <f t="shared" si="31"/>
        <v>5.1379003035213184</v>
      </c>
      <c r="R43" s="25">
        <f t="shared" si="31"/>
        <v>1.306987712964508</v>
      </c>
      <c r="S43" s="25">
        <f t="shared" si="31"/>
        <v>-1.3323996531184934</v>
      </c>
      <c r="T43" s="25">
        <f t="shared" si="31"/>
        <v>18.186687756324705</v>
      </c>
      <c r="U43" s="25">
        <f t="shared" si="31"/>
        <v>15.687300390241703</v>
      </c>
      <c r="V43" s="25">
        <f t="shared" si="31"/>
        <v>12.156387799684882</v>
      </c>
      <c r="W43" s="25">
        <f t="shared" si="31"/>
        <v>9.7070004336018876</v>
      </c>
      <c r="X43" s="25">
        <f t="shared" si="31"/>
        <v>19.667600346881507</v>
      </c>
      <c r="Y43" s="25">
        <f t="shared" si="31"/>
        <v>16.136687756324697</v>
      </c>
      <c r="Z43" s="25">
        <f t="shared" si="31"/>
        <v>13.627300390241698</v>
      </c>
      <c r="AA43" s="25">
        <f t="shared" si="31"/>
        <v>10.096387799684887</v>
      </c>
      <c r="AB43" s="25">
        <f t="shared" si="31"/>
        <v>18.467600346881504</v>
      </c>
      <c r="AC43" s="25">
        <f t="shared" si="31"/>
        <v>14.986687756324692</v>
      </c>
      <c r="AD43" s="25">
        <f t="shared" si="31"/>
        <v>12.517300390241692</v>
      </c>
      <c r="AE43" s="25">
        <f t="shared" si="31"/>
        <v>9.0263877996848869</v>
      </c>
      <c r="AF43" s="25">
        <f t="shared" si="31"/>
        <v>23.757900303521318</v>
      </c>
      <c r="AG43" s="25">
        <f t="shared" si="31"/>
        <v>17.747600346881509</v>
      </c>
      <c r="AH43" s="25">
        <f t="shared" si="31"/>
        <v>14.216687756324699</v>
      </c>
      <c r="AI43" s="25">
        <f t="shared" si="31"/>
        <v>11.717300390241697</v>
      </c>
    </row>
    <row r="44" spans="1:35" x14ac:dyDescent="0.25">
      <c r="A44" s="72" t="s">
        <v>517</v>
      </c>
      <c r="B44" s="152" t="s">
        <v>337</v>
      </c>
      <c r="C44" s="25" t="s">
        <v>20</v>
      </c>
      <c r="D44" s="25" t="s">
        <v>20</v>
      </c>
      <c r="E44" s="25" t="s">
        <v>20</v>
      </c>
      <c r="F44" s="25">
        <f>10^(F42/10)/F2</f>
        <v>199.4435638767726</v>
      </c>
      <c r="G44" s="25">
        <f>10^(G42/10)/G2</f>
        <v>46.536104963203996</v>
      </c>
      <c r="H44" s="25">
        <f>10^(H42/10)/H2</f>
        <v>20.123280054899453</v>
      </c>
      <c r="I44" s="25">
        <f>10^(I42/10)/I2</f>
        <v>11.162463060058402</v>
      </c>
      <c r="J44" s="25">
        <f>10^(J42/10)/J2</f>
        <v>183.16817641063395</v>
      </c>
      <c r="K44" s="25">
        <f>10^(K42/10)/K2</f>
        <v>35.141478216184062</v>
      </c>
      <c r="L44" s="25">
        <f>10^(L42/10)/L2</f>
        <v>7.375475595983783</v>
      </c>
      <c r="M44" s="25">
        <f>10^(M42/10)/M2</f>
        <v>3.0952716594561083</v>
      </c>
      <c r="N44" s="25">
        <f>10^(N42/10)/N2</f>
        <v>1.6934018687012851</v>
      </c>
      <c r="O44" s="25">
        <f>10^(O42/10)/O2</f>
        <v>95.466284787985003</v>
      </c>
      <c r="P44" s="25">
        <f>10^(P42/10)/P2</f>
        <v>15.697121723099928</v>
      </c>
      <c r="Q44" s="25">
        <f>10^(Q42/10)/Q2</f>
        <v>3.2642997394267343</v>
      </c>
      <c r="R44" s="25">
        <f>10^(R42/10)/R2</f>
        <v>1.3511350844368837</v>
      </c>
      <c r="S44" s="25">
        <f>10^(S42/10)/S2</f>
        <v>0.73580042558195369</v>
      </c>
      <c r="T44" s="25">
        <f>10^(T42/10)/T2</f>
        <v>65.867135324118536</v>
      </c>
      <c r="U44" s="25">
        <f>10^(U42/10)/U2</f>
        <v>37.045037523655282</v>
      </c>
      <c r="V44" s="105">
        <f>10^(V42/10)/V2</f>
        <v>16.430046023316034</v>
      </c>
      <c r="W44" s="105">
        <f>10^(W42/10)/W2</f>
        <v>9.3475983524887312</v>
      </c>
      <c r="X44" s="25">
        <f>10^(X42/10)/X2</f>
        <v>92.631785377408491</v>
      </c>
      <c r="Y44" s="25">
        <f>10^(Y42/10)/Y2</f>
        <v>41.08362681508725</v>
      </c>
      <c r="Z44" s="105">
        <f>10^(Z42/10)/Z2</f>
        <v>23.053137415072882</v>
      </c>
      <c r="AA44" s="105">
        <f>10^(AA42/10)/AA2</f>
        <v>10.224422325651995</v>
      </c>
      <c r="AB44" s="105">
        <f>10^(AB42/10)/AB2</f>
        <v>70.268395122218294</v>
      </c>
      <c r="AC44" s="105">
        <f>10^(AC42/10)/AC2</f>
        <v>31.525993061210489</v>
      </c>
      <c r="AD44" s="105">
        <f>10^(AD42/10)/AD2</f>
        <v>17.853774247465829</v>
      </c>
      <c r="AE44" s="105">
        <f>10^(AE42/10)/AE2</f>
        <v>7.9916927755832701</v>
      </c>
      <c r="AF44" s="31">
        <f>10^(AF42/10)/AF2</f>
        <v>237.56914263095936</v>
      </c>
      <c r="AG44" s="31">
        <f>10^(AG42/10)/AG2</f>
        <v>59.533310695206765</v>
      </c>
      <c r="AH44" s="31">
        <f>10^(AH42/10)/AH2</f>
        <v>26.403942336892737</v>
      </c>
      <c r="AI44" s="31">
        <f>10^(AI42/10)/AI2</f>
        <v>14.850122596487941</v>
      </c>
    </row>
    <row r="45" spans="1:35" x14ac:dyDescent="0.25">
      <c r="A45" s="72" t="s">
        <v>320</v>
      </c>
      <c r="B45" s="152" t="s">
        <v>341</v>
      </c>
      <c r="C45" s="25" t="s">
        <v>20</v>
      </c>
      <c r="D45" s="25" t="s">
        <v>20</v>
      </c>
      <c r="E45" s="25" t="s">
        <v>20</v>
      </c>
      <c r="F45" s="127">
        <v>0.185</v>
      </c>
      <c r="G45" s="127">
        <v>0.185</v>
      </c>
      <c r="H45" s="127">
        <v>0.185</v>
      </c>
      <c r="I45" s="127">
        <v>0.185</v>
      </c>
      <c r="J45" s="127">
        <v>0.185</v>
      </c>
      <c r="K45" s="127">
        <v>0.185</v>
      </c>
      <c r="L45" s="127">
        <v>0.185</v>
      </c>
      <c r="M45" s="127">
        <v>0.185</v>
      </c>
      <c r="N45" s="127">
        <v>0.185</v>
      </c>
      <c r="O45" s="127">
        <v>0.185</v>
      </c>
      <c r="P45" s="127">
        <v>0.185</v>
      </c>
      <c r="Q45" s="127">
        <v>0.185</v>
      </c>
      <c r="R45" s="127">
        <v>0.185</v>
      </c>
      <c r="S45" s="127">
        <v>0.185</v>
      </c>
      <c r="T45" s="127">
        <v>0.185</v>
      </c>
      <c r="U45" s="127">
        <v>0.185</v>
      </c>
      <c r="V45" s="127">
        <v>0.185</v>
      </c>
      <c r="W45" s="127">
        <v>0.185</v>
      </c>
      <c r="X45" s="127">
        <v>0.185</v>
      </c>
      <c r="Y45" s="127">
        <v>0.185</v>
      </c>
      <c r="Z45" s="127">
        <v>0.185</v>
      </c>
      <c r="AA45" s="127">
        <v>0.185</v>
      </c>
      <c r="AB45" s="127">
        <v>0.185</v>
      </c>
      <c r="AC45" s="127">
        <v>0.185</v>
      </c>
      <c r="AD45" s="127">
        <v>0.185</v>
      </c>
      <c r="AE45" s="127">
        <v>0.185</v>
      </c>
      <c r="AF45" s="127">
        <v>0.185</v>
      </c>
      <c r="AG45" s="127">
        <v>0.185</v>
      </c>
      <c r="AH45" s="127">
        <v>0.185</v>
      </c>
      <c r="AI45" s="127">
        <v>0.185</v>
      </c>
    </row>
    <row r="46" spans="1:35" x14ac:dyDescent="0.25">
      <c r="A46" s="72" t="s">
        <v>518</v>
      </c>
      <c r="B46" s="152" t="s">
        <v>337</v>
      </c>
      <c r="C46" s="25" t="s">
        <v>20</v>
      </c>
      <c r="D46" s="25" t="s">
        <v>20</v>
      </c>
      <c r="E46" s="25" t="s">
        <v>20</v>
      </c>
      <c r="F46" s="25">
        <f t="shared" ref="F46:V46" si="32">F44/F45</f>
        <v>1078.0733182528249</v>
      </c>
      <c r="G46" s="25">
        <f t="shared" si="32"/>
        <v>251.54651331461619</v>
      </c>
      <c r="H46" s="25">
        <f t="shared" si="32"/>
        <v>108.77448678324029</v>
      </c>
      <c r="I46" s="25">
        <f t="shared" si="32"/>
        <v>60.337638162477845</v>
      </c>
      <c r="J46" s="25">
        <f t="shared" si="32"/>
        <v>990.09825086829164</v>
      </c>
      <c r="K46" s="25">
        <f t="shared" si="32"/>
        <v>189.95393630369765</v>
      </c>
      <c r="L46" s="25">
        <f t="shared" si="32"/>
        <v>39.867435653966396</v>
      </c>
      <c r="M46" s="25">
        <f t="shared" si="32"/>
        <v>16.731198159222206</v>
      </c>
      <c r="N46" s="25">
        <f t="shared" si="32"/>
        <v>9.1535236146015411</v>
      </c>
      <c r="O46" s="25">
        <f t="shared" si="32"/>
        <v>516.03397182694596</v>
      </c>
      <c r="P46" s="25">
        <f t="shared" si="32"/>
        <v>84.849306611350954</v>
      </c>
      <c r="Q46" s="25">
        <f t="shared" si="32"/>
        <v>17.644863456360728</v>
      </c>
      <c r="R46" s="25">
        <f t="shared" si="32"/>
        <v>7.30343288884802</v>
      </c>
      <c r="S46" s="25">
        <f t="shared" si="32"/>
        <v>3.9772995977402901</v>
      </c>
      <c r="T46" s="25">
        <f t="shared" si="32"/>
        <v>356.03856931955966</v>
      </c>
      <c r="U46" s="25">
        <f t="shared" si="32"/>
        <v>200.24344607381232</v>
      </c>
      <c r="V46" s="105">
        <f t="shared" si="32"/>
        <v>88.811059585492075</v>
      </c>
      <c r="W46" s="105">
        <f t="shared" ref="W46" si="33">W44/W45</f>
        <v>50.527558662101249</v>
      </c>
      <c r="X46" s="25">
        <f t="shared" ref="X46:AA46" si="34">X44/X45</f>
        <v>500.71235339139724</v>
      </c>
      <c r="Y46" s="25">
        <f t="shared" si="34"/>
        <v>222.0736584599311</v>
      </c>
      <c r="Z46" s="105">
        <f t="shared" si="34"/>
        <v>124.61155359498855</v>
      </c>
      <c r="AA46" s="105">
        <f t="shared" si="34"/>
        <v>55.267147706227</v>
      </c>
      <c r="AB46" s="105">
        <f t="shared" ref="AB46:AE46" si="35">AB44/AB45</f>
        <v>379.82916282280161</v>
      </c>
      <c r="AC46" s="105">
        <f t="shared" si="35"/>
        <v>170.41077330384047</v>
      </c>
      <c r="AD46" s="105">
        <f t="shared" si="35"/>
        <v>96.506887824139611</v>
      </c>
      <c r="AE46" s="105">
        <f t="shared" si="35"/>
        <v>43.198339327477136</v>
      </c>
      <c r="AF46" s="31">
        <f>AF44/AF45</f>
        <v>1284.1575277349154</v>
      </c>
      <c r="AG46" s="31">
        <f>AG44/AG45</f>
        <v>321.80167943355008</v>
      </c>
      <c r="AH46" s="31">
        <f>AH44/AH45</f>
        <v>142.72401263185264</v>
      </c>
      <c r="AI46" s="31">
        <f>AI44/AI45</f>
        <v>80.270932953988876</v>
      </c>
    </row>
    <row r="47" spans="1:35" x14ac:dyDescent="0.25">
      <c r="A47" s="72" t="s">
        <v>472</v>
      </c>
      <c r="B47" s="33" t="s">
        <v>366</v>
      </c>
      <c r="C47" s="25" t="s">
        <v>20</v>
      </c>
      <c r="D47" s="25" t="s">
        <v>20</v>
      </c>
      <c r="E47" s="25" t="s">
        <v>20</v>
      </c>
      <c r="F47" s="25">
        <f>F46*F2</f>
        <v>68996.692368180797</v>
      </c>
      <c r="G47" s="25">
        <f>G46*G2</f>
        <v>32197.953704270873</v>
      </c>
      <c r="H47" s="25">
        <f>H46*H2</f>
        <v>20884.701462382138</v>
      </c>
      <c r="I47" s="25">
        <f>I46*I2</f>
        <v>15446.435369594328</v>
      </c>
      <c r="J47" s="25">
        <f>J46*J2</f>
        <v>31683.144027785333</v>
      </c>
      <c r="K47" s="25">
        <f>K46*K2</f>
        <v>12157.051923436649</v>
      </c>
      <c r="L47" s="25">
        <f>L46*L2</f>
        <v>5103.0317637076987</v>
      </c>
      <c r="M47" s="25">
        <f>M46*M2</f>
        <v>3212.3900465706638</v>
      </c>
      <c r="N47" s="25">
        <f>N46*N2</f>
        <v>2343.3020453379945</v>
      </c>
      <c r="O47" s="25">
        <f>O46*O2</f>
        <v>16513.087098462271</v>
      </c>
      <c r="P47" s="25">
        <f>P46*P2</f>
        <v>5430.3556231264611</v>
      </c>
      <c r="Q47" s="25">
        <f>Q46*Q2</f>
        <v>2258.5425224141732</v>
      </c>
      <c r="R47" s="25">
        <f>R46*R2</f>
        <v>1402.2591146588197</v>
      </c>
      <c r="S47" s="25">
        <f>S46*S2</f>
        <v>1018.1886970215143</v>
      </c>
      <c r="T47" s="25">
        <f>T46*T2</f>
        <v>136718.81061871091</v>
      </c>
      <c r="U47" s="25">
        <f>U46*U2</f>
        <v>102524.64438979191</v>
      </c>
      <c r="V47" s="105">
        <f>V46*V2</f>
        <v>68206.893761657906</v>
      </c>
      <c r="W47" s="105">
        <f>W46*W2</f>
        <v>51740.220069991679</v>
      </c>
      <c r="X47" s="25">
        <f>X46*X2</f>
        <v>128182.36246819769</v>
      </c>
      <c r="Y47" s="25">
        <f>Y46*Y2</f>
        <v>85276.284848613548</v>
      </c>
      <c r="Z47" s="105">
        <f>Z46*Z2</f>
        <v>63801.115440634137</v>
      </c>
      <c r="AA47" s="105">
        <f>AA46*AA2</f>
        <v>42445.169438382334</v>
      </c>
      <c r="AB47" s="105">
        <f>AB46*AB2</f>
        <v>97236.265682637211</v>
      </c>
      <c r="AC47" s="105">
        <f>AC46*AC2</f>
        <v>65437.736948674741</v>
      </c>
      <c r="AD47" s="105">
        <f>AD46*AD2</f>
        <v>49411.526565959481</v>
      </c>
      <c r="AE47" s="105">
        <f>AE46*AE2</f>
        <v>33176.324603502442</v>
      </c>
      <c r="AF47" s="31">
        <f>AF46*AF2</f>
        <v>164372.16355006918</v>
      </c>
      <c r="AG47" s="31">
        <f>AG46*AG2</f>
        <v>82381.22993498882</v>
      </c>
      <c r="AH47" s="31">
        <f>AH46*AH2</f>
        <v>54806.020850631416</v>
      </c>
      <c r="AI47" s="31">
        <f>AI46*AI2</f>
        <v>41098.717672442304</v>
      </c>
    </row>
    <row r="48" spans="1:35" x14ac:dyDescent="0.25">
      <c r="A48" s="80" t="s">
        <v>514</v>
      </c>
      <c r="B48" s="152" t="s">
        <v>338</v>
      </c>
      <c r="C48" s="31" t="s">
        <v>20</v>
      </c>
      <c r="D48" s="31" t="s">
        <v>20</v>
      </c>
      <c r="E48" s="31" t="s">
        <v>20</v>
      </c>
      <c r="F48" s="31">
        <f t="shared" ref="F48:AI48" si="36">F21+F25+F29+F14+F17+F39+F34</f>
        <v>9645.4827912181408</v>
      </c>
      <c r="G48" s="31">
        <f t="shared" si="36"/>
        <v>17980.329578503581</v>
      </c>
      <c r="H48" s="31">
        <f t="shared" si="36"/>
        <v>26296.488555517044</v>
      </c>
      <c r="I48" s="31">
        <f t="shared" si="36"/>
        <v>34599.283864442303</v>
      </c>
      <c r="J48" s="31">
        <f t="shared" si="36"/>
        <v>5926.7373917364275</v>
      </c>
      <c r="K48" s="31">
        <f t="shared" ref="K48:O48" si="37">K21+K25+K29+K14+K17+K39+K34</f>
        <v>9979.7314594856143</v>
      </c>
      <c r="L48" s="31">
        <f t="shared" si="37"/>
        <v>18268.677697267849</v>
      </c>
      <c r="M48" s="31">
        <f t="shared" si="37"/>
        <v>26654.838153846154</v>
      </c>
      <c r="N48" s="31">
        <f t="shared" si="37"/>
        <v>35177.117538461534</v>
      </c>
      <c r="O48" s="31">
        <f t="shared" si="37"/>
        <v>7335.8693260678028</v>
      </c>
      <c r="P48" s="31">
        <f t="shared" ref="P48:V48" si="38">P21+P25+P29+P14+P17+P39+P34</f>
        <v>11312.382946186743</v>
      </c>
      <c r="Q48" s="31">
        <f t="shared" si="38"/>
        <v>20024.004923076922</v>
      </c>
      <c r="R48" s="31">
        <f t="shared" si="38"/>
        <v>28948.007384615383</v>
      </c>
      <c r="S48" s="31">
        <f t="shared" si="38"/>
        <v>37872.009846153844</v>
      </c>
      <c r="T48" s="31">
        <f t="shared" si="38"/>
        <v>49160.630153846156</v>
      </c>
      <c r="U48" s="31">
        <f t="shared" si="38"/>
        <v>65502.173538461539</v>
      </c>
      <c r="V48" s="31">
        <f t="shared" si="38"/>
        <v>98185.260307692311</v>
      </c>
      <c r="W48" s="31">
        <f t="shared" si="36"/>
        <v>130868.34707692308</v>
      </c>
      <c r="X48" s="31">
        <f t="shared" ref="X48:AA48" si="39">X21+X25+X29+X14+X17+X39+X34</f>
        <v>33155.948307692306</v>
      </c>
      <c r="Y48" s="31">
        <f t="shared" si="39"/>
        <v>49597.922461538459</v>
      </c>
      <c r="Z48" s="31">
        <f t="shared" si="39"/>
        <v>66039.896615384612</v>
      </c>
      <c r="AA48" s="31">
        <f t="shared" si="39"/>
        <v>98923.844923076918</v>
      </c>
      <c r="AB48" s="31">
        <f t="shared" ref="AB48:AE48" si="40">AB21+AB25+AB29+AB14+AB17+AB39+AB34</f>
        <v>33829.671384615387</v>
      </c>
      <c r="AC48" s="31">
        <f t="shared" si="40"/>
        <v>50472.507076923073</v>
      </c>
      <c r="AD48" s="31">
        <f t="shared" si="40"/>
        <v>67115.342769230774</v>
      </c>
      <c r="AE48" s="31">
        <f t="shared" si="40"/>
        <v>100401.01415384615</v>
      </c>
      <c r="AF48" s="31">
        <f t="shared" si="36"/>
        <v>17454.915860585919</v>
      </c>
      <c r="AG48" s="31">
        <f t="shared" si="36"/>
        <v>34012.467465195281</v>
      </c>
      <c r="AH48" s="31">
        <f t="shared" si="36"/>
        <v>50440.741917123327</v>
      </c>
      <c r="AI48" s="31">
        <f t="shared" si="36"/>
        <v>66805.761751428858</v>
      </c>
    </row>
    <row r="49" spans="1:35" x14ac:dyDescent="0.25">
      <c r="A49" s="80" t="s">
        <v>345</v>
      </c>
      <c r="B49" s="152" t="s">
        <v>337</v>
      </c>
      <c r="C49" s="31" t="s">
        <v>20</v>
      </c>
      <c r="D49" s="31" t="s">
        <v>20</v>
      </c>
      <c r="E49" s="31" t="s">
        <v>20</v>
      </c>
      <c r="F49" s="31">
        <f>F48/F2</f>
        <v>150.71066861278345</v>
      </c>
      <c r="G49" s="31">
        <f>G48/G2</f>
        <v>140.47132483205922</v>
      </c>
      <c r="H49" s="31">
        <f>H48/H2</f>
        <v>136.96087789331793</v>
      </c>
      <c r="I49" s="31">
        <f>I48/I2</f>
        <v>135.15345259547775</v>
      </c>
      <c r="J49" s="31">
        <f>J48/J2</f>
        <v>185.21054349176336</v>
      </c>
      <c r="K49" s="31">
        <f>K48/K2</f>
        <v>155.93330405446272</v>
      </c>
      <c r="L49" s="31">
        <f>L48/L2</f>
        <v>142.72404450990507</v>
      </c>
      <c r="M49" s="31">
        <f>M48/M2</f>
        <v>138.82728205128205</v>
      </c>
      <c r="N49" s="31">
        <f>N48/N2</f>
        <v>137.41061538461537</v>
      </c>
      <c r="O49" s="31">
        <f>O48/O2</f>
        <v>229.24591643961884</v>
      </c>
      <c r="P49" s="31">
        <f>P48/P2</f>
        <v>176.75598353416785</v>
      </c>
      <c r="Q49" s="31">
        <f>Q48/Q2</f>
        <v>156.43753846153845</v>
      </c>
      <c r="R49" s="31">
        <f>R48/R2</f>
        <v>150.77087179487179</v>
      </c>
      <c r="S49" s="31">
        <f>S48/S2</f>
        <v>147.93753846153845</v>
      </c>
      <c r="T49" s="31">
        <f>T48/T2</f>
        <v>128.02247435897436</v>
      </c>
      <c r="U49" s="31">
        <f>U48/U2</f>
        <v>127.93393269230769</v>
      </c>
      <c r="V49" s="31">
        <f>V48/V2</f>
        <v>127.84539102564104</v>
      </c>
      <c r="W49" s="31">
        <f>W48/W2</f>
        <v>127.80112019230769</v>
      </c>
      <c r="X49" s="31">
        <f>X48/X2</f>
        <v>129.51542307692307</v>
      </c>
      <c r="Y49" s="31">
        <f>Y48/Y2</f>
        <v>129.16125641025641</v>
      </c>
      <c r="Z49" s="31">
        <f>Z48/Z2</f>
        <v>128.98417307692307</v>
      </c>
      <c r="AA49" s="31">
        <f>AA48/AA2</f>
        <v>128.80708974358973</v>
      </c>
      <c r="AB49" s="31">
        <f>AB48/AB2</f>
        <v>132.14715384615386</v>
      </c>
      <c r="AC49" s="31">
        <f>AC48/AC2</f>
        <v>131.43882051282051</v>
      </c>
      <c r="AD49" s="31">
        <f>AD48/AD2</f>
        <v>131.08465384615386</v>
      </c>
      <c r="AE49" s="31">
        <f>AE48/AE2</f>
        <v>130.73048717948717</v>
      </c>
      <c r="AF49" s="31">
        <f>AF48/AF2</f>
        <v>136.36653016082749</v>
      </c>
      <c r="AG49" s="31">
        <f>AG48/AG2</f>
        <v>132.86120103591907</v>
      </c>
      <c r="AH49" s="31">
        <f>AH48/AH2</f>
        <v>131.35609874250866</v>
      </c>
      <c r="AI49" s="31">
        <f>AI48/AI2</f>
        <v>130.48000342075949</v>
      </c>
    </row>
    <row r="50" spans="1:35" x14ac:dyDescent="0.25">
      <c r="A50" s="80" t="s">
        <v>513</v>
      </c>
      <c r="B50" s="152" t="s">
        <v>338</v>
      </c>
      <c r="C50" s="31" t="s">
        <v>20</v>
      </c>
      <c r="D50" s="31" t="s">
        <v>20</v>
      </c>
      <c r="E50" s="31" t="s">
        <v>20</v>
      </c>
      <c r="F50" s="31">
        <f t="shared" ref="F50:V50" si="41">F47+F48</f>
        <v>78642.175159398932</v>
      </c>
      <c r="G50" s="31">
        <f t="shared" si="41"/>
        <v>50178.283282774457</v>
      </c>
      <c r="H50" s="31">
        <f t="shared" si="41"/>
        <v>47181.190017899178</v>
      </c>
      <c r="I50" s="31">
        <f t="shared" si="41"/>
        <v>50045.719234036631</v>
      </c>
      <c r="J50" s="31">
        <f t="shared" ref="J50" si="42">J47+J48</f>
        <v>37609.881419521756</v>
      </c>
      <c r="K50" s="31">
        <f t="shared" si="41"/>
        <v>22136.783382922265</v>
      </c>
      <c r="L50" s="31">
        <f t="shared" si="41"/>
        <v>23371.709460975548</v>
      </c>
      <c r="M50" s="31">
        <f t="shared" si="41"/>
        <v>29867.228200416819</v>
      </c>
      <c r="N50" s="31">
        <f t="shared" si="41"/>
        <v>37520.419583799528</v>
      </c>
      <c r="O50" s="31">
        <f t="shared" ref="O50" si="43">O47+O48</f>
        <v>23848.956424530072</v>
      </c>
      <c r="P50" s="31">
        <f t="shared" si="41"/>
        <v>16742.738569313202</v>
      </c>
      <c r="Q50" s="31">
        <f t="shared" si="41"/>
        <v>22282.547445491095</v>
      </c>
      <c r="R50" s="31">
        <f t="shared" si="41"/>
        <v>30350.266499274203</v>
      </c>
      <c r="S50" s="31">
        <f t="shared" si="41"/>
        <v>38890.198543175356</v>
      </c>
      <c r="T50" s="31">
        <f t="shared" si="41"/>
        <v>185879.44077255705</v>
      </c>
      <c r="U50" s="31">
        <f t="shared" si="41"/>
        <v>168026.81792825344</v>
      </c>
      <c r="V50" s="31">
        <f t="shared" si="41"/>
        <v>166392.15406935022</v>
      </c>
      <c r="W50" s="31">
        <f t="shared" ref="W50" si="44">W47+W48</f>
        <v>182608.56714691475</v>
      </c>
      <c r="X50" s="31">
        <f t="shared" ref="X50:AA50" si="45">X47+X48</f>
        <v>161338.31077589002</v>
      </c>
      <c r="Y50" s="31">
        <f t="shared" si="45"/>
        <v>134874.20731015201</v>
      </c>
      <c r="Z50" s="31">
        <f t="shared" si="45"/>
        <v>129841.01205601875</v>
      </c>
      <c r="AA50" s="31">
        <f t="shared" si="45"/>
        <v>141369.01436145924</v>
      </c>
      <c r="AB50" s="31">
        <f t="shared" ref="AB50:AE50" si="46">AB47+AB48</f>
        <v>131065.9370672526</v>
      </c>
      <c r="AC50" s="31">
        <f t="shared" si="46"/>
        <v>115910.24402559781</v>
      </c>
      <c r="AD50" s="31">
        <f t="shared" si="46"/>
        <v>116526.86933519025</v>
      </c>
      <c r="AE50" s="31">
        <f t="shared" si="46"/>
        <v>133577.3387573486</v>
      </c>
      <c r="AF50" s="31">
        <f>AF47+AF48</f>
        <v>181827.0794106551</v>
      </c>
      <c r="AG50" s="31">
        <f>AG47+AG48</f>
        <v>116393.6974001841</v>
      </c>
      <c r="AH50" s="31">
        <f>AH47+AH48</f>
        <v>105246.76276775474</v>
      </c>
      <c r="AI50" s="31">
        <f>AI47+AI48</f>
        <v>107904.47942387116</v>
      </c>
    </row>
    <row r="51" spans="1:35" x14ac:dyDescent="0.25">
      <c r="A51" s="80" t="s">
        <v>512</v>
      </c>
      <c r="B51" s="33" t="s">
        <v>340</v>
      </c>
      <c r="C51" s="31">
        <f>C16+C30+C22+C26+C33+C13</f>
        <v>73.256799999999998</v>
      </c>
      <c r="D51" s="31">
        <f t="shared" ref="D51:E51" si="47">D16+D30+D22+D26+D33+D13</f>
        <v>144.37360000000001</v>
      </c>
      <c r="E51" s="31">
        <f t="shared" si="47"/>
        <v>215.49040000000002</v>
      </c>
      <c r="F51" s="31" t="s">
        <v>20</v>
      </c>
      <c r="G51" s="31" t="s">
        <v>20</v>
      </c>
      <c r="H51" s="31" t="s">
        <v>20</v>
      </c>
      <c r="I51" s="31" t="s">
        <v>20</v>
      </c>
      <c r="J51" s="31" t="s">
        <v>20</v>
      </c>
      <c r="K51" s="31" t="s">
        <v>20</v>
      </c>
      <c r="L51" s="31" t="s">
        <v>20</v>
      </c>
      <c r="M51" s="31" t="s">
        <v>20</v>
      </c>
      <c r="N51" s="31" t="s">
        <v>20</v>
      </c>
      <c r="O51" s="31" t="s">
        <v>20</v>
      </c>
      <c r="P51" s="31" t="s">
        <v>20</v>
      </c>
      <c r="Q51" s="31" t="s">
        <v>20</v>
      </c>
      <c r="R51" s="31" t="s">
        <v>20</v>
      </c>
      <c r="S51" s="31" t="s">
        <v>20</v>
      </c>
      <c r="T51" s="31" t="s">
        <v>20</v>
      </c>
      <c r="U51" s="31" t="s">
        <v>20</v>
      </c>
      <c r="V51" s="31" t="s">
        <v>20</v>
      </c>
      <c r="W51" s="31" t="s">
        <v>20</v>
      </c>
      <c r="X51" s="31" t="s">
        <v>20</v>
      </c>
      <c r="Y51" s="31" t="s">
        <v>20</v>
      </c>
      <c r="Z51" s="31" t="s">
        <v>20</v>
      </c>
      <c r="AA51" s="31" t="s">
        <v>20</v>
      </c>
      <c r="AB51" s="31" t="s">
        <v>20</v>
      </c>
      <c r="AC51" s="31" t="s">
        <v>20</v>
      </c>
      <c r="AD51" s="31" t="s">
        <v>20</v>
      </c>
      <c r="AE51" s="31" t="s">
        <v>20</v>
      </c>
      <c r="AF51" s="31" t="s">
        <v>20</v>
      </c>
      <c r="AG51" s="31" t="s">
        <v>20</v>
      </c>
      <c r="AH51" s="31" t="s">
        <v>20</v>
      </c>
      <c r="AI51" s="31" t="s">
        <v>20</v>
      </c>
    </row>
    <row r="52" spans="1:35" x14ac:dyDescent="0.25">
      <c r="A52" s="152" t="s">
        <v>269</v>
      </c>
      <c r="B52" s="152"/>
      <c r="C52" s="152"/>
      <c r="D52" s="152"/>
    </row>
    <row r="53" spans="1:35" x14ac:dyDescent="0.25">
      <c r="A53" s="2">
        <v>1</v>
      </c>
      <c r="B53" s="2"/>
      <c r="C53" s="2"/>
      <c r="D53" s="2"/>
      <c r="E53" t="s">
        <v>325</v>
      </c>
    </row>
    <row r="54" spans="1:35" x14ac:dyDescent="0.25">
      <c r="A54" s="2">
        <v>2</v>
      </c>
      <c r="B54" s="2"/>
      <c r="C54" s="2"/>
      <c r="D54" s="2"/>
      <c r="E54" t="s">
        <v>523</v>
      </c>
    </row>
    <row r="55" spans="1:35" x14ac:dyDescent="0.25">
      <c r="A55" s="2"/>
      <c r="B55" s="2"/>
      <c r="C55" s="2"/>
      <c r="D55" s="2"/>
    </row>
    <row r="56" spans="1:35" x14ac:dyDescent="0.25">
      <c r="A56" s="38"/>
      <c r="B56" s="38"/>
      <c r="C56" s="38"/>
      <c r="D56" s="38"/>
    </row>
    <row r="57" spans="1:35" x14ac:dyDescent="0.25">
      <c r="A57" s="38"/>
    </row>
    <row r="58" spans="1:35" x14ac:dyDescent="0.25">
      <c r="A58" s="38"/>
    </row>
    <row r="59" spans="1:35" x14ac:dyDescent="0.25">
      <c r="A59" s="168" t="s">
        <v>573</v>
      </c>
      <c r="B59" s="168"/>
      <c r="C59" s="168"/>
      <c r="D59" s="168"/>
      <c r="E59" s="168"/>
      <c r="F59" s="168"/>
      <c r="G59" s="168"/>
      <c r="H59" s="169" t="s">
        <v>574</v>
      </c>
      <c r="I59" s="169"/>
      <c r="J59" s="169"/>
      <c r="K59" s="169"/>
      <c r="L59" s="169"/>
      <c r="M59" s="171" t="s">
        <v>575</v>
      </c>
      <c r="N59" s="171"/>
      <c r="O59" s="171"/>
      <c r="P59" s="171"/>
      <c r="Q59" s="171"/>
      <c r="R59" s="160"/>
      <c r="S59" s="160"/>
      <c r="T59" s="160"/>
      <c r="U59" s="160"/>
      <c r="V59" s="153"/>
    </row>
    <row r="60" spans="1:35" x14ac:dyDescent="0.25">
      <c r="A60" s="139" t="s">
        <v>580</v>
      </c>
      <c r="B60" s="156">
        <f>F2</f>
        <v>64</v>
      </c>
      <c r="C60" s="156"/>
      <c r="D60" s="156"/>
      <c r="E60" s="156">
        <f>G2</f>
        <v>128</v>
      </c>
      <c r="F60" s="156">
        <f>H2</f>
        <v>192</v>
      </c>
      <c r="G60" s="156">
        <f>I2</f>
        <v>256</v>
      </c>
      <c r="H60" s="154">
        <f>$J$2</f>
        <v>32</v>
      </c>
      <c r="I60" s="154">
        <f>K2</f>
        <v>64</v>
      </c>
      <c r="J60" s="154">
        <f>L2</f>
        <v>128</v>
      </c>
      <c r="K60" s="154">
        <f>M2</f>
        <v>192</v>
      </c>
      <c r="L60" s="154">
        <f>N2</f>
        <v>256</v>
      </c>
      <c r="M60" s="159">
        <f>$O$2</f>
        <v>32</v>
      </c>
      <c r="N60" s="159">
        <f>P2</f>
        <v>64</v>
      </c>
      <c r="O60" s="159">
        <f>Q2</f>
        <v>128</v>
      </c>
      <c r="P60" s="159">
        <f>R2</f>
        <v>192</v>
      </c>
      <c r="Q60" s="159">
        <f>S2</f>
        <v>256</v>
      </c>
      <c r="R60" s="157"/>
      <c r="S60" s="157"/>
      <c r="T60" s="157"/>
      <c r="U60" s="157"/>
      <c r="V60" s="142"/>
    </row>
    <row r="61" spans="1:35" x14ac:dyDescent="0.25">
      <c r="A61" s="139" t="str">
        <f>$A$14</f>
        <v>BB Precoding</v>
      </c>
      <c r="B61" s="140">
        <f>F14</f>
        <v>502.15384615384613</v>
      </c>
      <c r="C61" s="140"/>
      <c r="D61" s="140"/>
      <c r="E61" s="140">
        <f>G14</f>
        <v>1004.3076923076923</v>
      </c>
      <c r="F61" s="140">
        <f>H14</f>
        <v>1506.4615384615386</v>
      </c>
      <c r="G61" s="140">
        <f>I14</f>
        <v>2008.6153846153845</v>
      </c>
      <c r="H61" s="144">
        <f>$J$14</f>
        <v>351.50769230769231</v>
      </c>
      <c r="I61" s="155">
        <f>K14</f>
        <v>703.01538461538462</v>
      </c>
      <c r="J61" s="144">
        <f>L14</f>
        <v>1406.0307692307692</v>
      </c>
      <c r="K61" s="144">
        <f t="shared" ref="K61:L61" si="48">M14</f>
        <v>2109.0461538461536</v>
      </c>
      <c r="L61" s="144">
        <f t="shared" si="48"/>
        <v>2812.0615384615385</v>
      </c>
      <c r="M61" s="158">
        <f>$O$14</f>
        <v>552.36923076923074</v>
      </c>
      <c r="N61" s="158">
        <f>P14</f>
        <v>1104.7384615384615</v>
      </c>
      <c r="O61" s="158">
        <f>Q14</f>
        <v>2209.476923076923</v>
      </c>
      <c r="P61" s="158">
        <f t="shared" ref="P61:Q61" si="49">R14</f>
        <v>3314.2153846153847</v>
      </c>
      <c r="Q61" s="158">
        <f t="shared" si="49"/>
        <v>4418.9538461538459</v>
      </c>
      <c r="R61" s="158"/>
      <c r="S61" s="158"/>
      <c r="T61" s="158"/>
      <c r="U61" s="158"/>
      <c r="V61" s="144"/>
    </row>
    <row r="62" spans="1:35" x14ac:dyDescent="0.25">
      <c r="A62" s="139" t="str">
        <f>$A$17</f>
        <v>SERDES</v>
      </c>
      <c r="B62" s="140">
        <f>F17</f>
        <v>838.52046634779447</v>
      </c>
      <c r="C62" s="140"/>
      <c r="D62" s="140"/>
      <c r="E62" s="140">
        <f>G17</f>
        <v>763.4937996811276</v>
      </c>
      <c r="F62" s="140">
        <f>H17</f>
        <v>720.88046634779425</v>
      </c>
      <c r="G62" s="140">
        <f>I17</f>
        <v>691.18713301446098</v>
      </c>
      <c r="H62" s="144">
        <f>$J$17</f>
        <v>1523.814266028922</v>
      </c>
      <c r="I62" s="155">
        <f>K17</f>
        <v>1335.2275993622552</v>
      </c>
      <c r="J62" s="144">
        <f>L17</f>
        <v>1164.3209326955887</v>
      </c>
      <c r="K62" s="144">
        <f t="shared" ref="K62:L62" si="50">M17</f>
        <v>1088</v>
      </c>
      <c r="L62" s="144">
        <f t="shared" si="50"/>
        <v>1088</v>
      </c>
      <c r="M62" s="158">
        <f>$O$17</f>
        <v>2791.0418653911775</v>
      </c>
      <c r="N62" s="158">
        <f>P17</f>
        <v>2353.1218653911774</v>
      </c>
      <c r="O62" s="158">
        <f>Q17</f>
        <v>2176</v>
      </c>
      <c r="P62" s="158">
        <f t="shared" ref="P62:Q62" si="51">R17</f>
        <v>2176</v>
      </c>
      <c r="Q62" s="158">
        <f t="shared" si="51"/>
        <v>2176</v>
      </c>
      <c r="R62" s="158"/>
      <c r="S62" s="158"/>
      <c r="T62" s="158"/>
      <c r="U62" s="158"/>
      <c r="V62" s="144"/>
    </row>
    <row r="63" spans="1:35" x14ac:dyDescent="0.25">
      <c r="A63" s="139" t="str">
        <f>$A$21</f>
        <v>DAC</v>
      </c>
      <c r="B63" s="140">
        <f>F21</f>
        <v>1264.8084787165005</v>
      </c>
      <c r="C63" s="140"/>
      <c r="D63" s="140"/>
      <c r="E63" s="140">
        <f>G21</f>
        <v>2132.5280865147633</v>
      </c>
      <c r="F63" s="140">
        <f>H21</f>
        <v>2949.1465507077119</v>
      </c>
      <c r="G63" s="140">
        <f>I21</f>
        <v>3739.481346812463</v>
      </c>
      <c r="H63" s="144">
        <f>$J$21</f>
        <v>531.41543339981331</v>
      </c>
      <c r="I63" s="155">
        <f>K21</f>
        <v>901.48847550797359</v>
      </c>
      <c r="J63" s="144">
        <f>L21</f>
        <v>1618.3259953414929</v>
      </c>
      <c r="K63" s="144">
        <f t="shared" ref="K63:L63" si="52">M21</f>
        <v>2337.7919999999999</v>
      </c>
      <c r="L63" s="144">
        <f t="shared" si="52"/>
        <v>3117.056</v>
      </c>
      <c r="M63" s="158">
        <f>$O$21</f>
        <v>472.45822990739509</v>
      </c>
      <c r="N63" s="158">
        <f>P21</f>
        <v>814.522619257104</v>
      </c>
      <c r="O63" s="158">
        <f>Q21</f>
        <v>1558.528</v>
      </c>
      <c r="P63" s="158">
        <f t="shared" ref="P63:Q63" si="53">R21</f>
        <v>2337.7919999999999</v>
      </c>
      <c r="Q63" s="158">
        <f t="shared" si="53"/>
        <v>3117.056</v>
      </c>
      <c r="R63" s="158"/>
      <c r="S63" s="158"/>
      <c r="T63" s="158"/>
      <c r="U63" s="158"/>
      <c r="V63" s="144"/>
    </row>
    <row r="64" spans="1:35" x14ac:dyDescent="0.25">
      <c r="A64" s="139" t="str">
        <f>$A$25</f>
        <v>Mixer</v>
      </c>
      <c r="B64" s="140">
        <f>F25</f>
        <v>640</v>
      </c>
      <c r="C64" s="140"/>
      <c r="D64" s="140"/>
      <c r="E64" s="140">
        <f>G25</f>
        <v>1280</v>
      </c>
      <c r="F64" s="140">
        <f>H25</f>
        <v>1920</v>
      </c>
      <c r="G64" s="140">
        <f>I25</f>
        <v>2560</v>
      </c>
      <c r="H64" s="144">
        <f>$J$25</f>
        <v>320</v>
      </c>
      <c r="I64" s="155">
        <f>K25</f>
        <v>640</v>
      </c>
      <c r="J64" s="144">
        <f>L25</f>
        <v>1280</v>
      </c>
      <c r="K64" s="144">
        <f t="shared" ref="K64:L64" si="54">M25</f>
        <v>1920</v>
      </c>
      <c r="L64" s="144">
        <f t="shared" si="54"/>
        <v>2560</v>
      </c>
      <c r="M64" s="158">
        <f>$O$25</f>
        <v>320</v>
      </c>
      <c r="N64" s="158">
        <f>P25</f>
        <v>640</v>
      </c>
      <c r="O64" s="158">
        <f>Q25</f>
        <v>1280</v>
      </c>
      <c r="P64" s="158">
        <f t="shared" ref="P64:Q64" si="55">R25</f>
        <v>1920</v>
      </c>
      <c r="Q64" s="158">
        <f t="shared" si="55"/>
        <v>2560</v>
      </c>
      <c r="R64" s="158"/>
      <c r="S64" s="158"/>
      <c r="T64" s="158"/>
      <c r="U64" s="158"/>
      <c r="V64" s="144"/>
    </row>
    <row r="65" spans="1:22" x14ac:dyDescent="0.25">
      <c r="A65" s="139" t="str">
        <f>$A$29</f>
        <v>VCO</v>
      </c>
      <c r="B65" s="140">
        <f>F29</f>
        <v>3840</v>
      </c>
      <c r="C65" s="140"/>
      <c r="D65" s="140"/>
      <c r="E65" s="140">
        <f>G29</f>
        <v>7680</v>
      </c>
      <c r="F65" s="140">
        <f>H29</f>
        <v>11520</v>
      </c>
      <c r="G65" s="140">
        <f>I29</f>
        <v>15360</v>
      </c>
      <c r="H65" s="144">
        <f>$J$29</f>
        <v>1920</v>
      </c>
      <c r="I65" s="155">
        <f>K29</f>
        <v>3840</v>
      </c>
      <c r="J65" s="144">
        <f>L29</f>
        <v>7680</v>
      </c>
      <c r="K65" s="144">
        <f t="shared" ref="K65:L65" si="56">M29</f>
        <v>11520</v>
      </c>
      <c r="L65" s="144">
        <f t="shared" si="56"/>
        <v>15360</v>
      </c>
      <c r="M65" s="158">
        <f>$O$29</f>
        <v>1920</v>
      </c>
      <c r="N65" s="158">
        <f>P29</f>
        <v>3840</v>
      </c>
      <c r="O65" s="158">
        <f>Q29</f>
        <v>7680</v>
      </c>
      <c r="P65" s="158">
        <f t="shared" ref="P65:Q65" si="57">R29</f>
        <v>11520</v>
      </c>
      <c r="Q65" s="158">
        <f t="shared" si="57"/>
        <v>15360</v>
      </c>
      <c r="R65" s="158"/>
      <c r="S65" s="158"/>
      <c r="T65" s="158"/>
      <c r="U65" s="158"/>
      <c r="V65" s="144"/>
    </row>
    <row r="66" spans="1:22" x14ac:dyDescent="0.25">
      <c r="A66" s="139" t="str">
        <f>$A$34</f>
        <v>PS</v>
      </c>
      <c r="B66" s="140">
        <f>F34</f>
        <v>0</v>
      </c>
      <c r="C66" s="140"/>
      <c r="D66" s="140"/>
      <c r="E66" s="140">
        <f>G34</f>
        <v>0</v>
      </c>
      <c r="F66" s="140">
        <f>H34</f>
        <v>0</v>
      </c>
      <c r="G66" s="140">
        <f>I34</f>
        <v>0</v>
      </c>
      <c r="H66" s="144">
        <f>$J$34</f>
        <v>0</v>
      </c>
      <c r="I66" s="155">
        <f>K34</f>
        <v>0</v>
      </c>
      <c r="J66" s="144">
        <f>L34</f>
        <v>0</v>
      </c>
      <c r="K66" s="144">
        <f t="shared" ref="K66:L66" si="58">M34</f>
        <v>0</v>
      </c>
      <c r="L66" s="144">
        <f t="shared" si="58"/>
        <v>0</v>
      </c>
      <c r="M66" s="158">
        <f>$O$34</f>
        <v>0</v>
      </c>
      <c r="N66" s="158">
        <f>P34</f>
        <v>0</v>
      </c>
      <c r="O66" s="158">
        <f>Q34</f>
        <v>0</v>
      </c>
      <c r="P66" s="158">
        <f t="shared" ref="P66:Q66" si="59">R34</f>
        <v>0</v>
      </c>
      <c r="Q66" s="158">
        <f t="shared" si="59"/>
        <v>0</v>
      </c>
      <c r="R66" s="158"/>
      <c r="S66" s="158"/>
      <c r="T66" s="158"/>
      <c r="U66" s="158"/>
      <c r="V66" s="144"/>
    </row>
    <row r="67" spans="1:22" x14ac:dyDescent="0.25">
      <c r="A67" s="139" t="str">
        <f>$A$39</f>
        <v>RF Amp</v>
      </c>
      <c r="B67" s="140">
        <f>F39</f>
        <v>2560</v>
      </c>
      <c r="C67" s="140"/>
      <c r="D67" s="140"/>
      <c r="E67" s="140">
        <f>G39</f>
        <v>5120</v>
      </c>
      <c r="F67" s="140">
        <f>H39</f>
        <v>7680</v>
      </c>
      <c r="G67" s="140">
        <f>I39</f>
        <v>10240</v>
      </c>
      <c r="H67" s="144">
        <f>$J$39</f>
        <v>1280</v>
      </c>
      <c r="I67" s="155">
        <f>K39</f>
        <v>2560</v>
      </c>
      <c r="J67" s="144">
        <f>L39</f>
        <v>5120</v>
      </c>
      <c r="K67" s="144">
        <f t="shared" ref="K67:L67" si="60">M39</f>
        <v>7680</v>
      </c>
      <c r="L67" s="144">
        <f t="shared" si="60"/>
        <v>10240</v>
      </c>
      <c r="M67" s="158">
        <f>$O$39</f>
        <v>1280</v>
      </c>
      <c r="N67" s="158">
        <f>P39</f>
        <v>2560</v>
      </c>
      <c r="O67" s="158">
        <f>Q39</f>
        <v>5120</v>
      </c>
      <c r="P67" s="158">
        <f t="shared" ref="P67:Q67" si="61">R39</f>
        <v>7680</v>
      </c>
      <c r="Q67" s="158">
        <f t="shared" si="61"/>
        <v>10240</v>
      </c>
      <c r="R67" s="158"/>
      <c r="S67" s="158"/>
      <c r="T67" s="158"/>
      <c r="U67" s="158"/>
      <c r="V67" s="144"/>
    </row>
    <row r="68" spans="1:22" x14ac:dyDescent="0.25">
      <c r="A68" s="139" t="str">
        <f>$A$47</f>
        <v xml:space="preserve">PA </v>
      </c>
      <c r="B68" s="140">
        <f>F47</f>
        <v>68996.692368180797</v>
      </c>
      <c r="C68" s="140"/>
      <c r="D68" s="140"/>
      <c r="E68" s="140">
        <f t="shared" ref="E68:F68" si="62">G47</f>
        <v>32197.953704270873</v>
      </c>
      <c r="F68" s="140">
        <f t="shared" si="62"/>
        <v>20884.701462382138</v>
      </c>
      <c r="G68" s="140">
        <f>I47</f>
        <v>15446.435369594328</v>
      </c>
      <c r="H68" s="144">
        <f>$J$47</f>
        <v>31683.144027785333</v>
      </c>
      <c r="I68" s="155">
        <f>K47</f>
        <v>12157.051923436649</v>
      </c>
      <c r="J68" s="144">
        <f>L47</f>
        <v>5103.0317637076987</v>
      </c>
      <c r="K68" s="144">
        <f t="shared" ref="K68:L68" si="63">M47</f>
        <v>3212.3900465706638</v>
      </c>
      <c r="L68" s="144">
        <f t="shared" si="63"/>
        <v>2343.3020453379945</v>
      </c>
      <c r="M68" s="158">
        <f>$O$47</f>
        <v>16513.087098462271</v>
      </c>
      <c r="N68" s="158">
        <f>P47</f>
        <v>5430.3556231264611</v>
      </c>
      <c r="O68" s="158">
        <f>Q47</f>
        <v>2258.5425224141732</v>
      </c>
      <c r="P68" s="158">
        <f t="shared" ref="P68:Q68" si="64">R47</f>
        <v>1402.2591146588197</v>
      </c>
      <c r="Q68" s="158">
        <f t="shared" si="64"/>
        <v>1018.1886970215143</v>
      </c>
      <c r="R68" s="158"/>
      <c r="S68" s="158"/>
      <c r="T68" s="158"/>
      <c r="U68" s="158"/>
      <c r="V68" s="144"/>
    </row>
    <row r="69" spans="1:22" x14ac:dyDescent="0.25">
      <c r="A69" s="168" t="s">
        <v>577</v>
      </c>
      <c r="B69" s="168"/>
      <c r="C69" s="168"/>
      <c r="D69" s="168"/>
      <c r="E69" s="168"/>
      <c r="F69" s="168"/>
      <c r="G69" s="168"/>
      <c r="H69" s="169" t="s">
        <v>576</v>
      </c>
      <c r="I69" s="169"/>
      <c r="J69" s="169"/>
      <c r="K69" s="169"/>
      <c r="L69" s="169"/>
      <c r="M69" s="171" t="s">
        <v>578</v>
      </c>
      <c r="N69" s="171"/>
      <c r="O69" s="171"/>
      <c r="P69" s="171"/>
      <c r="Q69" s="171"/>
      <c r="R69" s="160"/>
      <c r="S69" s="160"/>
      <c r="T69" s="160"/>
      <c r="U69" s="160"/>
      <c r="V69" s="153"/>
    </row>
    <row r="70" spans="1:22" x14ac:dyDescent="0.25">
      <c r="A70" s="137"/>
      <c r="B70" s="156">
        <f>T2</f>
        <v>384</v>
      </c>
      <c r="C70" s="156"/>
      <c r="D70" s="156"/>
      <c r="E70" s="156">
        <f>U2</f>
        <v>512</v>
      </c>
      <c r="F70" s="156">
        <f>V2</f>
        <v>768</v>
      </c>
      <c r="G70" s="156">
        <f>W2</f>
        <v>1024</v>
      </c>
      <c r="H70" s="154">
        <f>X2</f>
        <v>256</v>
      </c>
      <c r="I70" s="154">
        <f>Y2</f>
        <v>384</v>
      </c>
      <c r="J70" s="154"/>
      <c r="K70" s="154">
        <f>Z2</f>
        <v>512</v>
      </c>
      <c r="L70" s="154">
        <f>AA2</f>
        <v>768</v>
      </c>
      <c r="M70" s="159">
        <f>AB2</f>
        <v>256</v>
      </c>
      <c r="N70" s="159">
        <f>AC2</f>
        <v>384</v>
      </c>
      <c r="O70" s="159"/>
      <c r="P70" s="159">
        <f>AD2</f>
        <v>512</v>
      </c>
      <c r="Q70" s="159">
        <f>AE2</f>
        <v>768</v>
      </c>
      <c r="R70" s="157"/>
      <c r="S70" s="157"/>
      <c r="T70" s="157"/>
      <c r="U70" s="157"/>
      <c r="V70" s="142"/>
    </row>
    <row r="71" spans="1:22" x14ac:dyDescent="0.25">
      <c r="A71" s="139" t="str">
        <f>$A$14</f>
        <v>BB Precoding</v>
      </c>
      <c r="B71" s="140">
        <f>T14</f>
        <v>2109.0461538461536</v>
      </c>
      <c r="C71" s="140"/>
      <c r="D71" s="140"/>
      <c r="E71" s="140">
        <f>U14</f>
        <v>2812.0615384615385</v>
      </c>
      <c r="F71" s="140">
        <f>V14</f>
        <v>4218.0923076923073</v>
      </c>
      <c r="G71" s="140">
        <f>W14</f>
        <v>5624.123076923077</v>
      </c>
      <c r="H71" s="155">
        <f>X14</f>
        <v>1606.8923076923077</v>
      </c>
      <c r="I71" s="155">
        <f>Y14</f>
        <v>2410.3384615384616</v>
      </c>
      <c r="J71" s="155"/>
      <c r="K71" s="155">
        <f t="shared" ref="K71:L71" si="65">Z14</f>
        <v>3213.7846153846153</v>
      </c>
      <c r="L71" s="155">
        <f t="shared" si="65"/>
        <v>4820.6769230769232</v>
      </c>
      <c r="M71" s="158">
        <f>AB14</f>
        <v>2008.6153846153845</v>
      </c>
      <c r="N71" s="158">
        <f>AC14</f>
        <v>3012.9230769230771</v>
      </c>
      <c r="O71" s="158"/>
      <c r="P71" s="158">
        <f t="shared" ref="P71:Q71" si="66">AD14</f>
        <v>4017.2307692307691</v>
      </c>
      <c r="Q71" s="158">
        <f t="shared" si="66"/>
        <v>6025.8461538461543</v>
      </c>
      <c r="R71" s="158"/>
      <c r="S71" s="158"/>
      <c r="T71" s="158"/>
      <c r="U71" s="158"/>
      <c r="V71" s="144"/>
    </row>
    <row r="72" spans="1:22" x14ac:dyDescent="0.25">
      <c r="A72" s="139" t="str">
        <f>$A$17</f>
        <v>SERDES</v>
      </c>
      <c r="B72" s="140">
        <f>T17</f>
        <v>136</v>
      </c>
      <c r="C72" s="140"/>
      <c r="D72" s="140"/>
      <c r="E72" s="140">
        <f>U17</f>
        <v>136</v>
      </c>
      <c r="F72" s="140">
        <f>V17</f>
        <v>136</v>
      </c>
      <c r="G72" s="140">
        <f>W17</f>
        <v>136</v>
      </c>
      <c r="H72" s="155">
        <f>X17</f>
        <v>272</v>
      </c>
      <c r="I72" s="155">
        <f>Y17</f>
        <v>272</v>
      </c>
      <c r="J72" s="155"/>
      <c r="K72" s="155">
        <f t="shared" ref="K72:L72" si="67">Z17</f>
        <v>272</v>
      </c>
      <c r="L72" s="155">
        <f t="shared" si="67"/>
        <v>272</v>
      </c>
      <c r="M72" s="158">
        <f>AB17</f>
        <v>544</v>
      </c>
      <c r="N72" s="158">
        <f>AC17</f>
        <v>544</v>
      </c>
      <c r="O72" s="158"/>
      <c r="P72" s="158">
        <f t="shared" ref="P72:Q72" si="68">AD17</f>
        <v>544</v>
      </c>
      <c r="Q72" s="158">
        <f t="shared" si="68"/>
        <v>544</v>
      </c>
      <c r="R72" s="158"/>
      <c r="S72" s="158"/>
      <c r="T72" s="158"/>
      <c r="U72" s="158"/>
      <c r="V72" s="144"/>
    </row>
    <row r="73" spans="1:22" x14ac:dyDescent="0.25">
      <c r="A73" s="139" t="str">
        <f>$A$21</f>
        <v>DAC</v>
      </c>
      <c r="B73" s="140">
        <f>T21</f>
        <v>4675.5839999999998</v>
      </c>
      <c r="C73" s="140"/>
      <c r="D73" s="140"/>
      <c r="E73" s="140">
        <f>U21</f>
        <v>6234.1120000000001</v>
      </c>
      <c r="F73" s="140">
        <f>V21</f>
        <v>9351.1679999999997</v>
      </c>
      <c r="G73" s="140">
        <f>W21</f>
        <v>12468.224</v>
      </c>
      <c r="H73" s="155">
        <f>X21</f>
        <v>3117.056</v>
      </c>
      <c r="I73" s="155">
        <f>Y21</f>
        <v>4675.5839999999998</v>
      </c>
      <c r="J73" s="155"/>
      <c r="K73" s="155">
        <f t="shared" ref="K73:L73" si="69">Z21</f>
        <v>6234.1120000000001</v>
      </c>
      <c r="L73" s="155">
        <f t="shared" si="69"/>
        <v>9351.1679999999997</v>
      </c>
      <c r="M73" s="158">
        <f>AB21</f>
        <v>3117.056</v>
      </c>
      <c r="N73" s="158">
        <f>AC21</f>
        <v>4675.5839999999998</v>
      </c>
      <c r="O73" s="158"/>
      <c r="P73" s="158">
        <f t="shared" ref="P73:Q73" si="70">AD21</f>
        <v>6234.1120000000001</v>
      </c>
      <c r="Q73" s="158">
        <f t="shared" si="70"/>
        <v>9351.1679999999997</v>
      </c>
      <c r="R73" s="158"/>
      <c r="S73" s="158"/>
      <c r="T73" s="158"/>
      <c r="U73" s="158"/>
      <c r="V73" s="144"/>
    </row>
    <row r="74" spans="1:22" x14ac:dyDescent="0.25">
      <c r="A74" s="139" t="str">
        <f>$A$25</f>
        <v>Mixer</v>
      </c>
      <c r="B74" s="140">
        <f>T25</f>
        <v>3840</v>
      </c>
      <c r="C74" s="140"/>
      <c r="D74" s="140"/>
      <c r="E74" s="140">
        <f>U25</f>
        <v>5120</v>
      </c>
      <c r="F74" s="140">
        <f>V25</f>
        <v>7680</v>
      </c>
      <c r="G74" s="140">
        <f>W25</f>
        <v>10240</v>
      </c>
      <c r="H74" s="155">
        <f>X25</f>
        <v>2560</v>
      </c>
      <c r="I74" s="155">
        <f>Y25</f>
        <v>3840</v>
      </c>
      <c r="J74" s="155"/>
      <c r="K74" s="155">
        <f t="shared" ref="K74:L74" si="71">Z25</f>
        <v>5120</v>
      </c>
      <c r="L74" s="155">
        <f t="shared" si="71"/>
        <v>7680</v>
      </c>
      <c r="M74" s="158">
        <f>AB25</f>
        <v>2560</v>
      </c>
      <c r="N74" s="158">
        <f>AC25</f>
        <v>3840</v>
      </c>
      <c r="O74" s="158"/>
      <c r="P74" s="158">
        <f t="shared" ref="P74:Q74" si="72">AD25</f>
        <v>5120</v>
      </c>
      <c r="Q74" s="158">
        <f t="shared" si="72"/>
        <v>7680</v>
      </c>
      <c r="R74" s="158"/>
      <c r="S74" s="158"/>
      <c r="T74" s="158"/>
      <c r="U74" s="158"/>
      <c r="V74" s="144"/>
    </row>
    <row r="75" spans="1:22" x14ac:dyDescent="0.25">
      <c r="A75" s="139" t="str">
        <f>$A$29</f>
        <v>VCO</v>
      </c>
      <c r="B75" s="140">
        <f>T29</f>
        <v>23040</v>
      </c>
      <c r="C75" s="140"/>
      <c r="D75" s="140"/>
      <c r="E75" s="140">
        <f>U29</f>
        <v>30720</v>
      </c>
      <c r="F75" s="140">
        <f>V29</f>
        <v>46080</v>
      </c>
      <c r="G75" s="140">
        <f>W29</f>
        <v>61440</v>
      </c>
      <c r="H75" s="155">
        <f>X29</f>
        <v>15360</v>
      </c>
      <c r="I75" s="155">
        <f>Y29</f>
        <v>23040</v>
      </c>
      <c r="J75" s="155"/>
      <c r="K75" s="155">
        <f t="shared" ref="K75:L75" si="73">Z29</f>
        <v>30720</v>
      </c>
      <c r="L75" s="155">
        <f t="shared" si="73"/>
        <v>46080</v>
      </c>
      <c r="M75" s="158">
        <f>AB29</f>
        <v>15360</v>
      </c>
      <c r="N75" s="158">
        <f>AC29</f>
        <v>23040</v>
      </c>
      <c r="O75" s="158"/>
      <c r="P75" s="158">
        <f t="shared" ref="P75:Q75" si="74">AD29</f>
        <v>30720</v>
      </c>
      <c r="Q75" s="158">
        <f t="shared" si="74"/>
        <v>46080</v>
      </c>
      <c r="R75" s="158"/>
      <c r="S75" s="158"/>
      <c r="T75" s="158"/>
      <c r="U75" s="158"/>
      <c r="V75" s="144"/>
    </row>
    <row r="76" spans="1:22" x14ac:dyDescent="0.25">
      <c r="A76" s="139" t="str">
        <f>$A$34</f>
        <v>PS</v>
      </c>
      <c r="B76" s="140">
        <f>T34</f>
        <v>0</v>
      </c>
      <c r="C76" s="140"/>
      <c r="D76" s="140"/>
      <c r="E76" s="140">
        <f>U34</f>
        <v>0</v>
      </c>
      <c r="F76" s="140">
        <f>V34</f>
        <v>0</v>
      </c>
      <c r="G76" s="140">
        <f>W34</f>
        <v>0</v>
      </c>
      <c r="H76" s="155">
        <f>X34</f>
        <v>0</v>
      </c>
      <c r="I76" s="155">
        <f>Y34</f>
        <v>0</v>
      </c>
      <c r="J76" s="155"/>
      <c r="K76" s="155">
        <f t="shared" ref="K76:L76" si="75">Z34</f>
        <v>0</v>
      </c>
      <c r="L76" s="155">
        <f t="shared" si="75"/>
        <v>0</v>
      </c>
      <c r="M76" s="158">
        <f>AB34</f>
        <v>0</v>
      </c>
      <c r="N76" s="158">
        <f>AC34</f>
        <v>0</v>
      </c>
      <c r="O76" s="158"/>
      <c r="P76" s="158">
        <f t="shared" ref="P76:Q76" si="76">AD34</f>
        <v>0</v>
      </c>
      <c r="Q76" s="158">
        <f t="shared" si="76"/>
        <v>0</v>
      </c>
      <c r="R76" s="158"/>
      <c r="S76" s="158"/>
      <c r="T76" s="158"/>
      <c r="U76" s="158"/>
      <c r="V76" s="144"/>
    </row>
    <row r="77" spans="1:22" x14ac:dyDescent="0.25">
      <c r="A77" s="139" t="str">
        <f>$A$39</f>
        <v>RF Amp</v>
      </c>
      <c r="B77" s="140">
        <f>T39</f>
        <v>15360</v>
      </c>
      <c r="C77" s="140"/>
      <c r="D77" s="140"/>
      <c r="E77" s="140">
        <f>U39</f>
        <v>20480</v>
      </c>
      <c r="F77" s="140">
        <f>V39</f>
        <v>30720</v>
      </c>
      <c r="G77" s="140">
        <f>W39</f>
        <v>40960</v>
      </c>
      <c r="H77" s="155">
        <f>X39</f>
        <v>10240</v>
      </c>
      <c r="I77" s="155">
        <f>Y39</f>
        <v>15360</v>
      </c>
      <c r="J77" s="155"/>
      <c r="K77" s="155">
        <f t="shared" ref="K77:L77" si="77">Z39</f>
        <v>20480</v>
      </c>
      <c r="L77" s="155">
        <f t="shared" si="77"/>
        <v>30720</v>
      </c>
      <c r="M77" s="158">
        <f>AB39</f>
        <v>10240</v>
      </c>
      <c r="N77" s="158">
        <f>AC39</f>
        <v>15360</v>
      </c>
      <c r="O77" s="158"/>
      <c r="P77" s="158">
        <f t="shared" ref="P77:Q77" si="78">AD39</f>
        <v>20480</v>
      </c>
      <c r="Q77" s="158">
        <f t="shared" si="78"/>
        <v>30720</v>
      </c>
      <c r="R77" s="158"/>
      <c r="S77" s="158"/>
      <c r="T77" s="158"/>
      <c r="U77" s="158"/>
      <c r="V77" s="144"/>
    </row>
    <row r="78" spans="1:22" x14ac:dyDescent="0.25">
      <c r="A78" s="139" t="str">
        <f>$A$47</f>
        <v xml:space="preserve">PA </v>
      </c>
      <c r="B78" s="140">
        <f>T47</f>
        <v>136718.81061871091</v>
      </c>
      <c r="C78" s="140"/>
      <c r="D78" s="140"/>
      <c r="E78" s="140">
        <f t="shared" ref="E78:G78" si="79">U47</f>
        <v>102524.64438979191</v>
      </c>
      <c r="F78" s="140">
        <f t="shared" si="79"/>
        <v>68206.893761657906</v>
      </c>
      <c r="G78" s="140">
        <f t="shared" si="79"/>
        <v>51740.220069991679</v>
      </c>
      <c r="H78" s="155">
        <f>X47</f>
        <v>128182.36246819769</v>
      </c>
      <c r="I78" s="155">
        <f>Y47</f>
        <v>85276.284848613548</v>
      </c>
      <c r="J78" s="155"/>
      <c r="K78" s="155">
        <f t="shared" ref="K78:L78" si="80">Z47</f>
        <v>63801.115440634137</v>
      </c>
      <c r="L78" s="155">
        <f t="shared" si="80"/>
        <v>42445.169438382334</v>
      </c>
      <c r="M78" s="158">
        <f>AB47</f>
        <v>97236.265682637211</v>
      </c>
      <c r="N78" s="158">
        <f>AC47</f>
        <v>65437.736948674741</v>
      </c>
      <c r="O78" s="158"/>
      <c r="P78" s="158">
        <f t="shared" ref="P78:Q78" si="81">AD47</f>
        <v>49411.526565959481</v>
      </c>
      <c r="Q78" s="158">
        <f t="shared" si="81"/>
        <v>33176.324603502442</v>
      </c>
      <c r="R78" s="158"/>
      <c r="S78" s="158"/>
      <c r="T78" s="158"/>
      <c r="U78" s="158"/>
      <c r="V78" s="144"/>
    </row>
    <row r="79" spans="1:22" x14ac:dyDescent="0.25">
      <c r="A79" s="168" t="s">
        <v>579</v>
      </c>
      <c r="B79" s="168"/>
      <c r="C79" s="168"/>
      <c r="D79" s="168"/>
      <c r="E79" s="168"/>
      <c r="F79" s="168"/>
      <c r="G79" s="168"/>
      <c r="H79" s="169"/>
      <c r="I79" s="169"/>
      <c r="J79" s="169"/>
      <c r="K79" s="169"/>
      <c r="L79" s="169"/>
      <c r="M79" s="171"/>
      <c r="N79" s="171"/>
      <c r="O79" s="171"/>
      <c r="P79" s="171"/>
      <c r="Q79" s="171"/>
      <c r="R79" s="171"/>
      <c r="S79" s="171"/>
      <c r="T79" s="171"/>
      <c r="U79" s="171"/>
      <c r="V79" s="153"/>
    </row>
    <row r="80" spans="1:22" x14ac:dyDescent="0.25">
      <c r="A80" s="137"/>
      <c r="B80" s="167">
        <f>AF2</f>
        <v>128</v>
      </c>
      <c r="C80" s="167"/>
      <c r="D80" s="167"/>
      <c r="E80" s="167">
        <f>AG2</f>
        <v>256</v>
      </c>
      <c r="F80" s="167">
        <f>AH2</f>
        <v>384</v>
      </c>
      <c r="G80" s="167">
        <f>AI2</f>
        <v>512</v>
      </c>
      <c r="H80" s="141"/>
      <c r="I80" s="144"/>
      <c r="J80" s="144"/>
      <c r="K80" s="144"/>
      <c r="L80" s="144"/>
      <c r="M80" s="158"/>
      <c r="N80" s="158"/>
      <c r="O80" s="158"/>
      <c r="P80" s="158"/>
      <c r="Q80" s="158"/>
      <c r="R80" s="158"/>
      <c r="S80" s="158"/>
      <c r="T80" s="158"/>
      <c r="U80" s="158"/>
      <c r="V80" s="144"/>
    </row>
    <row r="81" spans="1:22" x14ac:dyDescent="0.25">
      <c r="A81" s="139" t="str">
        <f>$A$14</f>
        <v>BB Precoding</v>
      </c>
      <c r="B81" s="140">
        <f>AF14</f>
        <v>652.79999999999995</v>
      </c>
      <c r="C81" s="140"/>
      <c r="D81" s="140"/>
      <c r="E81" s="140">
        <f>AG14</f>
        <v>1305.5999999999999</v>
      </c>
      <c r="F81" s="140">
        <f>AH14</f>
        <v>1958.4</v>
      </c>
      <c r="G81" s="140">
        <f>AI14</f>
        <v>2611.1999999999998</v>
      </c>
      <c r="H81" s="143"/>
      <c r="I81" s="144"/>
      <c r="J81" s="144"/>
      <c r="K81" s="144"/>
      <c r="L81" s="144"/>
      <c r="M81" s="158"/>
      <c r="N81" s="158"/>
      <c r="O81" s="158"/>
      <c r="P81" s="158"/>
      <c r="Q81" s="158"/>
      <c r="R81" s="158"/>
      <c r="S81" s="158"/>
      <c r="T81" s="158"/>
      <c r="U81" s="158"/>
      <c r="V81" s="144"/>
    </row>
    <row r="82" spans="1:22" x14ac:dyDescent="0.25">
      <c r="A82" s="139" t="str">
        <f>$A$17</f>
        <v>SERDES</v>
      </c>
      <c r="B82" s="140">
        <f>AF17</f>
        <v>106.44833333333332</v>
      </c>
      <c r="C82" s="140"/>
      <c r="D82" s="140"/>
      <c r="E82" s="140">
        <f>AG17</f>
        <v>97.948333333333323</v>
      </c>
      <c r="F82" s="140">
        <f>AH17</f>
        <v>92.933333333333323</v>
      </c>
      <c r="G82" s="140">
        <f>AI17</f>
        <v>89.391666666666637</v>
      </c>
      <c r="H82" s="143"/>
      <c r="I82" s="144"/>
      <c r="J82" s="144"/>
      <c r="K82" s="144"/>
      <c r="L82" s="144"/>
      <c r="M82" s="158"/>
      <c r="N82" s="158"/>
      <c r="O82" s="158"/>
      <c r="P82" s="158"/>
      <c r="Q82" s="158"/>
      <c r="R82" s="158"/>
      <c r="S82" s="158"/>
      <c r="T82" s="158"/>
      <c r="U82" s="158"/>
      <c r="V82" s="144"/>
    </row>
    <row r="83" spans="1:22" x14ac:dyDescent="0.25">
      <c r="A83" s="139" t="str">
        <f>$A$21</f>
        <v>DAC</v>
      </c>
      <c r="B83" s="140">
        <f>AF21</f>
        <v>2615.6675272525881</v>
      </c>
      <c r="C83" s="140"/>
      <c r="D83" s="140"/>
      <c r="E83" s="140">
        <f>AG21</f>
        <v>4448.9191318619451</v>
      </c>
      <c r="F83" s="140">
        <f>AH21</f>
        <v>6149.4085837899866</v>
      </c>
      <c r="G83" s="140">
        <f>AI21</f>
        <v>7785.1700847622024</v>
      </c>
      <c r="H83" s="143"/>
      <c r="I83" s="144"/>
      <c r="J83" s="144"/>
      <c r="K83" s="144"/>
      <c r="L83" s="144"/>
      <c r="M83" s="158"/>
      <c r="N83" s="158"/>
      <c r="O83" s="158"/>
      <c r="P83" s="158"/>
      <c r="Q83" s="158"/>
      <c r="R83" s="158"/>
      <c r="S83" s="158"/>
      <c r="T83" s="158"/>
      <c r="U83" s="158"/>
      <c r="V83" s="144"/>
    </row>
    <row r="84" spans="1:22" x14ac:dyDescent="0.25">
      <c r="A84" s="139" t="str">
        <f>$A$25</f>
        <v>Mixer</v>
      </c>
      <c r="B84" s="140">
        <f>AF25</f>
        <v>1280</v>
      </c>
      <c r="C84" s="140"/>
      <c r="D84" s="140"/>
      <c r="E84" s="140">
        <f>AG25</f>
        <v>2560</v>
      </c>
      <c r="F84" s="140">
        <f>AH25</f>
        <v>3840</v>
      </c>
      <c r="G84" s="140">
        <f>AI25</f>
        <v>5120</v>
      </c>
      <c r="H84" s="143"/>
      <c r="I84" s="144"/>
      <c r="J84" s="144"/>
      <c r="K84" s="144"/>
      <c r="L84" s="144"/>
      <c r="M84" s="158"/>
      <c r="N84" s="158"/>
      <c r="O84" s="158"/>
      <c r="P84" s="158"/>
      <c r="Q84" s="158"/>
      <c r="R84" s="158"/>
      <c r="S84" s="158"/>
      <c r="T84" s="158"/>
      <c r="U84" s="158"/>
      <c r="V84" s="144"/>
    </row>
    <row r="85" spans="1:22" x14ac:dyDescent="0.25">
      <c r="A85" s="139" t="str">
        <f>$A$29</f>
        <v>VCO</v>
      </c>
      <c r="B85" s="140">
        <f>AF29</f>
        <v>7680</v>
      </c>
      <c r="C85" s="140"/>
      <c r="D85" s="140"/>
      <c r="E85" s="140">
        <f>AG29</f>
        <v>15360</v>
      </c>
      <c r="F85" s="140">
        <f>AH29</f>
        <v>23040</v>
      </c>
      <c r="G85" s="140">
        <f>AI29</f>
        <v>30720</v>
      </c>
      <c r="H85" s="143"/>
      <c r="I85" s="144"/>
      <c r="J85" s="144"/>
      <c r="K85" s="144"/>
      <c r="L85" s="144"/>
      <c r="M85" s="158"/>
      <c r="N85" s="158"/>
      <c r="O85" s="158"/>
      <c r="P85" s="158"/>
      <c r="Q85" s="158"/>
      <c r="R85" s="158"/>
      <c r="S85" s="158"/>
      <c r="T85" s="158"/>
      <c r="U85" s="158"/>
      <c r="V85" s="144"/>
    </row>
    <row r="86" spans="1:22" x14ac:dyDescent="0.25">
      <c r="A86" s="139" t="str">
        <f>$A$34</f>
        <v>PS</v>
      </c>
      <c r="B86" s="140">
        <f>AF34</f>
        <v>0</v>
      </c>
      <c r="C86" s="140"/>
      <c r="D86" s="140"/>
      <c r="E86" s="140">
        <f>AG34</f>
        <v>0</v>
      </c>
      <c r="F86" s="140">
        <f>AH34</f>
        <v>0</v>
      </c>
      <c r="G86" s="140">
        <f>AI34</f>
        <v>0</v>
      </c>
      <c r="H86" s="143"/>
      <c r="I86" s="144"/>
      <c r="J86" s="144"/>
      <c r="K86" s="144"/>
      <c r="L86" s="144"/>
      <c r="M86" s="158"/>
      <c r="N86" s="158"/>
      <c r="O86" s="158"/>
      <c r="P86" s="158"/>
      <c r="Q86" s="158"/>
      <c r="R86" s="158"/>
      <c r="S86" s="158"/>
      <c r="T86" s="158"/>
      <c r="U86" s="158"/>
      <c r="V86" s="144"/>
    </row>
    <row r="87" spans="1:22" x14ac:dyDescent="0.25">
      <c r="A87" s="139" t="str">
        <f>$A$39</f>
        <v>RF Amp</v>
      </c>
      <c r="B87" s="140">
        <f>AF39</f>
        <v>5120</v>
      </c>
      <c r="C87" s="140"/>
      <c r="D87" s="140"/>
      <c r="E87" s="140">
        <f>AG39</f>
        <v>10240</v>
      </c>
      <c r="F87" s="140">
        <f>AH39</f>
        <v>15360</v>
      </c>
      <c r="G87" s="140">
        <f>AI39</f>
        <v>20480</v>
      </c>
      <c r="H87" s="143"/>
      <c r="I87" s="144"/>
      <c r="J87" s="144"/>
      <c r="K87" s="144"/>
      <c r="L87" s="144"/>
      <c r="M87" s="158"/>
      <c r="N87" s="158"/>
      <c r="O87" s="158"/>
      <c r="P87" s="158"/>
      <c r="Q87" s="158"/>
      <c r="R87" s="158"/>
      <c r="S87" s="158"/>
      <c r="T87" s="158"/>
      <c r="U87" s="158"/>
      <c r="V87" s="144"/>
    </row>
    <row r="88" spans="1:22" x14ac:dyDescent="0.25">
      <c r="A88" s="139" t="str">
        <f>$A$47</f>
        <v xml:space="preserve">PA </v>
      </c>
      <c r="B88" s="140">
        <f>AF47</f>
        <v>164372.16355006918</v>
      </c>
      <c r="C88" s="140"/>
      <c r="D88" s="140"/>
      <c r="E88" s="140">
        <f t="shared" ref="E88:G88" si="82">AG47</f>
        <v>82381.22993498882</v>
      </c>
      <c r="F88" s="140">
        <f t="shared" si="82"/>
        <v>54806.020850631416</v>
      </c>
      <c r="G88" s="140">
        <f t="shared" si="82"/>
        <v>41098.717672442304</v>
      </c>
      <c r="H88" s="143"/>
      <c r="I88" s="144"/>
      <c r="J88" s="144"/>
      <c r="K88" s="144"/>
      <c r="L88" s="144"/>
      <c r="M88" s="158"/>
      <c r="N88" s="158"/>
      <c r="O88" s="158"/>
      <c r="P88" s="158"/>
      <c r="Q88" s="158"/>
      <c r="R88" s="158"/>
      <c r="S88" s="158"/>
      <c r="T88" s="158"/>
      <c r="U88" s="158"/>
      <c r="V88" s="144"/>
    </row>
  </sheetData>
  <mergeCells count="9">
    <mergeCell ref="H79:L79"/>
    <mergeCell ref="M79:U79"/>
    <mergeCell ref="M59:Q59"/>
    <mergeCell ref="M69:Q69"/>
    <mergeCell ref="A59:G59"/>
    <mergeCell ref="A69:G69"/>
    <mergeCell ref="A79:G79"/>
    <mergeCell ref="H59:L59"/>
    <mergeCell ref="H69:L69"/>
  </mergeCells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2833-1509-4ECD-948F-61A059F7FA42}">
  <dimension ref="A1:AP98"/>
  <sheetViews>
    <sheetView tabSelected="1" workbookViewId="0">
      <selection activeCell="E4" sqref="E4"/>
    </sheetView>
  </sheetViews>
  <sheetFormatPr defaultRowHeight="15" x14ac:dyDescent="0.25"/>
  <cols>
    <col min="1" max="1" width="29.42578125" customWidth="1"/>
    <col min="2" max="5" width="15" customWidth="1"/>
    <col min="6" max="6" width="13.5703125" customWidth="1"/>
    <col min="7" max="7" width="12.140625" customWidth="1"/>
    <col min="8" max="8" width="13.140625" customWidth="1"/>
    <col min="9" max="10" width="13.28515625" customWidth="1"/>
    <col min="11" max="20" width="12.7109375" customWidth="1"/>
    <col min="21" max="21" width="13.42578125" customWidth="1"/>
    <col min="22" max="23" width="13" customWidth="1"/>
    <col min="24" max="32" width="11.85546875" customWidth="1"/>
    <col min="33" max="33" width="13.140625" customWidth="1"/>
    <col min="34" max="34" width="11.85546875" customWidth="1"/>
    <col min="35" max="36" width="13.140625" customWidth="1"/>
    <col min="43" max="43" width="12" bestFit="1" customWidth="1"/>
  </cols>
  <sheetData>
    <row r="1" spans="1:42" x14ac:dyDescent="0.25">
      <c r="A1" s="152" t="s">
        <v>343</v>
      </c>
      <c r="B1" s="152" t="s">
        <v>326</v>
      </c>
      <c r="C1" s="2" t="s">
        <v>335</v>
      </c>
      <c r="D1" s="2" t="s">
        <v>479</v>
      </c>
      <c r="E1" s="2" t="s">
        <v>480</v>
      </c>
      <c r="F1" s="2" t="s">
        <v>481</v>
      </c>
      <c r="G1" s="2" t="s">
        <v>449</v>
      </c>
      <c r="H1" s="2" t="s">
        <v>448</v>
      </c>
      <c r="I1" s="2" t="s">
        <v>450</v>
      </c>
      <c r="J1" s="2" t="s">
        <v>451</v>
      </c>
      <c r="K1" s="2" t="s">
        <v>466</v>
      </c>
      <c r="L1" s="2" t="s">
        <v>562</v>
      </c>
      <c r="M1" s="2" t="s">
        <v>561</v>
      </c>
      <c r="N1" s="2" t="s">
        <v>560</v>
      </c>
      <c r="O1" s="2" t="s">
        <v>572</v>
      </c>
      <c r="P1" s="2" t="s">
        <v>183</v>
      </c>
      <c r="Q1" s="2" t="s">
        <v>571</v>
      </c>
      <c r="R1" s="2" t="s">
        <v>570</v>
      </c>
      <c r="S1" s="2" t="s">
        <v>569</v>
      </c>
      <c r="T1" s="2" t="s">
        <v>568</v>
      </c>
      <c r="U1" s="101" t="s">
        <v>452</v>
      </c>
      <c r="V1" s="101" t="s">
        <v>454</v>
      </c>
      <c r="W1" s="101" t="s">
        <v>455</v>
      </c>
      <c r="X1" s="101" t="s">
        <v>465</v>
      </c>
      <c r="Y1" s="101" t="s">
        <v>567</v>
      </c>
      <c r="Z1" s="101" t="s">
        <v>565</v>
      </c>
      <c r="AA1" s="101" t="s">
        <v>564</v>
      </c>
      <c r="AB1" s="101" t="s">
        <v>563</v>
      </c>
      <c r="AC1" s="101" t="s">
        <v>591</v>
      </c>
      <c r="AD1" s="101" t="s">
        <v>590</v>
      </c>
      <c r="AE1" s="101" t="s">
        <v>589</v>
      </c>
      <c r="AF1" s="101" t="s">
        <v>588</v>
      </c>
      <c r="AG1" s="102" t="s">
        <v>457</v>
      </c>
      <c r="AH1" s="102" t="s">
        <v>456</v>
      </c>
      <c r="AI1" s="102" t="s">
        <v>458</v>
      </c>
      <c r="AJ1" s="102" t="s">
        <v>459</v>
      </c>
    </row>
    <row r="2" spans="1:42" x14ac:dyDescent="0.25">
      <c r="A2" s="62" t="s">
        <v>356</v>
      </c>
      <c r="B2" s="152" t="s">
        <v>330</v>
      </c>
      <c r="C2" s="29">
        <v>256</v>
      </c>
      <c r="D2" s="29">
        <v>512</v>
      </c>
      <c r="E2" s="29">
        <v>768</v>
      </c>
      <c r="F2" s="29">
        <v>1024</v>
      </c>
      <c r="G2" s="29">
        <v>256</v>
      </c>
      <c r="H2" s="29">
        <v>384</v>
      </c>
      <c r="I2" s="29">
        <v>512</v>
      </c>
      <c r="J2" s="29">
        <v>768</v>
      </c>
      <c r="K2" s="29">
        <v>1024</v>
      </c>
      <c r="L2" s="29">
        <v>256</v>
      </c>
      <c r="M2" s="29">
        <v>384</v>
      </c>
      <c r="N2" s="29">
        <v>512</v>
      </c>
      <c r="O2" s="29">
        <v>768</v>
      </c>
      <c r="P2" s="29">
        <v>1024</v>
      </c>
      <c r="Q2" s="29">
        <v>64</v>
      </c>
      <c r="R2" s="29">
        <v>128</v>
      </c>
      <c r="S2" s="29">
        <v>256</v>
      </c>
      <c r="T2" s="29">
        <v>512</v>
      </c>
      <c r="U2" s="39">
        <v>768</v>
      </c>
      <c r="V2" s="39">
        <v>1024</v>
      </c>
      <c r="W2" s="39">
        <v>1536</v>
      </c>
      <c r="X2" s="39">
        <v>2048</v>
      </c>
      <c r="Y2" s="39">
        <v>768</v>
      </c>
      <c r="Z2" s="39">
        <v>1024</v>
      </c>
      <c r="AA2" s="39">
        <v>1536</v>
      </c>
      <c r="AB2" s="39">
        <v>2048</v>
      </c>
      <c r="AC2" s="39">
        <v>768</v>
      </c>
      <c r="AD2" s="39">
        <v>1024</v>
      </c>
      <c r="AE2" s="39">
        <v>1536</v>
      </c>
      <c r="AF2" s="39">
        <v>2048</v>
      </c>
      <c r="AG2" s="50">
        <v>384</v>
      </c>
      <c r="AH2" s="50">
        <v>512</v>
      </c>
      <c r="AI2" s="50">
        <v>768</v>
      </c>
      <c r="AJ2" s="50">
        <v>1024</v>
      </c>
    </row>
    <row r="3" spans="1:42" x14ac:dyDescent="0.25">
      <c r="A3" s="62" t="s">
        <v>355</v>
      </c>
      <c r="B3" s="152" t="s">
        <v>330</v>
      </c>
      <c r="C3" s="29">
        <f t="shared" ref="C3:Z3" si="0">C2/C4</f>
        <v>32</v>
      </c>
      <c r="D3" s="29">
        <f t="shared" si="0"/>
        <v>64</v>
      </c>
      <c r="E3" s="29">
        <f t="shared" si="0"/>
        <v>96</v>
      </c>
      <c r="F3" s="29">
        <f t="shared" si="0"/>
        <v>128</v>
      </c>
      <c r="G3" s="29">
        <f t="shared" si="0"/>
        <v>32</v>
      </c>
      <c r="H3" s="29">
        <f t="shared" si="0"/>
        <v>48</v>
      </c>
      <c r="I3" s="29">
        <f t="shared" si="0"/>
        <v>64</v>
      </c>
      <c r="J3" s="29">
        <f t="shared" si="0"/>
        <v>96</v>
      </c>
      <c r="K3" s="29">
        <f t="shared" si="0"/>
        <v>128</v>
      </c>
      <c r="L3" s="29">
        <f t="shared" ref="L3:R3" si="1">L2/L4</f>
        <v>32</v>
      </c>
      <c r="M3" s="29">
        <f t="shared" si="1"/>
        <v>48</v>
      </c>
      <c r="N3" s="29">
        <f t="shared" si="1"/>
        <v>64</v>
      </c>
      <c r="O3" s="29">
        <f t="shared" si="1"/>
        <v>96</v>
      </c>
      <c r="P3" s="29">
        <f t="shared" si="1"/>
        <v>128</v>
      </c>
      <c r="Q3" s="29">
        <f t="shared" ref="Q3:V3" si="2">Q2/Q4</f>
        <v>8</v>
      </c>
      <c r="R3" s="29">
        <f t="shared" si="2"/>
        <v>16</v>
      </c>
      <c r="S3" s="29">
        <f t="shared" ref="S3:T3" si="3">S2/S4</f>
        <v>32</v>
      </c>
      <c r="T3" s="29">
        <f t="shared" si="3"/>
        <v>64</v>
      </c>
      <c r="U3" s="39">
        <f t="shared" si="2"/>
        <v>96</v>
      </c>
      <c r="V3" s="39">
        <f t="shared" si="2"/>
        <v>128</v>
      </c>
      <c r="W3" s="39">
        <f t="shared" si="0"/>
        <v>192</v>
      </c>
      <c r="X3" s="39">
        <f t="shared" si="0"/>
        <v>256</v>
      </c>
      <c r="Y3" s="39">
        <f t="shared" si="0"/>
        <v>96</v>
      </c>
      <c r="Z3" s="39">
        <f t="shared" si="0"/>
        <v>128</v>
      </c>
      <c r="AA3" s="39">
        <f t="shared" ref="AA3:AD3" si="4">AA2/AA4</f>
        <v>192</v>
      </c>
      <c r="AB3" s="39">
        <f t="shared" si="4"/>
        <v>256</v>
      </c>
      <c r="AC3" s="39">
        <f t="shared" si="4"/>
        <v>96</v>
      </c>
      <c r="AD3" s="39">
        <f t="shared" si="4"/>
        <v>128</v>
      </c>
      <c r="AE3" s="39">
        <f t="shared" ref="AE3:AJ3" si="5">AE2/AE4</f>
        <v>192</v>
      </c>
      <c r="AF3" s="39">
        <f t="shared" si="5"/>
        <v>256</v>
      </c>
      <c r="AG3" s="50">
        <f t="shared" si="5"/>
        <v>48</v>
      </c>
      <c r="AH3" s="50">
        <f t="shared" si="5"/>
        <v>64</v>
      </c>
      <c r="AI3" s="50">
        <f t="shared" si="5"/>
        <v>96</v>
      </c>
      <c r="AJ3" s="50">
        <f t="shared" si="5"/>
        <v>128</v>
      </c>
    </row>
    <row r="4" spans="1:42" x14ac:dyDescent="0.25">
      <c r="A4" s="62" t="s">
        <v>357</v>
      </c>
      <c r="B4" s="152" t="s">
        <v>330</v>
      </c>
      <c r="C4" s="29">
        <v>8</v>
      </c>
      <c r="D4" s="29">
        <v>8</v>
      </c>
      <c r="E4" s="29">
        <v>8</v>
      </c>
      <c r="F4" s="29">
        <v>8</v>
      </c>
      <c r="G4" s="29">
        <v>8</v>
      </c>
      <c r="H4" s="29">
        <v>8</v>
      </c>
      <c r="I4" s="29">
        <v>8</v>
      </c>
      <c r="J4" s="29">
        <v>8</v>
      </c>
      <c r="K4" s="29">
        <v>8</v>
      </c>
      <c r="L4" s="29">
        <v>8</v>
      </c>
      <c r="M4" s="29">
        <v>8</v>
      </c>
      <c r="N4" s="29">
        <v>8</v>
      </c>
      <c r="O4" s="29">
        <v>8</v>
      </c>
      <c r="P4" s="29">
        <v>8</v>
      </c>
      <c r="Q4" s="29">
        <v>8</v>
      </c>
      <c r="R4" s="29">
        <v>8</v>
      </c>
      <c r="S4" s="29">
        <v>8</v>
      </c>
      <c r="T4" s="29">
        <v>8</v>
      </c>
      <c r="U4" s="29">
        <v>8</v>
      </c>
      <c r="V4" s="29">
        <v>8</v>
      </c>
      <c r="W4" s="29">
        <v>8</v>
      </c>
      <c r="X4" s="29">
        <v>8</v>
      </c>
      <c r="Y4" s="29">
        <v>8</v>
      </c>
      <c r="Z4" s="29">
        <v>8</v>
      </c>
      <c r="AA4" s="29">
        <v>8</v>
      </c>
      <c r="AB4" s="29">
        <v>8</v>
      </c>
      <c r="AC4" s="29">
        <v>8</v>
      </c>
      <c r="AD4" s="29">
        <v>8</v>
      </c>
      <c r="AE4" s="29">
        <v>8</v>
      </c>
      <c r="AF4" s="29">
        <v>8</v>
      </c>
      <c r="AG4" s="29">
        <v>8</v>
      </c>
      <c r="AH4" s="29">
        <v>8</v>
      </c>
      <c r="AI4" s="29">
        <v>8</v>
      </c>
      <c r="AJ4" s="29">
        <v>8</v>
      </c>
    </row>
    <row r="5" spans="1:42" x14ac:dyDescent="0.25">
      <c r="A5" s="62" t="s">
        <v>463</v>
      </c>
      <c r="B5" s="152" t="s">
        <v>342</v>
      </c>
      <c r="C5" s="25">
        <v>32</v>
      </c>
      <c r="D5" s="25">
        <v>32</v>
      </c>
      <c r="E5" s="25">
        <v>32</v>
      </c>
      <c r="F5" s="25">
        <v>32</v>
      </c>
      <c r="G5" s="29">
        <v>8</v>
      </c>
      <c r="H5" s="29">
        <v>8</v>
      </c>
      <c r="I5" s="29">
        <v>8</v>
      </c>
      <c r="J5" s="29">
        <v>8</v>
      </c>
      <c r="K5" s="29">
        <v>8</v>
      </c>
      <c r="L5" s="29">
        <v>16</v>
      </c>
      <c r="M5" s="29">
        <v>16</v>
      </c>
      <c r="N5" s="29">
        <v>16</v>
      </c>
      <c r="O5" s="29">
        <v>16</v>
      </c>
      <c r="P5" s="29">
        <v>16</v>
      </c>
      <c r="Q5" s="29">
        <v>32</v>
      </c>
      <c r="R5" s="29">
        <v>32</v>
      </c>
      <c r="S5" s="29">
        <v>32</v>
      </c>
      <c r="T5" s="29">
        <v>32</v>
      </c>
      <c r="U5" s="39">
        <v>2</v>
      </c>
      <c r="V5" s="39">
        <v>2</v>
      </c>
      <c r="W5" s="39">
        <v>2</v>
      </c>
      <c r="X5" s="39">
        <v>2</v>
      </c>
      <c r="Y5" s="39">
        <v>4</v>
      </c>
      <c r="Z5" s="39">
        <v>4</v>
      </c>
      <c r="AA5" s="39">
        <v>4</v>
      </c>
      <c r="AB5" s="39">
        <v>4</v>
      </c>
      <c r="AC5" s="39">
        <v>8</v>
      </c>
      <c r="AD5" s="39">
        <v>8</v>
      </c>
      <c r="AE5" s="39">
        <v>8</v>
      </c>
      <c r="AF5" s="39">
        <v>8</v>
      </c>
      <c r="AG5" s="50">
        <v>1</v>
      </c>
      <c r="AH5" s="50">
        <v>1</v>
      </c>
      <c r="AI5" s="50">
        <v>1</v>
      </c>
      <c r="AJ5" s="50">
        <v>1</v>
      </c>
      <c r="AP5" s="1"/>
    </row>
    <row r="6" spans="1:42" x14ac:dyDescent="0.25">
      <c r="A6" s="62" t="s">
        <v>262</v>
      </c>
      <c r="B6" s="152" t="s">
        <v>330</v>
      </c>
      <c r="C6" s="29">
        <f t="shared" ref="C6:Z6" si="6">C3</f>
        <v>32</v>
      </c>
      <c r="D6" s="29">
        <f t="shared" si="6"/>
        <v>64</v>
      </c>
      <c r="E6" s="29">
        <f t="shared" si="6"/>
        <v>96</v>
      </c>
      <c r="F6" s="29">
        <f t="shared" si="6"/>
        <v>128</v>
      </c>
      <c r="G6" s="29">
        <f t="shared" si="6"/>
        <v>32</v>
      </c>
      <c r="H6" s="29">
        <f t="shared" si="6"/>
        <v>48</v>
      </c>
      <c r="I6" s="29">
        <f t="shared" si="6"/>
        <v>64</v>
      </c>
      <c r="J6" s="29">
        <f t="shared" si="6"/>
        <v>96</v>
      </c>
      <c r="K6" s="29">
        <f t="shared" si="6"/>
        <v>128</v>
      </c>
      <c r="L6" s="29">
        <f t="shared" ref="L6:R6" si="7">L3</f>
        <v>32</v>
      </c>
      <c r="M6" s="29">
        <f t="shared" si="7"/>
        <v>48</v>
      </c>
      <c r="N6" s="29">
        <f t="shared" si="7"/>
        <v>64</v>
      </c>
      <c r="O6" s="29">
        <f t="shared" si="7"/>
        <v>96</v>
      </c>
      <c r="P6" s="29">
        <f t="shared" si="7"/>
        <v>128</v>
      </c>
      <c r="Q6" s="29">
        <f t="shared" ref="Q6:V6" si="8">Q3</f>
        <v>8</v>
      </c>
      <c r="R6" s="29">
        <f t="shared" si="8"/>
        <v>16</v>
      </c>
      <c r="S6" s="29">
        <f t="shared" ref="S6:T6" si="9">S3</f>
        <v>32</v>
      </c>
      <c r="T6" s="29">
        <f t="shared" si="9"/>
        <v>64</v>
      </c>
      <c r="U6" s="39">
        <f t="shared" si="8"/>
        <v>96</v>
      </c>
      <c r="V6" s="39">
        <f t="shared" si="8"/>
        <v>128</v>
      </c>
      <c r="W6" s="39">
        <f t="shared" si="6"/>
        <v>192</v>
      </c>
      <c r="X6" s="39">
        <f t="shared" si="6"/>
        <v>256</v>
      </c>
      <c r="Y6" s="39">
        <f t="shared" si="6"/>
        <v>96</v>
      </c>
      <c r="Z6" s="39">
        <f t="shared" si="6"/>
        <v>128</v>
      </c>
      <c r="AA6" s="39">
        <f t="shared" ref="AA6:AD6" si="10">AA3</f>
        <v>192</v>
      </c>
      <c r="AB6" s="39">
        <f t="shared" si="10"/>
        <v>256</v>
      </c>
      <c r="AC6" s="39">
        <f t="shared" si="10"/>
        <v>96</v>
      </c>
      <c r="AD6" s="39">
        <f t="shared" si="10"/>
        <v>128</v>
      </c>
      <c r="AE6" s="39">
        <f t="shared" ref="AE6:AJ6" si="11">AE3</f>
        <v>192</v>
      </c>
      <c r="AF6" s="39">
        <f t="shared" si="11"/>
        <v>256</v>
      </c>
      <c r="AG6" s="50">
        <f t="shared" si="11"/>
        <v>48</v>
      </c>
      <c r="AH6" s="50">
        <f t="shared" si="11"/>
        <v>64</v>
      </c>
      <c r="AI6" s="50">
        <f t="shared" si="11"/>
        <v>96</v>
      </c>
      <c r="AJ6" s="50">
        <f t="shared" si="11"/>
        <v>128</v>
      </c>
    </row>
    <row r="7" spans="1:42" x14ac:dyDescent="0.25">
      <c r="A7" s="62" t="s">
        <v>491</v>
      </c>
      <c r="B7" s="152" t="s">
        <v>342</v>
      </c>
      <c r="C7" s="43">
        <f>C9*5</f>
        <v>4.25</v>
      </c>
      <c r="D7" s="43">
        <f>D9*5</f>
        <v>4.25</v>
      </c>
      <c r="E7" s="43">
        <f>E9*5</f>
        <v>4.25</v>
      </c>
      <c r="F7" s="43">
        <f>F9*2</f>
        <v>1.7</v>
      </c>
      <c r="G7" s="43">
        <f t="shared" ref="G7:Z7" si="12">G9*2</f>
        <v>1.7</v>
      </c>
      <c r="H7" s="43">
        <f t="shared" si="12"/>
        <v>1.7</v>
      </c>
      <c r="I7" s="43">
        <f t="shared" si="12"/>
        <v>1.7</v>
      </c>
      <c r="J7" s="43">
        <f t="shared" si="12"/>
        <v>1.7</v>
      </c>
      <c r="K7" s="43">
        <f t="shared" si="12"/>
        <v>1.7</v>
      </c>
      <c r="L7" s="43">
        <f t="shared" ref="L7:R7" si="13">L9*2</f>
        <v>1.7</v>
      </c>
      <c r="M7" s="43">
        <f t="shared" si="13"/>
        <v>1.7</v>
      </c>
      <c r="N7" s="43">
        <f t="shared" si="13"/>
        <v>1.7</v>
      </c>
      <c r="O7" s="43">
        <f t="shared" si="13"/>
        <v>1.7</v>
      </c>
      <c r="P7" s="43">
        <f t="shared" si="13"/>
        <v>1.7</v>
      </c>
      <c r="Q7" s="43">
        <f t="shared" ref="Q7:V7" si="14">Q9*2</f>
        <v>1.7</v>
      </c>
      <c r="R7" s="43">
        <f t="shared" si="14"/>
        <v>1.7</v>
      </c>
      <c r="S7" s="43">
        <f t="shared" ref="S7:T7" si="15">S9*2</f>
        <v>1.7</v>
      </c>
      <c r="T7" s="43">
        <f t="shared" si="15"/>
        <v>1.7</v>
      </c>
      <c r="U7" s="43">
        <f t="shared" si="14"/>
        <v>1.7</v>
      </c>
      <c r="V7" s="43">
        <f t="shared" si="14"/>
        <v>1.7</v>
      </c>
      <c r="W7" s="43">
        <f t="shared" si="12"/>
        <v>1.7</v>
      </c>
      <c r="X7" s="43">
        <f t="shared" si="12"/>
        <v>1.7</v>
      </c>
      <c r="Y7" s="43">
        <f t="shared" si="12"/>
        <v>1.7</v>
      </c>
      <c r="Z7" s="43">
        <f t="shared" si="12"/>
        <v>1.7</v>
      </c>
      <c r="AA7" s="43">
        <f t="shared" ref="AA7:AD7" si="16">AA9*2</f>
        <v>1.7</v>
      </c>
      <c r="AB7" s="43">
        <f t="shared" si="16"/>
        <v>1.7</v>
      </c>
      <c r="AC7" s="43">
        <f t="shared" si="16"/>
        <v>1.7</v>
      </c>
      <c r="AD7" s="43">
        <f t="shared" si="16"/>
        <v>1.7</v>
      </c>
      <c r="AE7" s="43">
        <f t="shared" ref="AE7:AJ7" si="17">AE9*2</f>
        <v>1.7</v>
      </c>
      <c r="AF7" s="43">
        <f t="shared" si="17"/>
        <v>1.7</v>
      </c>
      <c r="AG7" s="43">
        <f t="shared" si="17"/>
        <v>1.7</v>
      </c>
      <c r="AH7" s="43">
        <f t="shared" si="17"/>
        <v>1.7</v>
      </c>
      <c r="AI7" s="43">
        <f t="shared" si="17"/>
        <v>1.7</v>
      </c>
      <c r="AJ7" s="43">
        <f t="shared" si="17"/>
        <v>1.7</v>
      </c>
    </row>
    <row r="8" spans="1:42" x14ac:dyDescent="0.25">
      <c r="A8" s="62" t="s">
        <v>492</v>
      </c>
      <c r="B8" s="152" t="s">
        <v>342</v>
      </c>
      <c r="C8" s="25">
        <v>7</v>
      </c>
      <c r="D8" s="25">
        <v>7</v>
      </c>
      <c r="E8" s="25">
        <v>7</v>
      </c>
      <c r="F8" s="25">
        <v>7</v>
      </c>
      <c r="G8" s="25">
        <f>MAX((10+15-1.76+G10+G49+10*LOG10(G2/G5/G5))/6,4)</f>
        <v>8.0253583165352875</v>
      </c>
      <c r="H8" s="25">
        <f t="shared" ref="H8:AF8" si="18">MAX((10+15-1.76+H10+H49+10*LOG10(H2/H5/H5))/6,4)</f>
        <v>8.1191770816280897</v>
      </c>
      <c r="I8" s="25">
        <f t="shared" si="18"/>
        <v>7.9027416426419235</v>
      </c>
      <c r="J8" s="25">
        <f t="shared" si="18"/>
        <v>7.8442270744013927</v>
      </c>
      <c r="K8" s="25">
        <f t="shared" si="18"/>
        <v>7.8107916354152254</v>
      </c>
      <c r="L8" s="25">
        <f t="shared" si="18"/>
        <v>6.6505916643220173</v>
      </c>
      <c r="M8" s="25">
        <f t="shared" si="18"/>
        <v>6.6157437627481528</v>
      </c>
      <c r="N8" s="25">
        <f t="shared" si="18"/>
        <v>6.2589749904286522</v>
      </c>
      <c r="O8" s="25">
        <f t="shared" si="18"/>
        <v>6.1307937555214549</v>
      </c>
      <c r="P8" s="25">
        <f t="shared" si="18"/>
        <v>6.0745249832019548</v>
      </c>
      <c r="Q8" s="25">
        <f t="shared" si="18"/>
        <v>4</v>
      </c>
      <c r="R8" s="25">
        <f t="shared" si="18"/>
        <v>4</v>
      </c>
      <c r="S8" s="25">
        <f t="shared" ref="S8:T8" si="19">MAX((10+15-1.76+S10+S49+10*LOG10(S2/S5/S5))/6,4)</f>
        <v>4.3221583454420793</v>
      </c>
      <c r="T8" s="25">
        <f t="shared" si="19"/>
        <v>4.6922083382153819</v>
      </c>
      <c r="U8" s="25">
        <f t="shared" si="18"/>
        <v>5.0521687145059166</v>
      </c>
      <c r="V8" s="25">
        <f t="shared" si="18"/>
        <v>5.0637332755197493</v>
      </c>
      <c r="W8" s="25">
        <f t="shared" si="18"/>
        <v>5.0605520406125519</v>
      </c>
      <c r="X8" s="25">
        <f t="shared" si="18"/>
        <v>5.0604499349597178</v>
      </c>
      <c r="Y8" s="25">
        <f t="shared" si="18"/>
        <v>4.1954020622926453</v>
      </c>
      <c r="Z8" s="25">
        <f t="shared" si="18"/>
        <v>4.2102999566398118</v>
      </c>
      <c r="AA8" s="25">
        <f t="shared" si="18"/>
        <v>4.2154520550659473</v>
      </c>
      <c r="AB8" s="25">
        <f t="shared" si="18"/>
        <v>4.2153499494131141</v>
      </c>
      <c r="AC8" s="25">
        <f t="shared" si="18"/>
        <v>4</v>
      </c>
      <c r="AD8" s="25">
        <f t="shared" si="18"/>
        <v>4</v>
      </c>
      <c r="AE8" s="25">
        <f t="shared" si="18"/>
        <v>4</v>
      </c>
      <c r="AF8" s="25">
        <f t="shared" si="18"/>
        <v>4</v>
      </c>
      <c r="AG8" s="25">
        <f t="shared" ref="AG8:AJ8" si="20">MAX((10+15-1.76+AG10+AG49+10*LOG10(AG2/AG5/AG5))/6,4)</f>
        <v>9.9338853739458841</v>
      </c>
      <c r="AH8" s="25">
        <f t="shared" si="20"/>
        <v>9.93378326829305</v>
      </c>
      <c r="AI8" s="25">
        <f t="shared" si="20"/>
        <v>9.9356020333858535</v>
      </c>
      <c r="AJ8" s="25">
        <f t="shared" si="20"/>
        <v>9.9371665943996863</v>
      </c>
    </row>
    <row r="9" spans="1:42" x14ac:dyDescent="0.25">
      <c r="A9" s="62" t="s">
        <v>493</v>
      </c>
      <c r="B9" s="152" t="s">
        <v>342</v>
      </c>
      <c r="C9" s="43">
        <v>0.85</v>
      </c>
      <c r="D9" s="43">
        <v>0.85</v>
      </c>
      <c r="E9" s="43">
        <v>0.85</v>
      </c>
      <c r="F9" s="43">
        <v>0.85</v>
      </c>
      <c r="G9" s="43">
        <v>0.85</v>
      </c>
      <c r="H9" s="43">
        <v>0.85</v>
      </c>
      <c r="I9" s="43">
        <v>0.85</v>
      </c>
      <c r="J9" s="43">
        <v>0.85</v>
      </c>
      <c r="K9" s="25">
        <v>0.85</v>
      </c>
      <c r="L9" s="25">
        <v>0.85</v>
      </c>
      <c r="M9" s="25">
        <v>0.85</v>
      </c>
      <c r="N9" s="25">
        <v>0.85</v>
      </c>
      <c r="O9" s="25">
        <v>0.85</v>
      </c>
      <c r="P9" s="25">
        <v>0.85</v>
      </c>
      <c r="Q9" s="25">
        <v>0.85</v>
      </c>
      <c r="R9" s="25">
        <v>0.85</v>
      </c>
      <c r="S9" s="25">
        <v>0.85</v>
      </c>
      <c r="T9" s="25">
        <v>0.85</v>
      </c>
      <c r="U9" s="31">
        <v>0.85</v>
      </c>
      <c r="V9" s="31">
        <v>0.85</v>
      </c>
      <c r="W9" s="31">
        <v>0.85</v>
      </c>
      <c r="X9" s="31">
        <v>0.85</v>
      </c>
      <c r="Y9" s="31">
        <v>0.85</v>
      </c>
      <c r="Z9" s="31">
        <v>0.85</v>
      </c>
      <c r="AA9" s="31">
        <v>0.85</v>
      </c>
      <c r="AB9" s="31">
        <v>0.85</v>
      </c>
      <c r="AC9" s="31">
        <v>0.85</v>
      </c>
      <c r="AD9" s="31">
        <v>0.85</v>
      </c>
      <c r="AE9" s="31">
        <v>0.85</v>
      </c>
      <c r="AF9" s="31">
        <v>0.85</v>
      </c>
      <c r="AG9" s="32">
        <v>0.85</v>
      </c>
      <c r="AH9" s="32">
        <v>0.85</v>
      </c>
      <c r="AI9" s="32">
        <v>0.85</v>
      </c>
      <c r="AJ9" s="32">
        <v>0.85</v>
      </c>
    </row>
    <row r="10" spans="1:42" x14ac:dyDescent="0.25">
      <c r="A10" s="62" t="s">
        <v>494</v>
      </c>
      <c r="B10" s="33" t="s">
        <v>342</v>
      </c>
      <c r="C10" s="25" t="s">
        <v>20</v>
      </c>
      <c r="D10" s="25" t="s">
        <v>20</v>
      </c>
      <c r="E10" s="25" t="s">
        <v>20</v>
      </c>
      <c r="F10" s="25" t="s">
        <v>20</v>
      </c>
      <c r="G10" s="25">
        <v>18.693549985932108</v>
      </c>
      <c r="H10" s="25">
        <v>18.693549985932108</v>
      </c>
      <c r="I10" s="25">
        <v>18.693549985932108</v>
      </c>
      <c r="J10" s="25">
        <v>18.693549985932108</v>
      </c>
      <c r="K10" s="25">
        <v>18.693549985932108</v>
      </c>
      <c r="L10" s="25">
        <v>18.693549985932108</v>
      </c>
      <c r="M10" s="25">
        <v>18.693549985932108</v>
      </c>
      <c r="N10" s="25">
        <v>18.693549985932108</v>
      </c>
      <c r="O10" s="25">
        <v>18.693549985932108</v>
      </c>
      <c r="P10" s="25">
        <v>18.693549985932108</v>
      </c>
      <c r="Q10" s="25">
        <v>18.693549985932108</v>
      </c>
      <c r="R10" s="25">
        <v>18.693549985932108</v>
      </c>
      <c r="S10" s="25">
        <v>18.693549985932108</v>
      </c>
      <c r="T10" s="25">
        <v>18.693549985932108</v>
      </c>
      <c r="U10" s="43">
        <v>-14.7</v>
      </c>
      <c r="V10" s="43">
        <v>-14.7</v>
      </c>
      <c r="W10" s="43">
        <v>-14.7</v>
      </c>
      <c r="X10" s="43">
        <v>-14.7</v>
      </c>
      <c r="Y10" s="43">
        <v>-14.7</v>
      </c>
      <c r="Z10" s="43">
        <v>-14.7</v>
      </c>
      <c r="AA10" s="43">
        <v>-14.7</v>
      </c>
      <c r="AB10" s="43">
        <v>-14.7</v>
      </c>
      <c r="AC10" s="43">
        <v>-14.7</v>
      </c>
      <c r="AD10" s="43">
        <v>-14.7</v>
      </c>
      <c r="AE10" s="43">
        <v>-14.7</v>
      </c>
      <c r="AF10" s="43">
        <v>-14.7</v>
      </c>
      <c r="AG10" s="31">
        <v>15.5</v>
      </c>
      <c r="AH10" s="31">
        <v>15.5</v>
      </c>
      <c r="AI10" s="31">
        <v>15.5</v>
      </c>
      <c r="AJ10" s="31">
        <v>15.5</v>
      </c>
    </row>
    <row r="11" spans="1:42" x14ac:dyDescent="0.25">
      <c r="A11" s="55" t="s">
        <v>558</v>
      </c>
      <c r="B11" s="33" t="s">
        <v>341</v>
      </c>
      <c r="C11" s="25" t="s">
        <v>20</v>
      </c>
      <c r="D11" s="25" t="s">
        <v>20</v>
      </c>
      <c r="E11" s="25" t="s">
        <v>20</v>
      </c>
      <c r="F11" s="25" t="s">
        <v>20</v>
      </c>
      <c r="G11" s="25">
        <v>13</v>
      </c>
      <c r="H11" s="25">
        <v>13</v>
      </c>
      <c r="I11" s="25">
        <v>13</v>
      </c>
      <c r="J11" s="25">
        <v>13</v>
      </c>
      <c r="K11" s="25">
        <v>13</v>
      </c>
      <c r="L11" s="25">
        <v>13</v>
      </c>
      <c r="M11" s="25">
        <v>13</v>
      </c>
      <c r="N11" s="25">
        <v>13</v>
      </c>
      <c r="O11" s="25">
        <v>13</v>
      </c>
      <c r="P11" s="25">
        <v>13</v>
      </c>
      <c r="Q11" s="25">
        <v>13</v>
      </c>
      <c r="R11" s="25">
        <v>13</v>
      </c>
      <c r="S11" s="25">
        <v>13</v>
      </c>
      <c r="T11" s="25">
        <v>13</v>
      </c>
      <c r="U11" s="25">
        <v>13</v>
      </c>
      <c r="V11" s="25">
        <v>13</v>
      </c>
      <c r="W11" s="25">
        <v>13</v>
      </c>
      <c r="X11" s="25">
        <v>13</v>
      </c>
      <c r="Y11" s="25">
        <v>13</v>
      </c>
      <c r="Z11" s="25">
        <v>13</v>
      </c>
      <c r="AA11" s="25">
        <v>13</v>
      </c>
      <c r="AB11" s="25">
        <v>13</v>
      </c>
      <c r="AC11" s="25">
        <v>13</v>
      </c>
      <c r="AD11" s="25">
        <v>13</v>
      </c>
      <c r="AE11" s="25">
        <v>13</v>
      </c>
      <c r="AF11" s="25">
        <v>13</v>
      </c>
      <c r="AG11" s="25">
        <v>13</v>
      </c>
      <c r="AH11" s="25">
        <v>13</v>
      </c>
      <c r="AI11" s="25">
        <v>13</v>
      </c>
      <c r="AJ11" s="25">
        <v>13</v>
      </c>
    </row>
    <row r="12" spans="1:42" x14ac:dyDescent="0.25">
      <c r="A12" s="55" t="s">
        <v>601</v>
      </c>
      <c r="B12" s="33" t="s">
        <v>341</v>
      </c>
      <c r="C12" s="31">
        <v>500</v>
      </c>
      <c r="D12" s="31">
        <v>500</v>
      </c>
      <c r="E12" s="176">
        <v>500</v>
      </c>
      <c r="F12" s="25">
        <v>500</v>
      </c>
      <c r="G12" s="25" t="s">
        <v>20</v>
      </c>
      <c r="H12" s="25" t="s">
        <v>20</v>
      </c>
      <c r="I12" s="25" t="s">
        <v>20</v>
      </c>
      <c r="J12" s="25" t="s">
        <v>20</v>
      </c>
      <c r="K12" s="25" t="s">
        <v>20</v>
      </c>
      <c r="L12" s="25" t="s">
        <v>20</v>
      </c>
      <c r="M12" s="25" t="s">
        <v>20</v>
      </c>
      <c r="N12" s="25" t="s">
        <v>20</v>
      </c>
      <c r="O12" s="25" t="s">
        <v>20</v>
      </c>
      <c r="P12" s="25" t="s">
        <v>20</v>
      </c>
      <c r="Q12" s="25" t="s">
        <v>20</v>
      </c>
      <c r="R12" s="25" t="s">
        <v>20</v>
      </c>
      <c r="S12" s="25" t="s">
        <v>20</v>
      </c>
      <c r="T12" s="25" t="s">
        <v>20</v>
      </c>
      <c r="U12" s="25" t="s">
        <v>20</v>
      </c>
      <c r="V12" s="25" t="s">
        <v>20</v>
      </c>
      <c r="W12" s="25" t="s">
        <v>20</v>
      </c>
      <c r="X12" s="25" t="s">
        <v>20</v>
      </c>
      <c r="Y12" s="25" t="s">
        <v>20</v>
      </c>
      <c r="Z12" s="25" t="s">
        <v>20</v>
      </c>
      <c r="AA12" s="25" t="s">
        <v>20</v>
      </c>
      <c r="AB12" s="25" t="s">
        <v>20</v>
      </c>
      <c r="AC12" s="25" t="s">
        <v>20</v>
      </c>
      <c r="AD12" s="25" t="s">
        <v>20</v>
      </c>
      <c r="AE12" s="25" t="s">
        <v>20</v>
      </c>
      <c r="AF12" s="25" t="s">
        <v>20</v>
      </c>
      <c r="AG12" s="25" t="s">
        <v>20</v>
      </c>
      <c r="AH12" s="25" t="s">
        <v>20</v>
      </c>
      <c r="AI12" s="25" t="s">
        <v>20</v>
      </c>
      <c r="AJ12" s="25" t="s">
        <v>20</v>
      </c>
    </row>
    <row r="13" spans="1:42" x14ac:dyDescent="0.25">
      <c r="A13" s="55" t="s">
        <v>602</v>
      </c>
      <c r="B13" s="33" t="s">
        <v>340</v>
      </c>
      <c r="C13" s="42">
        <f>(C9*10^9)*(C5*C3*6+72*C3)/(C12*10^9)</f>
        <v>14.361599999999999</v>
      </c>
      <c r="D13" s="42">
        <f t="shared" ref="D13:F13" si="21">(D9*10^9)*(D5*D3*6+72*D3)/(D12*10^9)</f>
        <v>28.723199999999999</v>
      </c>
      <c r="E13" s="42">
        <f t="shared" si="21"/>
        <v>43.084800000000001</v>
      </c>
      <c r="F13" s="42">
        <f t="shared" si="21"/>
        <v>57.446399999999997</v>
      </c>
      <c r="G13" s="25" t="s">
        <v>20</v>
      </c>
      <c r="H13" s="25" t="s">
        <v>20</v>
      </c>
      <c r="I13" s="25" t="s">
        <v>20</v>
      </c>
      <c r="J13" s="25" t="s">
        <v>20</v>
      </c>
      <c r="K13" s="25" t="s">
        <v>20</v>
      </c>
      <c r="L13" s="25" t="s">
        <v>20</v>
      </c>
      <c r="M13" s="25" t="s">
        <v>20</v>
      </c>
      <c r="N13" s="25" t="s">
        <v>20</v>
      </c>
      <c r="O13" s="25" t="s">
        <v>20</v>
      </c>
      <c r="P13" s="25" t="s">
        <v>20</v>
      </c>
      <c r="Q13" s="25" t="s">
        <v>20</v>
      </c>
      <c r="R13" s="25" t="s">
        <v>20</v>
      </c>
      <c r="S13" s="25" t="s">
        <v>20</v>
      </c>
      <c r="T13" s="25" t="s">
        <v>20</v>
      </c>
      <c r="U13" s="25" t="s">
        <v>20</v>
      </c>
      <c r="V13" s="25" t="s">
        <v>20</v>
      </c>
      <c r="W13" s="25" t="s">
        <v>20</v>
      </c>
      <c r="X13" s="25" t="s">
        <v>20</v>
      </c>
      <c r="Y13" s="25" t="s">
        <v>20</v>
      </c>
      <c r="Z13" s="25" t="s">
        <v>20</v>
      </c>
      <c r="AA13" s="25" t="s">
        <v>20</v>
      </c>
      <c r="AB13" s="25" t="s">
        <v>20</v>
      </c>
      <c r="AC13" s="25" t="s">
        <v>20</v>
      </c>
      <c r="AD13" s="25" t="s">
        <v>20</v>
      </c>
      <c r="AE13" s="25" t="s">
        <v>20</v>
      </c>
      <c r="AF13" s="25" t="s">
        <v>20</v>
      </c>
      <c r="AG13" s="25" t="s">
        <v>20</v>
      </c>
      <c r="AH13" s="25" t="s">
        <v>20</v>
      </c>
      <c r="AI13" s="25" t="s">
        <v>20</v>
      </c>
      <c r="AJ13" s="25" t="s">
        <v>20</v>
      </c>
    </row>
    <row r="14" spans="1:42" x14ac:dyDescent="0.25">
      <c r="A14" s="55" t="s">
        <v>409</v>
      </c>
      <c r="B14" s="33" t="s">
        <v>366</v>
      </c>
      <c r="C14" s="25" t="s">
        <v>20</v>
      </c>
      <c r="D14" s="25" t="s">
        <v>20</v>
      </c>
      <c r="E14" s="25" t="s">
        <v>20</v>
      </c>
      <c r="F14" s="25" t="s">
        <v>20</v>
      </c>
      <c r="G14" s="35">
        <f>(G9*10^9)*(G5*G5*6+72*G3)/(G11*10^9)</f>
        <v>175.75384615384615</v>
      </c>
      <c r="H14" s="35">
        <f t="shared" ref="H14:Z14" si="22">(H9*10^9)*(H5*H5*6+72*H3)/(H11*10^9)</f>
        <v>251.07692307692307</v>
      </c>
      <c r="I14" s="35">
        <f t="shared" si="22"/>
        <v>326.39999999999998</v>
      </c>
      <c r="J14" s="35">
        <f t="shared" si="22"/>
        <v>477.04615384615386</v>
      </c>
      <c r="K14" s="35">
        <f t="shared" si="22"/>
        <v>627.69230769230774</v>
      </c>
      <c r="L14" s="35">
        <f>(L9*10^9)*(L5*L5*6+72*L3)/(L11*10^9)</f>
        <v>251.07692307692307</v>
      </c>
      <c r="M14" s="35">
        <f t="shared" ref="M14:P14" si="23">(M9*10^9)*(M5*M5*6+72*M3)/(M11*10^9)</f>
        <v>326.39999999999998</v>
      </c>
      <c r="N14" s="35">
        <f t="shared" si="23"/>
        <v>401.72307692307692</v>
      </c>
      <c r="O14" s="35">
        <f t="shared" si="23"/>
        <v>552.36923076923074</v>
      </c>
      <c r="P14" s="35">
        <f t="shared" si="23"/>
        <v>703.01538461538462</v>
      </c>
      <c r="Q14" s="35">
        <f>(Q9*10^9)*(Q5*Q5*6+72*Q3)/(Q11*10^9)</f>
        <v>439.38461538461536</v>
      </c>
      <c r="R14" s="35">
        <f t="shared" ref="R14:V14" si="24">(R9*10^9)*(R5*R5*6+72*R3)/(R11*10^9)</f>
        <v>477.04615384615386</v>
      </c>
      <c r="S14" s="35">
        <f>(S9*10^9)*(S5*S5*6+72*S3)/(S11*10^9)</f>
        <v>552.36923076923074</v>
      </c>
      <c r="T14" s="35">
        <f t="shared" ref="R14:T14" si="25">(T9*10^9)*(T5*T5*6+72*T3)/(T11*10^9)</f>
        <v>703.01538461538462</v>
      </c>
      <c r="U14" s="35">
        <f t="shared" si="24"/>
        <v>453.50769230769231</v>
      </c>
      <c r="V14" s="35">
        <f t="shared" si="24"/>
        <v>604.15384615384619</v>
      </c>
      <c r="W14" s="35">
        <f t="shared" si="22"/>
        <v>905.44615384615383</v>
      </c>
      <c r="X14" s="35">
        <f t="shared" si="22"/>
        <v>1206.7384615384615</v>
      </c>
      <c r="Y14" s="35">
        <f t="shared" si="22"/>
        <v>458.21538461538461</v>
      </c>
      <c r="Z14" s="35">
        <f t="shared" si="22"/>
        <v>608.86153846153843</v>
      </c>
      <c r="AA14" s="35">
        <f t="shared" ref="AA14:AD14" si="26">(AA9*10^9)*(AA5*AA5*6+72*AA3)/(AA11*10^9)</f>
        <v>910.15384615384619</v>
      </c>
      <c r="AB14" s="35">
        <f t="shared" si="26"/>
        <v>1211.4461538461539</v>
      </c>
      <c r="AC14" s="35">
        <f t="shared" si="26"/>
        <v>477.04615384615386</v>
      </c>
      <c r="AD14" s="35">
        <f t="shared" si="26"/>
        <v>627.69230769230774</v>
      </c>
      <c r="AE14" s="35">
        <f t="shared" ref="AE14:AJ14" si="27">(AE9*10^9)*(AE5*AE5*6+72*AE3)/(AE11*10^9)</f>
        <v>928.98461538461538</v>
      </c>
      <c r="AF14" s="35">
        <f t="shared" si="27"/>
        <v>1230.2769230769231</v>
      </c>
      <c r="AG14" s="35">
        <f>0</f>
        <v>0</v>
      </c>
      <c r="AH14" s="35">
        <f>0</f>
        <v>0</v>
      </c>
      <c r="AI14" s="35">
        <f>0</f>
        <v>0</v>
      </c>
      <c r="AJ14" s="35">
        <f>0</f>
        <v>0</v>
      </c>
    </row>
    <row r="15" spans="1:42" x14ac:dyDescent="0.25">
      <c r="A15" s="55" t="s">
        <v>495</v>
      </c>
      <c r="B15" s="33" t="s">
        <v>341</v>
      </c>
      <c r="C15" s="176" t="s">
        <v>20</v>
      </c>
      <c r="D15" s="176" t="s">
        <v>20</v>
      </c>
      <c r="E15" s="176" t="s">
        <v>20</v>
      </c>
      <c r="F15" s="25" t="s">
        <v>20</v>
      </c>
      <c r="G15" s="35">
        <v>10</v>
      </c>
      <c r="H15" s="35">
        <v>10</v>
      </c>
      <c r="I15" s="35">
        <v>10</v>
      </c>
      <c r="J15" s="35">
        <v>10</v>
      </c>
      <c r="K15" s="35">
        <v>10</v>
      </c>
      <c r="L15" s="35">
        <v>10</v>
      </c>
      <c r="M15" s="35">
        <v>10</v>
      </c>
      <c r="N15" s="35">
        <v>10</v>
      </c>
      <c r="O15" s="35">
        <v>10</v>
      </c>
      <c r="P15" s="35">
        <v>10</v>
      </c>
      <c r="Q15" s="35">
        <v>10</v>
      </c>
      <c r="R15" s="35">
        <v>10</v>
      </c>
      <c r="S15" s="35">
        <v>10</v>
      </c>
      <c r="T15" s="35">
        <v>10</v>
      </c>
      <c r="U15" s="35">
        <v>10</v>
      </c>
      <c r="V15" s="35">
        <v>10</v>
      </c>
      <c r="W15" s="35">
        <v>10</v>
      </c>
      <c r="X15" s="35">
        <v>10</v>
      </c>
      <c r="Y15" s="35">
        <v>10</v>
      </c>
      <c r="Z15" s="35">
        <v>10</v>
      </c>
      <c r="AA15" s="35">
        <v>10</v>
      </c>
      <c r="AB15" s="35">
        <v>10</v>
      </c>
      <c r="AC15" s="35">
        <v>10</v>
      </c>
      <c r="AD15" s="35">
        <v>10</v>
      </c>
      <c r="AE15" s="35">
        <v>10</v>
      </c>
      <c r="AF15" s="35">
        <v>10</v>
      </c>
      <c r="AG15" s="35">
        <v>10</v>
      </c>
      <c r="AH15" s="35">
        <v>10</v>
      </c>
      <c r="AI15" s="35">
        <v>10</v>
      </c>
      <c r="AJ15" s="35">
        <v>10</v>
      </c>
    </row>
    <row r="16" spans="1:42" x14ac:dyDescent="0.25">
      <c r="A16" s="55" t="s">
        <v>496</v>
      </c>
      <c r="B16" s="33" t="s">
        <v>340</v>
      </c>
      <c r="C16" s="147">
        <f>1.23*C5/16</f>
        <v>2.46</v>
      </c>
      <c r="D16" s="147">
        <f t="shared" ref="D16:F16" si="28">1.23*D5/16</f>
        <v>2.46</v>
      </c>
      <c r="E16" s="147">
        <f t="shared" si="28"/>
        <v>2.46</v>
      </c>
      <c r="F16" s="147">
        <f t="shared" si="28"/>
        <v>2.46</v>
      </c>
      <c r="G16" s="25" t="s">
        <v>20</v>
      </c>
      <c r="H16" s="25" t="s">
        <v>20</v>
      </c>
      <c r="I16" s="25" t="s">
        <v>20</v>
      </c>
      <c r="J16" s="25" t="s">
        <v>20</v>
      </c>
      <c r="K16" s="25" t="s">
        <v>20</v>
      </c>
      <c r="L16" s="25" t="s">
        <v>20</v>
      </c>
      <c r="M16" s="25" t="s">
        <v>20</v>
      </c>
      <c r="N16" s="25" t="s">
        <v>20</v>
      </c>
      <c r="O16" s="25" t="s">
        <v>20</v>
      </c>
      <c r="P16" s="25" t="s">
        <v>20</v>
      </c>
      <c r="Q16" s="25" t="s">
        <v>20</v>
      </c>
      <c r="R16" s="25" t="s">
        <v>20</v>
      </c>
      <c r="S16" s="25" t="s">
        <v>20</v>
      </c>
      <c r="T16" s="25" t="s">
        <v>20</v>
      </c>
      <c r="U16" s="31" t="s">
        <v>20</v>
      </c>
      <c r="V16" s="31" t="s">
        <v>20</v>
      </c>
      <c r="W16" s="31" t="s">
        <v>20</v>
      </c>
      <c r="X16" s="31" t="s">
        <v>20</v>
      </c>
      <c r="Y16" s="31" t="s">
        <v>20</v>
      </c>
      <c r="Z16" s="31" t="s">
        <v>20</v>
      </c>
      <c r="AA16" s="31" t="s">
        <v>20</v>
      </c>
      <c r="AB16" s="31" t="s">
        <v>20</v>
      </c>
      <c r="AC16" s="31" t="s">
        <v>20</v>
      </c>
      <c r="AD16" s="31" t="s">
        <v>20</v>
      </c>
      <c r="AE16" s="31" t="s">
        <v>20</v>
      </c>
      <c r="AF16" s="31" t="s">
        <v>20</v>
      </c>
      <c r="AG16" s="32" t="s">
        <v>20</v>
      </c>
      <c r="AH16" s="32" t="s">
        <v>20</v>
      </c>
      <c r="AI16" s="32" t="s">
        <v>20</v>
      </c>
      <c r="AJ16" s="32" t="s">
        <v>20</v>
      </c>
    </row>
    <row r="17" spans="1:36" x14ac:dyDescent="0.25">
      <c r="A17" s="55" t="s">
        <v>410</v>
      </c>
      <c r="B17" s="33" t="s">
        <v>366</v>
      </c>
      <c r="C17" s="25" t="s">
        <v>20</v>
      </c>
      <c r="D17" s="25" t="s">
        <v>20</v>
      </c>
      <c r="E17" s="25" t="s">
        <v>20</v>
      </c>
      <c r="F17" s="25" t="s">
        <v>20</v>
      </c>
      <c r="G17" s="35">
        <f>G5*G8*G7*G15</f>
        <v>1091.4487310487991</v>
      </c>
      <c r="H17" s="35">
        <f t="shared" ref="H17:Z17" si="29">H5*H8*H7*H15</f>
        <v>1104.2080831014202</v>
      </c>
      <c r="I17" s="35">
        <f t="shared" si="29"/>
        <v>1074.7728633993015</v>
      </c>
      <c r="J17" s="35">
        <f t="shared" si="29"/>
        <v>1066.8148821185894</v>
      </c>
      <c r="K17" s="35">
        <f t="shared" si="29"/>
        <v>1062.2676624164706</v>
      </c>
      <c r="L17" s="35">
        <f>L5*L8*L7*L15</f>
        <v>1808.9609326955886</v>
      </c>
      <c r="M17" s="35">
        <f t="shared" ref="M17:P17" si="30">M5*M8*M7*M15</f>
        <v>1799.4823034674973</v>
      </c>
      <c r="N17" s="35">
        <f t="shared" si="30"/>
        <v>1702.4411973965935</v>
      </c>
      <c r="O17" s="35">
        <f t="shared" si="30"/>
        <v>1667.5759015018357</v>
      </c>
      <c r="P17" s="35">
        <f t="shared" si="30"/>
        <v>1652.2707954309317</v>
      </c>
      <c r="Q17" s="35">
        <f>Q5*Q8*Q7*Q15</f>
        <v>2176</v>
      </c>
      <c r="R17" s="35">
        <f t="shared" ref="R17:V17" si="31">R5*R8*R7*R15</f>
        <v>2176</v>
      </c>
      <c r="S17" s="35">
        <f>S5*S8*S7*S15</f>
        <v>2351.2541399204911</v>
      </c>
      <c r="T17" s="35">
        <f t="shared" ref="R17:T17" si="32">T5*T8*T7*T15</f>
        <v>2552.5613359891677</v>
      </c>
      <c r="U17" s="35">
        <f t="shared" si="31"/>
        <v>171.77373629320115</v>
      </c>
      <c r="V17" s="35">
        <f t="shared" si="31"/>
        <v>172.16693136767148</v>
      </c>
      <c r="W17" s="35">
        <f t="shared" si="29"/>
        <v>172.05876938082673</v>
      </c>
      <c r="X17" s="35">
        <f t="shared" si="29"/>
        <v>172.05529778863041</v>
      </c>
      <c r="Y17" s="35">
        <f t="shared" si="29"/>
        <v>285.28734023589988</v>
      </c>
      <c r="Z17" s="35">
        <f t="shared" si="29"/>
        <v>286.30039705150716</v>
      </c>
      <c r="AA17" s="35">
        <f t="shared" ref="AA17:AD17" si="33">AA5*AA8*AA7*AA15</f>
        <v>286.65073974448438</v>
      </c>
      <c r="AB17" s="35">
        <f t="shared" si="33"/>
        <v>286.64379656009174</v>
      </c>
      <c r="AC17" s="35">
        <f t="shared" si="33"/>
        <v>544</v>
      </c>
      <c r="AD17" s="35">
        <f t="shared" si="33"/>
        <v>544</v>
      </c>
      <c r="AE17" s="35">
        <f t="shared" ref="AE17:AJ17" si="34">AE5*AE8*AE7*AE15</f>
        <v>544</v>
      </c>
      <c r="AF17" s="35">
        <f t="shared" si="34"/>
        <v>544</v>
      </c>
      <c r="AG17" s="35">
        <f t="shared" si="34"/>
        <v>168.87605135708003</v>
      </c>
      <c r="AH17" s="35">
        <f t="shared" si="34"/>
        <v>168.87431556098187</v>
      </c>
      <c r="AI17" s="35">
        <f t="shared" si="34"/>
        <v>168.90523456755949</v>
      </c>
      <c r="AJ17" s="35">
        <f t="shared" si="34"/>
        <v>168.93183210479467</v>
      </c>
    </row>
    <row r="18" spans="1:36" x14ac:dyDescent="0.25">
      <c r="A18" s="57" t="s">
        <v>189</v>
      </c>
      <c r="B18" s="152" t="s">
        <v>337</v>
      </c>
      <c r="C18" s="25" t="s">
        <v>20</v>
      </c>
      <c r="D18" s="25" t="s">
        <v>20</v>
      </c>
      <c r="E18" s="25" t="s">
        <v>20</v>
      </c>
      <c r="F18" s="25" t="s">
        <v>20</v>
      </c>
      <c r="G18" s="25">
        <f>G22*G7*2^G8+10</f>
        <v>45.433372315827775</v>
      </c>
      <c r="H18" s="25">
        <f t="shared" ref="H18:AF18" si="35">H22*H7*2^H8+10</f>
        <v>47.814185475312009</v>
      </c>
      <c r="I18" s="25">
        <f t="shared" si="35"/>
        <v>42.546267588011524</v>
      </c>
      <c r="J18" s="25">
        <f t="shared" si="35"/>
        <v>41.252628575069863</v>
      </c>
      <c r="K18" s="25">
        <f t="shared" si="35"/>
        <v>40.53665626661801</v>
      </c>
      <c r="L18" s="25">
        <f t="shared" si="35"/>
        <v>23.663642429932047</v>
      </c>
      <c r="M18" s="25">
        <f t="shared" si="35"/>
        <v>23.337555038400566</v>
      </c>
      <c r="N18" s="25">
        <f t="shared" si="35"/>
        <v>20.415452019265317</v>
      </c>
      <c r="O18" s="25">
        <f t="shared" si="35"/>
        <v>19.529974224453703</v>
      </c>
      <c r="P18" s="25">
        <f t="shared" si="35"/>
        <v>19.165436180149264</v>
      </c>
      <c r="Q18" s="25">
        <f t="shared" si="35"/>
        <v>12.176</v>
      </c>
      <c r="R18" s="25">
        <f t="shared" si="35"/>
        <v>12.176</v>
      </c>
      <c r="S18" s="25">
        <f t="shared" ref="S18:T18" si="36">S22*S7*2^S8+10</f>
        <v>12.720434139904988</v>
      </c>
      <c r="T18" s="25">
        <f t="shared" si="36"/>
        <v>13.515882592751879</v>
      </c>
      <c r="U18" s="25">
        <f t="shared" ref="U18:V18" si="37">U22*U7*2^U8+10</f>
        <v>14.512250841375122</v>
      </c>
      <c r="V18" s="25">
        <f t="shared" si="37"/>
        <v>14.548566142530163</v>
      </c>
      <c r="W18" s="25">
        <f t="shared" si="35"/>
        <v>14.538547313187065</v>
      </c>
      <c r="X18" s="25">
        <f t="shared" si="35"/>
        <v>14.538226112292357</v>
      </c>
      <c r="Y18" s="25">
        <f t="shared" ref="Y18:Z18" si="38">Y22*Y7*2^Y8+10</f>
        <v>12.491614060511187</v>
      </c>
      <c r="Z18" s="25">
        <f t="shared" si="38"/>
        <v>12.517476852700614</v>
      </c>
      <c r="AA18" s="25">
        <f t="shared" si="35"/>
        <v>12.526483243697864</v>
      </c>
      <c r="AB18" s="25">
        <f t="shared" si="35"/>
        <v>12.526304440080246</v>
      </c>
      <c r="AC18" s="25">
        <f t="shared" ref="AC18:AD18" si="39">AC22*AC7*2^AC8+10</f>
        <v>12.176</v>
      </c>
      <c r="AD18" s="25">
        <f t="shared" si="39"/>
        <v>12.176</v>
      </c>
      <c r="AE18" s="25">
        <f t="shared" si="35"/>
        <v>12.176</v>
      </c>
      <c r="AF18" s="25">
        <f t="shared" si="35"/>
        <v>12.176</v>
      </c>
      <c r="AG18" s="25">
        <f t="shared" ref="AG18:AJ18" si="40">AG22*AG7*2^AG8+10</f>
        <v>143.02595315783617</v>
      </c>
      <c r="AH18" s="25">
        <f t="shared" si="40"/>
        <v>143.0165386795405</v>
      </c>
      <c r="AI18" s="25">
        <f t="shared" si="40"/>
        <v>143.18433463718165</v>
      </c>
      <c r="AJ18" s="25">
        <f t="shared" si="40"/>
        <v>143.32884753901493</v>
      </c>
    </row>
    <row r="19" spans="1:36" x14ac:dyDescent="0.25">
      <c r="A19" s="58" t="s">
        <v>272</v>
      </c>
      <c r="B19" s="41" t="s">
        <v>339</v>
      </c>
      <c r="C19" s="2">
        <v>0.05</v>
      </c>
      <c r="D19" s="2">
        <v>0.05</v>
      </c>
      <c r="E19" s="2">
        <v>0.05</v>
      </c>
      <c r="F19" s="2">
        <v>0.05</v>
      </c>
      <c r="G19" s="25" t="s">
        <v>20</v>
      </c>
      <c r="H19" s="25" t="s">
        <v>20</v>
      </c>
      <c r="I19" s="25" t="s">
        <v>20</v>
      </c>
      <c r="J19" s="25" t="s">
        <v>20</v>
      </c>
      <c r="K19" s="25" t="s">
        <v>20</v>
      </c>
      <c r="L19" s="25" t="s">
        <v>20</v>
      </c>
      <c r="M19" s="25" t="s">
        <v>20</v>
      </c>
      <c r="N19" s="25" t="s">
        <v>20</v>
      </c>
      <c r="O19" s="25" t="s">
        <v>20</v>
      </c>
      <c r="P19" s="25" t="s">
        <v>20</v>
      </c>
      <c r="Q19" s="25" t="s">
        <v>20</v>
      </c>
      <c r="R19" s="25" t="s">
        <v>20</v>
      </c>
      <c r="S19" s="25" t="s">
        <v>20</v>
      </c>
      <c r="T19" s="25" t="s">
        <v>20</v>
      </c>
      <c r="U19" s="31" t="s">
        <v>20</v>
      </c>
      <c r="V19" s="31" t="s">
        <v>20</v>
      </c>
      <c r="W19" s="31" t="s">
        <v>20</v>
      </c>
      <c r="X19" s="31" t="s">
        <v>20</v>
      </c>
      <c r="Y19" s="31" t="s">
        <v>20</v>
      </c>
      <c r="Z19" s="31" t="s">
        <v>20</v>
      </c>
      <c r="AA19" s="31" t="s">
        <v>20</v>
      </c>
      <c r="AB19" s="31" t="s">
        <v>20</v>
      </c>
      <c r="AC19" s="31" t="s">
        <v>20</v>
      </c>
      <c r="AD19" s="31" t="s">
        <v>20</v>
      </c>
      <c r="AE19" s="31" t="s">
        <v>20</v>
      </c>
      <c r="AF19" s="31" t="s">
        <v>20</v>
      </c>
      <c r="AG19" s="32" t="s">
        <v>20</v>
      </c>
      <c r="AH19" s="32" t="s">
        <v>20</v>
      </c>
      <c r="AI19" s="32" t="s">
        <v>20</v>
      </c>
      <c r="AJ19" s="32" t="s">
        <v>20</v>
      </c>
    </row>
    <row r="20" spans="1:36" x14ac:dyDescent="0.25">
      <c r="A20" s="58" t="s">
        <v>273</v>
      </c>
      <c r="B20" s="40" t="s">
        <v>340</v>
      </c>
      <c r="C20" s="31">
        <f>C19*C3</f>
        <v>1.6</v>
      </c>
      <c r="D20" s="31">
        <f>D19*D3</f>
        <v>3.2</v>
      </c>
      <c r="E20" s="31">
        <f>E19*E3</f>
        <v>4.8000000000000007</v>
      </c>
      <c r="F20" s="31">
        <f>F19*F3</f>
        <v>6.4</v>
      </c>
      <c r="G20" s="31" t="s">
        <v>20</v>
      </c>
      <c r="H20" s="31" t="s">
        <v>20</v>
      </c>
      <c r="I20" s="31" t="s">
        <v>20</v>
      </c>
      <c r="J20" s="31" t="s">
        <v>20</v>
      </c>
      <c r="K20" s="31" t="s">
        <v>20</v>
      </c>
      <c r="L20" s="31" t="s">
        <v>20</v>
      </c>
      <c r="M20" s="31" t="s">
        <v>20</v>
      </c>
      <c r="N20" s="31" t="s">
        <v>20</v>
      </c>
      <c r="O20" s="31" t="s">
        <v>20</v>
      </c>
      <c r="P20" s="31" t="s">
        <v>20</v>
      </c>
      <c r="Q20" s="31" t="s">
        <v>20</v>
      </c>
      <c r="R20" s="31" t="s">
        <v>20</v>
      </c>
      <c r="S20" s="31" t="s">
        <v>20</v>
      </c>
      <c r="T20" s="31" t="s">
        <v>20</v>
      </c>
      <c r="U20" s="31" t="s">
        <v>20</v>
      </c>
      <c r="V20" s="31" t="s">
        <v>20</v>
      </c>
      <c r="W20" s="31" t="s">
        <v>20</v>
      </c>
      <c r="X20" s="31" t="s">
        <v>20</v>
      </c>
      <c r="Y20" s="31" t="s">
        <v>20</v>
      </c>
      <c r="Z20" s="31" t="s">
        <v>20</v>
      </c>
      <c r="AA20" s="31" t="s">
        <v>20</v>
      </c>
      <c r="AB20" s="31" t="s">
        <v>20</v>
      </c>
      <c r="AC20" s="31" t="s">
        <v>20</v>
      </c>
      <c r="AD20" s="31" t="s">
        <v>20</v>
      </c>
      <c r="AE20" s="31" t="s">
        <v>20</v>
      </c>
      <c r="AF20" s="31" t="s">
        <v>20</v>
      </c>
      <c r="AG20" s="31" t="s">
        <v>20</v>
      </c>
      <c r="AH20" s="31" t="s">
        <v>20</v>
      </c>
      <c r="AI20" s="31" t="s">
        <v>20</v>
      </c>
      <c r="AJ20" s="31" t="s">
        <v>20</v>
      </c>
    </row>
    <row r="21" spans="1:36" x14ac:dyDescent="0.25">
      <c r="A21" s="57" t="s">
        <v>411</v>
      </c>
      <c r="B21" s="33" t="s">
        <v>366</v>
      </c>
      <c r="C21" s="25" t="s">
        <v>20</v>
      </c>
      <c r="D21" s="25" t="s">
        <v>20</v>
      </c>
      <c r="E21" s="25" t="s">
        <v>20</v>
      </c>
      <c r="F21" s="25" t="s">
        <v>20</v>
      </c>
      <c r="G21" s="25">
        <f t="shared" ref="G21:Z21" si="41">G18*G3</f>
        <v>1453.8679141064888</v>
      </c>
      <c r="H21" s="25">
        <f t="shared" si="41"/>
        <v>2295.0809028149765</v>
      </c>
      <c r="I21" s="25">
        <f t="shared" si="41"/>
        <v>2722.9611256327375</v>
      </c>
      <c r="J21" s="25">
        <f t="shared" si="41"/>
        <v>3960.2523432067069</v>
      </c>
      <c r="K21" s="25">
        <f t="shared" si="41"/>
        <v>5188.6920021271053</v>
      </c>
      <c r="L21" s="25">
        <f t="shared" ref="L21:R21" si="42">L18*L3</f>
        <v>757.23655775782549</v>
      </c>
      <c r="M21" s="25">
        <f t="shared" si="42"/>
        <v>1120.2026418432272</v>
      </c>
      <c r="N21" s="25">
        <f t="shared" si="42"/>
        <v>1306.5889292329803</v>
      </c>
      <c r="O21" s="25">
        <f t="shared" si="42"/>
        <v>1874.8775255475555</v>
      </c>
      <c r="P21" s="25">
        <f t="shared" si="42"/>
        <v>2453.1758310591058</v>
      </c>
      <c r="Q21" s="25">
        <f t="shared" ref="Q21:V21" si="43">Q18*Q3</f>
        <v>97.408000000000001</v>
      </c>
      <c r="R21" s="25">
        <f t="shared" si="43"/>
        <v>194.816</v>
      </c>
      <c r="S21" s="25">
        <f t="shared" ref="S21:T21" si="44">S18*S3</f>
        <v>407.05389247695962</v>
      </c>
      <c r="T21" s="25">
        <f t="shared" si="44"/>
        <v>865.01648593612026</v>
      </c>
      <c r="U21" s="31">
        <f t="shared" si="43"/>
        <v>1393.1760807720118</v>
      </c>
      <c r="V21" s="31">
        <f t="shared" si="43"/>
        <v>1862.2164662438609</v>
      </c>
      <c r="W21" s="31">
        <f t="shared" si="41"/>
        <v>2791.4010841319164</v>
      </c>
      <c r="X21" s="31">
        <f t="shared" si="41"/>
        <v>3721.7858847468433</v>
      </c>
      <c r="Y21" s="31">
        <f t="shared" si="41"/>
        <v>1199.1949498090739</v>
      </c>
      <c r="Z21" s="31">
        <f t="shared" si="41"/>
        <v>1602.2370371456786</v>
      </c>
      <c r="AA21" s="31">
        <f t="shared" ref="AA21:AD21" si="45">AA18*AA3</f>
        <v>2405.0847827899897</v>
      </c>
      <c r="AB21" s="31">
        <f t="shared" si="45"/>
        <v>3206.7339366605429</v>
      </c>
      <c r="AC21" s="31">
        <f t="shared" si="45"/>
        <v>1168.896</v>
      </c>
      <c r="AD21" s="31">
        <f t="shared" si="45"/>
        <v>1558.528</v>
      </c>
      <c r="AE21" s="31">
        <f t="shared" ref="AE21:AJ21" si="46">AE18*AE3</f>
        <v>2337.7919999999999</v>
      </c>
      <c r="AF21" s="31">
        <f t="shared" si="46"/>
        <v>3117.056</v>
      </c>
      <c r="AG21" s="32">
        <f t="shared" si="46"/>
        <v>6865.2457515761362</v>
      </c>
      <c r="AH21" s="32">
        <f t="shared" si="46"/>
        <v>9153.0584754905922</v>
      </c>
      <c r="AI21" s="32">
        <f t="shared" si="46"/>
        <v>13745.696125169437</v>
      </c>
      <c r="AJ21" s="32">
        <f t="shared" si="46"/>
        <v>18346.092484993911</v>
      </c>
    </row>
    <row r="22" spans="1:36" x14ac:dyDescent="0.25">
      <c r="A22" s="57" t="s">
        <v>499</v>
      </c>
      <c r="B22" s="152" t="s">
        <v>341</v>
      </c>
      <c r="C22" s="25" t="s">
        <v>20</v>
      </c>
      <c r="D22" s="25" t="s">
        <v>20</v>
      </c>
      <c r="E22" s="25" t="s">
        <v>20</v>
      </c>
      <c r="F22" s="25" t="s">
        <v>20</v>
      </c>
      <c r="G22" s="43">
        <v>0.08</v>
      </c>
      <c r="H22" s="43">
        <v>0.08</v>
      </c>
      <c r="I22" s="43">
        <v>0.08</v>
      </c>
      <c r="J22" s="43">
        <v>0.08</v>
      </c>
      <c r="K22" s="25">
        <v>0.08</v>
      </c>
      <c r="L22" s="25">
        <v>0.08</v>
      </c>
      <c r="M22" s="25">
        <v>0.08</v>
      </c>
      <c r="N22" s="25">
        <v>0.08</v>
      </c>
      <c r="O22" s="25">
        <v>0.08</v>
      </c>
      <c r="P22" s="25">
        <v>0.08</v>
      </c>
      <c r="Q22" s="25">
        <v>0.08</v>
      </c>
      <c r="R22" s="25">
        <v>0.08</v>
      </c>
      <c r="S22" s="25">
        <v>0.08</v>
      </c>
      <c r="T22" s="25">
        <v>0.08</v>
      </c>
      <c r="U22" s="31">
        <f>I22</f>
        <v>0.08</v>
      </c>
      <c r="V22" s="31">
        <f>I22</f>
        <v>0.08</v>
      </c>
      <c r="W22" s="31">
        <f>K22</f>
        <v>0.08</v>
      </c>
      <c r="X22" s="31">
        <f>K22</f>
        <v>0.08</v>
      </c>
      <c r="Y22" s="31">
        <f>N22</f>
        <v>0.08</v>
      </c>
      <c r="Z22" s="31">
        <f>N22</f>
        <v>0.08</v>
      </c>
      <c r="AA22" s="31">
        <f>P22</f>
        <v>0.08</v>
      </c>
      <c r="AB22" s="31">
        <f>P22</f>
        <v>0.08</v>
      </c>
      <c r="AC22" s="31">
        <f>U22</f>
        <v>0.08</v>
      </c>
      <c r="AD22" s="31">
        <f>U22</f>
        <v>0.08</v>
      </c>
      <c r="AE22" s="31">
        <f>W22</f>
        <v>0.08</v>
      </c>
      <c r="AF22" s="31">
        <f>W22</f>
        <v>0.08</v>
      </c>
      <c r="AG22" s="32">
        <f>Table517[[#This Row],[Case 1a]]</f>
        <v>0.08</v>
      </c>
      <c r="AH22" s="32">
        <f>Table517[[#This Row],[Case 1a]]</f>
        <v>0.08</v>
      </c>
      <c r="AI22" s="32">
        <f>Table517[[#This Row],[Case 1a]]</f>
        <v>0.08</v>
      </c>
      <c r="AJ22" s="32">
        <f>Table517[[#This Row],[Case 1a]]</f>
        <v>0.08</v>
      </c>
    </row>
    <row r="23" spans="1:36" x14ac:dyDescent="0.25">
      <c r="A23" s="60" t="s">
        <v>501</v>
      </c>
      <c r="B23" s="152" t="s">
        <v>337</v>
      </c>
      <c r="C23" s="25" t="s">
        <v>20</v>
      </c>
      <c r="D23" s="25" t="s">
        <v>20</v>
      </c>
      <c r="E23" s="25" t="s">
        <v>20</v>
      </c>
      <c r="F23" s="25" t="s">
        <v>20</v>
      </c>
      <c r="G23" s="25">
        <v>10</v>
      </c>
      <c r="H23" s="25">
        <v>10</v>
      </c>
      <c r="I23" s="25">
        <v>10</v>
      </c>
      <c r="J23" s="25">
        <v>10</v>
      </c>
      <c r="K23" s="25">
        <v>10</v>
      </c>
      <c r="L23" s="25">
        <v>10</v>
      </c>
      <c r="M23" s="25">
        <v>10</v>
      </c>
      <c r="N23" s="25">
        <v>10</v>
      </c>
      <c r="O23" s="25">
        <v>10</v>
      </c>
      <c r="P23" s="25">
        <v>10</v>
      </c>
      <c r="Q23" s="25">
        <v>10</v>
      </c>
      <c r="R23" s="25">
        <v>10</v>
      </c>
      <c r="S23" s="25">
        <v>10</v>
      </c>
      <c r="T23" s="25">
        <v>10</v>
      </c>
      <c r="U23" s="31">
        <v>10</v>
      </c>
      <c r="V23" s="31">
        <v>10</v>
      </c>
      <c r="W23" s="31">
        <v>10</v>
      </c>
      <c r="X23" s="31">
        <v>10</v>
      </c>
      <c r="Y23" s="31">
        <v>10</v>
      </c>
      <c r="Z23" s="31">
        <v>10</v>
      </c>
      <c r="AA23" s="31">
        <v>10</v>
      </c>
      <c r="AB23" s="31">
        <v>10</v>
      </c>
      <c r="AC23" s="31">
        <v>10</v>
      </c>
      <c r="AD23" s="31">
        <v>10</v>
      </c>
      <c r="AE23" s="31">
        <v>10</v>
      </c>
      <c r="AF23" s="31">
        <v>10</v>
      </c>
      <c r="AG23" s="32">
        <v>10</v>
      </c>
      <c r="AH23" s="32">
        <v>10</v>
      </c>
      <c r="AI23" s="32">
        <v>10</v>
      </c>
      <c r="AJ23" s="32">
        <v>10</v>
      </c>
    </row>
    <row r="24" spans="1:36" x14ac:dyDescent="0.25">
      <c r="A24" s="60" t="s">
        <v>524</v>
      </c>
      <c r="B24" s="152" t="s">
        <v>339</v>
      </c>
      <c r="C24" s="148">
        <v>0</v>
      </c>
      <c r="D24" s="148">
        <v>0</v>
      </c>
      <c r="E24" s="148">
        <v>0</v>
      </c>
      <c r="F24" s="148">
        <v>0</v>
      </c>
      <c r="G24" s="25" t="s">
        <v>20</v>
      </c>
      <c r="H24" s="25" t="s">
        <v>20</v>
      </c>
      <c r="I24" s="25" t="s">
        <v>20</v>
      </c>
      <c r="J24" s="25" t="s">
        <v>20</v>
      </c>
      <c r="K24" s="25" t="s">
        <v>20</v>
      </c>
      <c r="L24" s="25" t="s">
        <v>20</v>
      </c>
      <c r="M24" s="25" t="s">
        <v>20</v>
      </c>
      <c r="N24" s="25" t="s">
        <v>20</v>
      </c>
      <c r="O24" s="25" t="s">
        <v>20</v>
      </c>
      <c r="P24" s="25" t="s">
        <v>20</v>
      </c>
      <c r="Q24" s="25" t="s">
        <v>20</v>
      </c>
      <c r="R24" s="25" t="s">
        <v>20</v>
      </c>
      <c r="S24" s="25" t="s">
        <v>20</v>
      </c>
      <c r="T24" s="25" t="s">
        <v>20</v>
      </c>
      <c r="U24" s="31" t="s">
        <v>20</v>
      </c>
      <c r="V24" s="31" t="s">
        <v>20</v>
      </c>
      <c r="W24" s="31" t="s">
        <v>20</v>
      </c>
      <c r="X24" s="31" t="s">
        <v>20</v>
      </c>
      <c r="Y24" s="31" t="s">
        <v>20</v>
      </c>
      <c r="Z24" s="31" t="s">
        <v>20</v>
      </c>
      <c r="AA24" s="31" t="s">
        <v>20</v>
      </c>
      <c r="AB24" s="31" t="s">
        <v>20</v>
      </c>
      <c r="AC24" s="31" t="s">
        <v>20</v>
      </c>
      <c r="AD24" s="31" t="s">
        <v>20</v>
      </c>
      <c r="AE24" s="31" t="s">
        <v>20</v>
      </c>
      <c r="AF24" s="31" t="s">
        <v>20</v>
      </c>
      <c r="AG24" s="32" t="s">
        <v>20</v>
      </c>
      <c r="AH24" s="32" t="s">
        <v>20</v>
      </c>
      <c r="AI24" s="32" t="s">
        <v>20</v>
      </c>
      <c r="AJ24" s="32" t="s">
        <v>20</v>
      </c>
    </row>
    <row r="25" spans="1:36" x14ac:dyDescent="0.25">
      <c r="A25" s="60" t="s">
        <v>412</v>
      </c>
      <c r="B25" s="152" t="s">
        <v>366</v>
      </c>
      <c r="C25" s="25" t="s">
        <v>20</v>
      </c>
      <c r="D25" s="25" t="s">
        <v>20</v>
      </c>
      <c r="E25" s="25" t="s">
        <v>20</v>
      </c>
      <c r="F25" s="25" t="s">
        <v>20</v>
      </c>
      <c r="G25" s="25">
        <f t="shared" ref="G25:Z25" si="47">G23*G3</f>
        <v>320</v>
      </c>
      <c r="H25" s="25">
        <f t="shared" si="47"/>
        <v>480</v>
      </c>
      <c r="I25" s="25">
        <f t="shared" si="47"/>
        <v>640</v>
      </c>
      <c r="J25" s="25">
        <f t="shared" si="47"/>
        <v>960</v>
      </c>
      <c r="K25" s="25">
        <f t="shared" si="47"/>
        <v>1280</v>
      </c>
      <c r="L25" s="25">
        <f t="shared" ref="L25:R25" si="48">L23*L3</f>
        <v>320</v>
      </c>
      <c r="M25" s="25">
        <f t="shared" si="48"/>
        <v>480</v>
      </c>
      <c r="N25" s="25">
        <f t="shared" si="48"/>
        <v>640</v>
      </c>
      <c r="O25" s="25">
        <f t="shared" si="48"/>
        <v>960</v>
      </c>
      <c r="P25" s="25">
        <f t="shared" si="48"/>
        <v>1280</v>
      </c>
      <c r="Q25" s="25">
        <f t="shared" ref="Q25:V25" si="49">Q23*Q3</f>
        <v>80</v>
      </c>
      <c r="R25" s="25">
        <f t="shared" si="49"/>
        <v>160</v>
      </c>
      <c r="S25" s="25">
        <f t="shared" ref="S25:T25" si="50">S23*S3</f>
        <v>320</v>
      </c>
      <c r="T25" s="25">
        <f t="shared" si="50"/>
        <v>640</v>
      </c>
      <c r="U25" s="31">
        <f t="shared" si="49"/>
        <v>960</v>
      </c>
      <c r="V25" s="31">
        <f t="shared" si="49"/>
        <v>1280</v>
      </c>
      <c r="W25" s="31">
        <f t="shared" si="47"/>
        <v>1920</v>
      </c>
      <c r="X25" s="31">
        <f t="shared" si="47"/>
        <v>2560</v>
      </c>
      <c r="Y25" s="31">
        <f t="shared" si="47"/>
        <v>960</v>
      </c>
      <c r="Z25" s="31">
        <f t="shared" si="47"/>
        <v>1280</v>
      </c>
      <c r="AA25" s="31">
        <f t="shared" ref="AA25:AD25" si="51">AA23*AA3</f>
        <v>1920</v>
      </c>
      <c r="AB25" s="31">
        <f t="shared" si="51"/>
        <v>2560</v>
      </c>
      <c r="AC25" s="31">
        <f t="shared" si="51"/>
        <v>960</v>
      </c>
      <c r="AD25" s="31">
        <f t="shared" si="51"/>
        <v>1280</v>
      </c>
      <c r="AE25" s="31">
        <f t="shared" ref="AE25:AJ25" si="52">AE23*AE3</f>
        <v>1920</v>
      </c>
      <c r="AF25" s="31">
        <f t="shared" si="52"/>
        <v>2560</v>
      </c>
      <c r="AG25" s="32">
        <f t="shared" si="52"/>
        <v>480</v>
      </c>
      <c r="AH25" s="32">
        <f t="shared" si="52"/>
        <v>640</v>
      </c>
      <c r="AI25" s="32">
        <f t="shared" si="52"/>
        <v>960</v>
      </c>
      <c r="AJ25" s="32">
        <f t="shared" si="52"/>
        <v>1280</v>
      </c>
    </row>
    <row r="26" spans="1:36" x14ac:dyDescent="0.25">
      <c r="A26" s="60" t="s">
        <v>503</v>
      </c>
      <c r="B26" s="152" t="s">
        <v>340</v>
      </c>
      <c r="C26" s="25">
        <f>C24*C3</f>
        <v>0</v>
      </c>
      <c r="D26" s="25">
        <f>D24*D3</f>
        <v>0</v>
      </c>
      <c r="E26" s="25">
        <f>E24*E3</f>
        <v>0</v>
      </c>
      <c r="F26" s="25">
        <f>F24*F3</f>
        <v>0</v>
      </c>
      <c r="G26" s="25" t="s">
        <v>20</v>
      </c>
      <c r="H26" s="25" t="s">
        <v>20</v>
      </c>
      <c r="I26" s="25" t="s">
        <v>20</v>
      </c>
      <c r="J26" s="25" t="s">
        <v>20</v>
      </c>
      <c r="K26" s="25" t="s">
        <v>20</v>
      </c>
      <c r="L26" s="25" t="s">
        <v>20</v>
      </c>
      <c r="M26" s="25" t="s">
        <v>20</v>
      </c>
      <c r="N26" s="25" t="s">
        <v>20</v>
      </c>
      <c r="O26" s="25" t="s">
        <v>20</v>
      </c>
      <c r="P26" s="25" t="s">
        <v>20</v>
      </c>
      <c r="Q26" s="25" t="s">
        <v>20</v>
      </c>
      <c r="R26" s="25" t="s">
        <v>20</v>
      </c>
      <c r="S26" s="25" t="s">
        <v>20</v>
      </c>
      <c r="T26" s="25" t="s">
        <v>20</v>
      </c>
      <c r="U26" s="31" t="s">
        <v>20</v>
      </c>
      <c r="V26" s="31" t="s">
        <v>20</v>
      </c>
      <c r="W26" s="31" t="s">
        <v>20</v>
      </c>
      <c r="X26" s="31" t="s">
        <v>20</v>
      </c>
      <c r="Y26" s="31" t="s">
        <v>20</v>
      </c>
      <c r="Z26" s="31" t="s">
        <v>20</v>
      </c>
      <c r="AA26" s="31" t="s">
        <v>20</v>
      </c>
      <c r="AB26" s="31" t="s">
        <v>20</v>
      </c>
      <c r="AC26" s="31" t="s">
        <v>20</v>
      </c>
      <c r="AD26" s="31" t="s">
        <v>20</v>
      </c>
      <c r="AE26" s="31" t="s">
        <v>20</v>
      </c>
      <c r="AF26" s="31" t="s">
        <v>20</v>
      </c>
      <c r="AG26" s="32" t="s">
        <v>20</v>
      </c>
      <c r="AH26" s="32" t="s">
        <v>20</v>
      </c>
      <c r="AI26" s="32" t="s">
        <v>20</v>
      </c>
      <c r="AJ26" s="32" t="s">
        <v>20</v>
      </c>
    </row>
    <row r="27" spans="1:36" x14ac:dyDescent="0.25">
      <c r="A27" s="66" t="s">
        <v>416</v>
      </c>
      <c r="B27" s="152" t="s">
        <v>337</v>
      </c>
      <c r="C27" s="25" t="s">
        <v>20</v>
      </c>
      <c r="D27" s="25" t="s">
        <v>20</v>
      </c>
      <c r="E27" s="25" t="s">
        <v>20</v>
      </c>
      <c r="F27" s="25" t="s">
        <v>20</v>
      </c>
      <c r="G27" s="25">
        <v>60</v>
      </c>
      <c r="H27" s="25">
        <v>60</v>
      </c>
      <c r="I27" s="25">
        <v>60</v>
      </c>
      <c r="J27" s="25">
        <v>60</v>
      </c>
      <c r="K27" s="25">
        <v>60</v>
      </c>
      <c r="L27" s="25">
        <v>60</v>
      </c>
      <c r="M27" s="25">
        <v>60</v>
      </c>
      <c r="N27" s="25">
        <v>60</v>
      </c>
      <c r="O27" s="25">
        <v>60</v>
      </c>
      <c r="P27" s="25">
        <v>60</v>
      </c>
      <c r="Q27" s="25">
        <v>60</v>
      </c>
      <c r="R27" s="25">
        <v>60</v>
      </c>
      <c r="S27" s="25">
        <v>60</v>
      </c>
      <c r="T27" s="25">
        <v>60</v>
      </c>
      <c r="U27" s="25">
        <v>60</v>
      </c>
      <c r="V27" s="25">
        <v>60</v>
      </c>
      <c r="W27" s="25">
        <v>60</v>
      </c>
      <c r="X27" s="25">
        <v>60</v>
      </c>
      <c r="Y27" s="25">
        <v>60</v>
      </c>
      <c r="Z27" s="25">
        <v>60</v>
      </c>
      <c r="AA27" s="25">
        <v>60</v>
      </c>
      <c r="AB27" s="25">
        <v>60</v>
      </c>
      <c r="AC27" s="25">
        <v>60</v>
      </c>
      <c r="AD27" s="25">
        <v>60</v>
      </c>
      <c r="AE27" s="25">
        <v>60</v>
      </c>
      <c r="AF27" s="25">
        <v>60</v>
      </c>
      <c r="AG27" s="25">
        <v>60</v>
      </c>
      <c r="AH27" s="25">
        <v>60</v>
      </c>
      <c r="AI27" s="25">
        <v>60</v>
      </c>
      <c r="AJ27" s="25">
        <v>60</v>
      </c>
    </row>
    <row r="28" spans="1:36" x14ac:dyDescent="0.25">
      <c r="A28" s="66" t="s">
        <v>417</v>
      </c>
      <c r="B28" s="33" t="s">
        <v>339</v>
      </c>
      <c r="C28" s="145">
        <v>0.18</v>
      </c>
      <c r="D28" s="145">
        <v>0.18</v>
      </c>
      <c r="E28" s="145">
        <v>0.18</v>
      </c>
      <c r="F28" s="145">
        <v>0.18</v>
      </c>
      <c r="G28" s="25" t="s">
        <v>20</v>
      </c>
      <c r="H28" s="25" t="s">
        <v>20</v>
      </c>
      <c r="I28" s="25" t="s">
        <v>20</v>
      </c>
      <c r="J28" s="25" t="s">
        <v>20</v>
      </c>
      <c r="K28" s="25" t="s">
        <v>20</v>
      </c>
      <c r="L28" s="25" t="s">
        <v>20</v>
      </c>
      <c r="M28" s="25" t="s">
        <v>20</v>
      </c>
      <c r="N28" s="25" t="s">
        <v>20</v>
      </c>
      <c r="O28" s="25" t="s">
        <v>20</v>
      </c>
      <c r="P28" s="25" t="s">
        <v>20</v>
      </c>
      <c r="Q28" s="25" t="s">
        <v>20</v>
      </c>
      <c r="R28" s="25" t="s">
        <v>20</v>
      </c>
      <c r="S28" s="25" t="s">
        <v>20</v>
      </c>
      <c r="T28" s="25" t="s">
        <v>20</v>
      </c>
      <c r="U28" s="31" t="s">
        <v>20</v>
      </c>
      <c r="V28" s="31" t="s">
        <v>20</v>
      </c>
      <c r="W28" s="31" t="s">
        <v>20</v>
      </c>
      <c r="X28" s="31" t="s">
        <v>20</v>
      </c>
      <c r="Y28" s="31" t="s">
        <v>20</v>
      </c>
      <c r="Z28" s="31" t="s">
        <v>20</v>
      </c>
      <c r="AA28" s="31" t="s">
        <v>20</v>
      </c>
      <c r="AB28" s="31" t="s">
        <v>20</v>
      </c>
      <c r="AC28" s="31" t="s">
        <v>20</v>
      </c>
      <c r="AD28" s="31" t="s">
        <v>20</v>
      </c>
      <c r="AE28" s="31" t="s">
        <v>20</v>
      </c>
      <c r="AF28" s="31" t="s">
        <v>20</v>
      </c>
      <c r="AG28" s="32" t="s">
        <v>20</v>
      </c>
      <c r="AH28" s="32" t="s">
        <v>20</v>
      </c>
      <c r="AI28" s="32" t="s">
        <v>20</v>
      </c>
      <c r="AJ28" s="32" t="s">
        <v>20</v>
      </c>
    </row>
    <row r="29" spans="1:36" x14ac:dyDescent="0.25">
      <c r="A29" s="66" t="s">
        <v>468</v>
      </c>
      <c r="B29" s="33" t="s">
        <v>366</v>
      </c>
      <c r="C29" s="25" t="s">
        <v>20</v>
      </c>
      <c r="D29" s="25" t="s">
        <v>20</v>
      </c>
      <c r="E29" s="25" t="s">
        <v>20</v>
      </c>
      <c r="F29" s="25" t="s">
        <v>20</v>
      </c>
      <c r="G29" s="25">
        <f t="shared" ref="G29:Z29" si="53">G27*G3</f>
        <v>1920</v>
      </c>
      <c r="H29" s="25">
        <f t="shared" si="53"/>
        <v>2880</v>
      </c>
      <c r="I29" s="25">
        <f t="shared" si="53"/>
        <v>3840</v>
      </c>
      <c r="J29" s="25">
        <f t="shared" si="53"/>
        <v>5760</v>
      </c>
      <c r="K29" s="25">
        <f t="shared" si="53"/>
        <v>7680</v>
      </c>
      <c r="L29" s="25">
        <f t="shared" ref="L29:R29" si="54">L27*L3</f>
        <v>1920</v>
      </c>
      <c r="M29" s="25">
        <f t="shared" si="54"/>
        <v>2880</v>
      </c>
      <c r="N29" s="25">
        <f t="shared" si="54"/>
        <v>3840</v>
      </c>
      <c r="O29" s="25">
        <f t="shared" si="54"/>
        <v>5760</v>
      </c>
      <c r="P29" s="25">
        <f t="shared" si="54"/>
        <v>7680</v>
      </c>
      <c r="Q29" s="25">
        <f t="shared" ref="Q29:V29" si="55">Q27*Q3</f>
        <v>480</v>
      </c>
      <c r="R29" s="25">
        <f t="shared" si="55"/>
        <v>960</v>
      </c>
      <c r="S29" s="25">
        <f t="shared" ref="S29:T29" si="56">S27*S3</f>
        <v>1920</v>
      </c>
      <c r="T29" s="25">
        <f t="shared" si="56"/>
        <v>3840</v>
      </c>
      <c r="U29" s="31">
        <f t="shared" si="55"/>
        <v>5760</v>
      </c>
      <c r="V29" s="31">
        <f t="shared" si="55"/>
        <v>7680</v>
      </c>
      <c r="W29" s="31">
        <f t="shared" si="53"/>
        <v>11520</v>
      </c>
      <c r="X29" s="31">
        <f t="shared" si="53"/>
        <v>15360</v>
      </c>
      <c r="Y29" s="31">
        <f t="shared" si="53"/>
        <v>5760</v>
      </c>
      <c r="Z29" s="31">
        <f t="shared" si="53"/>
        <v>7680</v>
      </c>
      <c r="AA29" s="31">
        <f t="shared" ref="AA29:AD29" si="57">AA27*AA3</f>
        <v>11520</v>
      </c>
      <c r="AB29" s="31">
        <f t="shared" si="57"/>
        <v>15360</v>
      </c>
      <c r="AC29" s="31">
        <f t="shared" si="57"/>
        <v>5760</v>
      </c>
      <c r="AD29" s="31">
        <f t="shared" si="57"/>
        <v>7680</v>
      </c>
      <c r="AE29" s="31">
        <f t="shared" ref="AE29:AJ29" si="58">AE27*AE3</f>
        <v>11520</v>
      </c>
      <c r="AF29" s="31">
        <f t="shared" si="58"/>
        <v>15360</v>
      </c>
      <c r="AG29" s="32">
        <f t="shared" si="58"/>
        <v>2880</v>
      </c>
      <c r="AH29" s="32">
        <f t="shared" si="58"/>
        <v>3840</v>
      </c>
      <c r="AI29" s="32">
        <f t="shared" si="58"/>
        <v>5760</v>
      </c>
      <c r="AJ29" s="32">
        <f t="shared" si="58"/>
        <v>7680</v>
      </c>
    </row>
    <row r="30" spans="1:36" x14ac:dyDescent="0.25">
      <c r="A30" s="66" t="s">
        <v>418</v>
      </c>
      <c r="B30" s="33" t="s">
        <v>340</v>
      </c>
      <c r="C30" s="25">
        <f>C28*C3</f>
        <v>5.76</v>
      </c>
      <c r="D30" s="25">
        <f>D28*D3</f>
        <v>11.52</v>
      </c>
      <c r="E30" s="25">
        <f>E28*E3</f>
        <v>17.28</v>
      </c>
      <c r="F30" s="25">
        <f>F28*F3</f>
        <v>23.04</v>
      </c>
      <c r="G30" s="25" t="s">
        <v>20</v>
      </c>
      <c r="H30" s="25" t="s">
        <v>20</v>
      </c>
      <c r="I30" s="25" t="s">
        <v>20</v>
      </c>
      <c r="J30" s="25" t="s">
        <v>20</v>
      </c>
      <c r="K30" s="25" t="s">
        <v>20</v>
      </c>
      <c r="L30" s="25" t="s">
        <v>20</v>
      </c>
      <c r="M30" s="25" t="s">
        <v>20</v>
      </c>
      <c r="N30" s="25" t="s">
        <v>20</v>
      </c>
      <c r="O30" s="25" t="s">
        <v>20</v>
      </c>
      <c r="P30" s="25" t="s">
        <v>20</v>
      </c>
      <c r="Q30" s="25" t="s">
        <v>20</v>
      </c>
      <c r="R30" s="25" t="s">
        <v>20</v>
      </c>
      <c r="S30" s="25" t="s">
        <v>20</v>
      </c>
      <c r="T30" s="25" t="s">
        <v>20</v>
      </c>
      <c r="U30" s="31" t="s">
        <v>20</v>
      </c>
      <c r="V30" s="31" t="s">
        <v>20</v>
      </c>
      <c r="W30" s="31" t="s">
        <v>20</v>
      </c>
      <c r="X30" s="31" t="s">
        <v>20</v>
      </c>
      <c r="Y30" s="31" t="s">
        <v>20</v>
      </c>
      <c r="Z30" s="31" t="s">
        <v>20</v>
      </c>
      <c r="AA30" s="31" t="s">
        <v>20</v>
      </c>
      <c r="AB30" s="31" t="s">
        <v>20</v>
      </c>
      <c r="AC30" s="31" t="s">
        <v>20</v>
      </c>
      <c r="AD30" s="31" t="s">
        <v>20</v>
      </c>
      <c r="AE30" s="31" t="s">
        <v>20</v>
      </c>
      <c r="AF30" s="31" t="s">
        <v>20</v>
      </c>
      <c r="AG30" s="32" t="s">
        <v>20</v>
      </c>
      <c r="AH30" s="32" t="s">
        <v>20</v>
      </c>
      <c r="AI30" s="32" t="s">
        <v>20</v>
      </c>
      <c r="AJ30" s="32" t="s">
        <v>20</v>
      </c>
    </row>
    <row r="31" spans="1:36" x14ac:dyDescent="0.25">
      <c r="A31" s="83" t="s">
        <v>419</v>
      </c>
      <c r="B31" s="33" t="s">
        <v>339</v>
      </c>
      <c r="C31" s="25">
        <v>0</v>
      </c>
      <c r="D31" s="25">
        <v>0</v>
      </c>
      <c r="E31" s="25">
        <v>0</v>
      </c>
      <c r="F31" s="25">
        <v>0</v>
      </c>
      <c r="G31" s="25" t="s">
        <v>20</v>
      </c>
      <c r="H31" s="25" t="s">
        <v>20</v>
      </c>
      <c r="I31" s="25" t="s">
        <v>20</v>
      </c>
      <c r="J31" s="25" t="s">
        <v>20</v>
      </c>
      <c r="K31" s="25" t="s">
        <v>20</v>
      </c>
      <c r="L31" s="25" t="s">
        <v>20</v>
      </c>
      <c r="M31" s="25" t="s">
        <v>20</v>
      </c>
      <c r="N31" s="25" t="s">
        <v>20</v>
      </c>
      <c r="O31" s="25" t="s">
        <v>20</v>
      </c>
      <c r="P31" s="25" t="s">
        <v>20</v>
      </c>
      <c r="Q31" s="25" t="s">
        <v>20</v>
      </c>
      <c r="R31" s="25" t="s">
        <v>20</v>
      </c>
      <c r="S31" s="25" t="s">
        <v>20</v>
      </c>
      <c r="T31" s="25" t="s">
        <v>20</v>
      </c>
      <c r="U31" s="31" t="s">
        <v>20</v>
      </c>
      <c r="V31" s="31" t="s">
        <v>20</v>
      </c>
      <c r="W31" s="31" t="s">
        <v>20</v>
      </c>
      <c r="X31" s="31" t="s">
        <v>20</v>
      </c>
      <c r="Y31" s="31" t="s">
        <v>20</v>
      </c>
      <c r="Z31" s="31" t="s">
        <v>20</v>
      </c>
      <c r="AA31" s="31" t="s">
        <v>20</v>
      </c>
      <c r="AB31" s="31" t="s">
        <v>20</v>
      </c>
      <c r="AC31" s="31" t="s">
        <v>20</v>
      </c>
      <c r="AD31" s="31" t="s">
        <v>20</v>
      </c>
      <c r="AE31" s="31" t="s">
        <v>20</v>
      </c>
      <c r="AF31" s="31" t="s">
        <v>20</v>
      </c>
      <c r="AG31" s="32" t="s">
        <v>20</v>
      </c>
      <c r="AH31" s="32" t="s">
        <v>20</v>
      </c>
      <c r="AI31" s="32" t="s">
        <v>20</v>
      </c>
      <c r="AJ31" s="32" t="s">
        <v>20</v>
      </c>
    </row>
    <row r="32" spans="1:36" x14ac:dyDescent="0.25">
      <c r="A32" s="56" t="s">
        <v>101</v>
      </c>
      <c r="B32" s="152" t="s">
        <v>337</v>
      </c>
      <c r="C32" s="25" t="s">
        <v>20</v>
      </c>
      <c r="D32" s="25" t="s">
        <v>20</v>
      </c>
      <c r="E32" s="25" t="s">
        <v>20</v>
      </c>
      <c r="F32" s="25" t="s">
        <v>20</v>
      </c>
      <c r="G32" s="25">
        <v>10</v>
      </c>
      <c r="H32" s="25">
        <v>10</v>
      </c>
      <c r="I32" s="25">
        <v>10</v>
      </c>
      <c r="J32" s="25">
        <v>10</v>
      </c>
      <c r="K32" s="25">
        <v>10</v>
      </c>
      <c r="L32" s="25">
        <v>10</v>
      </c>
      <c r="M32" s="25">
        <v>10</v>
      </c>
      <c r="N32" s="25">
        <v>10</v>
      </c>
      <c r="O32" s="25">
        <v>10</v>
      </c>
      <c r="P32" s="25">
        <v>10</v>
      </c>
      <c r="Q32" s="25">
        <v>10</v>
      </c>
      <c r="R32" s="25">
        <v>10</v>
      </c>
      <c r="S32" s="25">
        <v>10</v>
      </c>
      <c r="T32" s="25">
        <v>10</v>
      </c>
      <c r="U32" s="31">
        <v>10</v>
      </c>
      <c r="V32" s="31">
        <v>10</v>
      </c>
      <c r="W32" s="31">
        <v>10</v>
      </c>
      <c r="X32" s="31">
        <v>10</v>
      </c>
      <c r="Y32" s="31">
        <v>10</v>
      </c>
      <c r="Z32" s="31">
        <v>10</v>
      </c>
      <c r="AA32" s="31">
        <v>10</v>
      </c>
      <c r="AB32" s="31">
        <v>10</v>
      </c>
      <c r="AC32" s="31">
        <v>10</v>
      </c>
      <c r="AD32" s="31">
        <v>10</v>
      </c>
      <c r="AE32" s="31">
        <v>10</v>
      </c>
      <c r="AF32" s="31">
        <v>10</v>
      </c>
      <c r="AG32" s="32">
        <v>10</v>
      </c>
      <c r="AH32" s="32">
        <v>10</v>
      </c>
      <c r="AI32" s="32">
        <v>10</v>
      </c>
      <c r="AJ32" s="32">
        <v>10</v>
      </c>
    </row>
    <row r="33" spans="1:36" x14ac:dyDescent="0.25">
      <c r="A33" s="56" t="s">
        <v>314</v>
      </c>
      <c r="B33" s="152" t="s">
        <v>337</v>
      </c>
      <c r="C33" s="25" t="s">
        <v>20</v>
      </c>
      <c r="D33" s="25" t="s">
        <v>20</v>
      </c>
      <c r="E33" s="25" t="s">
        <v>20</v>
      </c>
      <c r="F33" s="25" t="s">
        <v>20</v>
      </c>
      <c r="G33" s="35">
        <v>30</v>
      </c>
      <c r="H33" s="35">
        <v>30</v>
      </c>
      <c r="I33" s="35">
        <v>30</v>
      </c>
      <c r="J33" s="35">
        <v>30</v>
      </c>
      <c r="K33" s="35">
        <v>30</v>
      </c>
      <c r="L33" s="35">
        <v>30</v>
      </c>
      <c r="M33" s="35">
        <v>30</v>
      </c>
      <c r="N33" s="35">
        <v>30</v>
      </c>
      <c r="O33" s="35">
        <v>30</v>
      </c>
      <c r="P33" s="35">
        <v>30</v>
      </c>
      <c r="Q33" s="35">
        <v>30</v>
      </c>
      <c r="R33" s="35">
        <v>30</v>
      </c>
      <c r="S33" s="35">
        <v>30</v>
      </c>
      <c r="T33" s="35">
        <v>30</v>
      </c>
      <c r="U33" s="31">
        <f>Table517[[#This Row],[Case 1a]]</f>
        <v>30</v>
      </c>
      <c r="V33" s="31">
        <f>Table517[[#This Row],[Case 1a]]</f>
        <v>30</v>
      </c>
      <c r="W33" s="31">
        <f>Table517[[#This Row],[Case 1a]]</f>
        <v>30</v>
      </c>
      <c r="X33" s="31">
        <f>Table517[[#This Row],[Case 1a]]</f>
        <v>30</v>
      </c>
      <c r="Y33" s="31">
        <f>Table517[[#This Row],[Case 1a]]</f>
        <v>30</v>
      </c>
      <c r="Z33" s="31">
        <f>Table517[[#This Row],[Case 1a]]</f>
        <v>30</v>
      </c>
      <c r="AA33" s="31">
        <f>Table517[[#This Row],[Case 1a]]</f>
        <v>30</v>
      </c>
      <c r="AB33" s="31">
        <f>Table517[[#This Row],[Case 1a]]</f>
        <v>30</v>
      </c>
      <c r="AC33" s="31">
        <f>Table517[[#This Row],[Case 1a]]</f>
        <v>30</v>
      </c>
      <c r="AD33" s="31">
        <f>Table517[[#This Row],[Case 1a]]</f>
        <v>30</v>
      </c>
      <c r="AE33" s="31">
        <f>Table517[[#This Row],[Case 1a]]</f>
        <v>30</v>
      </c>
      <c r="AF33" s="31">
        <f>Table517[[#This Row],[Case 1a]]</f>
        <v>30</v>
      </c>
      <c r="AG33" s="32">
        <f>Table517[[#This Row],[Case 1a]]</f>
        <v>30</v>
      </c>
      <c r="AH33" s="32">
        <f>Table517[[#This Row],[Case 1a]]</f>
        <v>30</v>
      </c>
      <c r="AI33" s="32">
        <f>Table517[[#This Row],[Case 1a]]</f>
        <v>30</v>
      </c>
      <c r="AJ33" s="32">
        <f>Table517[[#This Row],[Case 1a]]</f>
        <v>30</v>
      </c>
    </row>
    <row r="34" spans="1:36" x14ac:dyDescent="0.25">
      <c r="A34" s="63" t="s">
        <v>275</v>
      </c>
      <c r="B34" s="41" t="s">
        <v>339</v>
      </c>
      <c r="C34" s="2">
        <v>0.05</v>
      </c>
      <c r="D34" s="2">
        <v>0.05</v>
      </c>
      <c r="E34" s="2">
        <v>0.05</v>
      </c>
      <c r="F34" s="2">
        <v>0.05</v>
      </c>
      <c r="G34" s="25" t="s">
        <v>20</v>
      </c>
      <c r="H34" s="25" t="s">
        <v>20</v>
      </c>
      <c r="I34" s="25" t="s">
        <v>20</v>
      </c>
      <c r="J34" s="25" t="s">
        <v>20</v>
      </c>
      <c r="K34" s="25" t="s">
        <v>20</v>
      </c>
      <c r="L34" s="25" t="s">
        <v>20</v>
      </c>
      <c r="M34" s="25" t="s">
        <v>20</v>
      </c>
      <c r="N34" s="25" t="s">
        <v>20</v>
      </c>
      <c r="O34" s="25" t="s">
        <v>20</v>
      </c>
      <c r="P34" s="25" t="s">
        <v>20</v>
      </c>
      <c r="Q34" s="25" t="s">
        <v>20</v>
      </c>
      <c r="R34" s="25" t="s">
        <v>20</v>
      </c>
      <c r="S34" s="25" t="s">
        <v>20</v>
      </c>
      <c r="T34" s="25" t="s">
        <v>20</v>
      </c>
      <c r="U34" s="31" t="s">
        <v>20</v>
      </c>
      <c r="V34" s="31" t="s">
        <v>20</v>
      </c>
      <c r="W34" s="31" t="s">
        <v>20</v>
      </c>
      <c r="X34" s="31" t="s">
        <v>20</v>
      </c>
      <c r="Y34" s="31" t="s">
        <v>20</v>
      </c>
      <c r="Z34" s="31" t="s">
        <v>20</v>
      </c>
      <c r="AA34" s="31" t="s">
        <v>20</v>
      </c>
      <c r="AB34" s="31" t="s">
        <v>20</v>
      </c>
      <c r="AC34" s="31" t="s">
        <v>20</v>
      </c>
      <c r="AD34" s="31" t="s">
        <v>20</v>
      </c>
      <c r="AE34" s="31" t="s">
        <v>20</v>
      </c>
      <c r="AF34" s="31" t="s">
        <v>20</v>
      </c>
      <c r="AG34" s="32" t="s">
        <v>20</v>
      </c>
      <c r="AH34" s="32" t="s">
        <v>20</v>
      </c>
      <c r="AI34" s="32" t="s">
        <v>20</v>
      </c>
      <c r="AJ34" s="32" t="s">
        <v>20</v>
      </c>
    </row>
    <row r="35" spans="1:36" x14ac:dyDescent="0.25">
      <c r="A35" s="56" t="s">
        <v>276</v>
      </c>
      <c r="B35" s="41" t="s">
        <v>339</v>
      </c>
      <c r="C35" s="149">
        <v>0</v>
      </c>
      <c r="D35" s="149">
        <v>0</v>
      </c>
      <c r="E35" s="149">
        <v>0</v>
      </c>
      <c r="F35" s="149">
        <v>0</v>
      </c>
      <c r="G35" s="25" t="s">
        <v>20</v>
      </c>
      <c r="H35" s="25" t="s">
        <v>20</v>
      </c>
      <c r="I35" s="25" t="s">
        <v>20</v>
      </c>
      <c r="J35" s="25" t="s">
        <v>20</v>
      </c>
      <c r="K35" s="25" t="s">
        <v>20</v>
      </c>
      <c r="L35" s="25" t="s">
        <v>20</v>
      </c>
      <c r="M35" s="25" t="s">
        <v>20</v>
      </c>
      <c r="N35" s="25" t="s">
        <v>20</v>
      </c>
      <c r="O35" s="25" t="s">
        <v>20</v>
      </c>
      <c r="P35" s="25" t="s">
        <v>20</v>
      </c>
      <c r="Q35" s="25" t="s">
        <v>20</v>
      </c>
      <c r="R35" s="25" t="s">
        <v>20</v>
      </c>
      <c r="S35" s="25" t="s">
        <v>20</v>
      </c>
      <c r="T35" s="25" t="s">
        <v>20</v>
      </c>
      <c r="U35" s="31" t="s">
        <v>20</v>
      </c>
      <c r="V35" s="31" t="s">
        <v>20</v>
      </c>
      <c r="W35" s="31" t="s">
        <v>20</v>
      </c>
      <c r="X35" s="31" t="s">
        <v>20</v>
      </c>
      <c r="Y35" s="31" t="s">
        <v>20</v>
      </c>
      <c r="Z35" s="31" t="s">
        <v>20</v>
      </c>
      <c r="AA35" s="31" t="s">
        <v>20</v>
      </c>
      <c r="AB35" s="31" t="s">
        <v>20</v>
      </c>
      <c r="AC35" s="31" t="s">
        <v>20</v>
      </c>
      <c r="AD35" s="31" t="s">
        <v>20</v>
      </c>
      <c r="AE35" s="31" t="s">
        <v>20</v>
      </c>
      <c r="AF35" s="31" t="s">
        <v>20</v>
      </c>
      <c r="AG35" s="32" t="s">
        <v>20</v>
      </c>
      <c r="AH35" s="32" t="s">
        <v>20</v>
      </c>
      <c r="AI35" s="32" t="s">
        <v>20</v>
      </c>
      <c r="AJ35" s="32" t="s">
        <v>20</v>
      </c>
    </row>
    <row r="36" spans="1:36" x14ac:dyDescent="0.25">
      <c r="A36" s="63" t="s">
        <v>277</v>
      </c>
      <c r="B36" s="41" t="s">
        <v>339</v>
      </c>
      <c r="C36" s="2">
        <v>0.08</v>
      </c>
      <c r="D36" s="2">
        <v>0.08</v>
      </c>
      <c r="E36" s="2">
        <v>0.08</v>
      </c>
      <c r="F36" s="2">
        <v>0.08</v>
      </c>
      <c r="G36" s="25" t="s">
        <v>20</v>
      </c>
      <c r="H36" s="25" t="s">
        <v>20</v>
      </c>
      <c r="I36" s="25" t="s">
        <v>20</v>
      </c>
      <c r="J36" s="25" t="s">
        <v>20</v>
      </c>
      <c r="K36" s="25" t="s">
        <v>20</v>
      </c>
      <c r="L36" s="25" t="s">
        <v>20</v>
      </c>
      <c r="M36" s="25" t="s">
        <v>20</v>
      </c>
      <c r="N36" s="25" t="s">
        <v>20</v>
      </c>
      <c r="O36" s="25" t="s">
        <v>20</v>
      </c>
      <c r="P36" s="25" t="s">
        <v>20</v>
      </c>
      <c r="Q36" s="25" t="s">
        <v>20</v>
      </c>
      <c r="R36" s="25" t="s">
        <v>20</v>
      </c>
      <c r="S36" s="25" t="s">
        <v>20</v>
      </c>
      <c r="T36" s="25" t="s">
        <v>20</v>
      </c>
      <c r="U36" s="31" t="s">
        <v>20</v>
      </c>
      <c r="V36" s="31" t="s">
        <v>20</v>
      </c>
      <c r="W36" s="31" t="s">
        <v>20</v>
      </c>
      <c r="X36" s="31" t="s">
        <v>20</v>
      </c>
      <c r="Y36" s="31" t="s">
        <v>20</v>
      </c>
      <c r="Z36" s="31" t="s">
        <v>20</v>
      </c>
      <c r="AA36" s="31" t="s">
        <v>20</v>
      </c>
      <c r="AB36" s="31" t="s">
        <v>20</v>
      </c>
      <c r="AC36" s="31" t="s">
        <v>20</v>
      </c>
      <c r="AD36" s="31" t="s">
        <v>20</v>
      </c>
      <c r="AE36" s="31" t="s">
        <v>20</v>
      </c>
      <c r="AF36" s="31" t="s">
        <v>20</v>
      </c>
      <c r="AG36" s="32" t="s">
        <v>20</v>
      </c>
      <c r="AH36" s="32" t="s">
        <v>20</v>
      </c>
      <c r="AI36" s="32" t="s">
        <v>20</v>
      </c>
      <c r="AJ36" s="32" t="s">
        <v>20</v>
      </c>
    </row>
    <row r="37" spans="1:36" x14ac:dyDescent="0.25">
      <c r="A37" s="63" t="s">
        <v>278</v>
      </c>
      <c r="B37" s="41" t="s">
        <v>339</v>
      </c>
      <c r="C37" s="2">
        <v>0.04</v>
      </c>
      <c r="D37" s="2">
        <v>0.04</v>
      </c>
      <c r="E37" s="2">
        <v>0.04</v>
      </c>
      <c r="F37" s="2">
        <v>0.04</v>
      </c>
      <c r="G37" s="25" t="s">
        <v>20</v>
      </c>
      <c r="H37" s="25" t="s">
        <v>20</v>
      </c>
      <c r="I37" s="25" t="s">
        <v>20</v>
      </c>
      <c r="J37" s="25" t="s">
        <v>20</v>
      </c>
      <c r="K37" s="25" t="s">
        <v>20</v>
      </c>
      <c r="L37" s="25" t="s">
        <v>20</v>
      </c>
      <c r="M37" s="25" t="s">
        <v>20</v>
      </c>
      <c r="N37" s="25" t="s">
        <v>20</v>
      </c>
      <c r="O37" s="25" t="s">
        <v>20</v>
      </c>
      <c r="P37" s="25" t="s">
        <v>20</v>
      </c>
      <c r="Q37" s="25" t="s">
        <v>20</v>
      </c>
      <c r="R37" s="25" t="s">
        <v>20</v>
      </c>
      <c r="S37" s="25" t="s">
        <v>20</v>
      </c>
      <c r="T37" s="25" t="s">
        <v>20</v>
      </c>
      <c r="U37" s="31" t="s">
        <v>20</v>
      </c>
      <c r="V37" s="31" t="s">
        <v>20</v>
      </c>
      <c r="W37" s="31" t="s">
        <v>20</v>
      </c>
      <c r="X37" s="31" t="s">
        <v>20</v>
      </c>
      <c r="Y37" s="31" t="s">
        <v>20</v>
      </c>
      <c r="Z37" s="31" t="s">
        <v>20</v>
      </c>
      <c r="AA37" s="31" t="s">
        <v>20</v>
      </c>
      <c r="AB37" s="31" t="s">
        <v>20</v>
      </c>
      <c r="AC37" s="31" t="s">
        <v>20</v>
      </c>
      <c r="AD37" s="31" t="s">
        <v>20</v>
      </c>
      <c r="AE37" s="31" t="s">
        <v>20</v>
      </c>
      <c r="AF37" s="31" t="s">
        <v>20</v>
      </c>
      <c r="AG37" s="32" t="s">
        <v>20</v>
      </c>
      <c r="AH37" s="32" t="s">
        <v>20</v>
      </c>
      <c r="AI37" s="32" t="s">
        <v>20</v>
      </c>
      <c r="AJ37" s="32" t="s">
        <v>20</v>
      </c>
    </row>
    <row r="38" spans="1:36" x14ac:dyDescent="0.25">
      <c r="A38" s="54" t="s">
        <v>265</v>
      </c>
      <c r="B38" s="152" t="s">
        <v>337</v>
      </c>
      <c r="C38" s="31" t="s">
        <v>20</v>
      </c>
      <c r="D38" s="31" t="s">
        <v>20</v>
      </c>
      <c r="E38" s="31" t="s">
        <v>20</v>
      </c>
      <c r="F38" s="31" t="s">
        <v>20</v>
      </c>
      <c r="G38" s="31">
        <f t="shared" ref="G38:R38" si="59">G32+G33</f>
        <v>40</v>
      </c>
      <c r="H38" s="31">
        <f t="shared" si="59"/>
        <v>40</v>
      </c>
      <c r="I38" s="31">
        <f t="shared" si="59"/>
        <v>40</v>
      </c>
      <c r="J38" s="31">
        <f t="shared" si="59"/>
        <v>40</v>
      </c>
      <c r="K38" s="31">
        <f t="shared" si="59"/>
        <v>40</v>
      </c>
      <c r="L38" s="31">
        <f t="shared" si="59"/>
        <v>40</v>
      </c>
      <c r="M38" s="31">
        <f t="shared" si="59"/>
        <v>40</v>
      </c>
      <c r="N38" s="31">
        <f t="shared" si="59"/>
        <v>40</v>
      </c>
      <c r="O38" s="31">
        <f t="shared" si="59"/>
        <v>40</v>
      </c>
      <c r="P38" s="31">
        <f t="shared" si="59"/>
        <v>40</v>
      </c>
      <c r="Q38" s="31">
        <f t="shared" si="59"/>
        <v>40</v>
      </c>
      <c r="R38" s="31">
        <f t="shared" si="59"/>
        <v>40</v>
      </c>
      <c r="S38" s="31">
        <f t="shared" ref="S38:T38" si="60">S32+S33</f>
        <v>40</v>
      </c>
      <c r="T38" s="31">
        <f t="shared" si="60"/>
        <v>40</v>
      </c>
      <c r="U38" s="31">
        <f>I32+I33</f>
        <v>40</v>
      </c>
      <c r="V38" s="31">
        <f>I32+I33</f>
        <v>40</v>
      </c>
      <c r="W38" s="31">
        <f>K32+K33</f>
        <v>40</v>
      </c>
      <c r="X38" s="31">
        <f>K32+K33</f>
        <v>40</v>
      </c>
      <c r="Y38" s="31">
        <f>N32+N33</f>
        <v>40</v>
      </c>
      <c r="Z38" s="31">
        <f>N32+N33</f>
        <v>40</v>
      </c>
      <c r="AA38" s="31">
        <f>P32+P33</f>
        <v>40</v>
      </c>
      <c r="AB38" s="31">
        <f>P32+P33</f>
        <v>40</v>
      </c>
      <c r="AC38" s="31">
        <f>U32+U33</f>
        <v>40</v>
      </c>
      <c r="AD38" s="31">
        <f>U32+U33</f>
        <v>40</v>
      </c>
      <c r="AE38" s="31">
        <f>W32+W33</f>
        <v>40</v>
      </c>
      <c r="AF38" s="31">
        <f>W32+W33</f>
        <v>40</v>
      </c>
      <c r="AG38" s="32">
        <f>T32+T33</f>
        <v>40</v>
      </c>
      <c r="AH38" s="32">
        <f>AH32+AH33</f>
        <v>40</v>
      </c>
      <c r="AI38" s="32">
        <f>U32+U33</f>
        <v>40</v>
      </c>
      <c r="AJ38" s="32">
        <f>U32+U33</f>
        <v>40</v>
      </c>
    </row>
    <row r="39" spans="1:36" x14ac:dyDescent="0.25">
      <c r="A39" s="54" t="s">
        <v>266</v>
      </c>
      <c r="B39" s="152" t="s">
        <v>337</v>
      </c>
      <c r="C39" s="31" t="s">
        <v>20</v>
      </c>
      <c r="D39" s="31" t="s">
        <v>20</v>
      </c>
      <c r="E39" s="31" t="s">
        <v>20</v>
      </c>
      <c r="F39" s="31" t="s">
        <v>20</v>
      </c>
      <c r="G39" s="31">
        <f t="shared" ref="G39:Z39" si="61">G38*G2</f>
        <v>10240</v>
      </c>
      <c r="H39" s="31">
        <f t="shared" si="61"/>
        <v>15360</v>
      </c>
      <c r="I39" s="31">
        <f t="shared" si="61"/>
        <v>20480</v>
      </c>
      <c r="J39" s="31">
        <f t="shared" si="61"/>
        <v>30720</v>
      </c>
      <c r="K39" s="31">
        <f t="shared" si="61"/>
        <v>40960</v>
      </c>
      <c r="L39" s="31">
        <f t="shared" ref="L39:R39" si="62">L38*L2</f>
        <v>10240</v>
      </c>
      <c r="M39" s="31">
        <f t="shared" si="62"/>
        <v>15360</v>
      </c>
      <c r="N39" s="31">
        <f t="shared" si="62"/>
        <v>20480</v>
      </c>
      <c r="O39" s="31">
        <f t="shared" si="62"/>
        <v>30720</v>
      </c>
      <c r="P39" s="31">
        <f t="shared" si="62"/>
        <v>40960</v>
      </c>
      <c r="Q39" s="31">
        <f t="shared" ref="Q39:V39" si="63">Q38*Q2</f>
        <v>2560</v>
      </c>
      <c r="R39" s="31">
        <f t="shared" si="63"/>
        <v>5120</v>
      </c>
      <c r="S39" s="31">
        <f t="shared" ref="S39:T39" si="64">S38*S2</f>
        <v>10240</v>
      </c>
      <c r="T39" s="31">
        <f t="shared" si="64"/>
        <v>20480</v>
      </c>
      <c r="U39" s="31">
        <f t="shared" si="63"/>
        <v>30720</v>
      </c>
      <c r="V39" s="31">
        <f t="shared" si="63"/>
        <v>40960</v>
      </c>
      <c r="W39" s="31">
        <f t="shared" si="61"/>
        <v>61440</v>
      </c>
      <c r="X39" s="31">
        <f t="shared" si="61"/>
        <v>81920</v>
      </c>
      <c r="Y39" s="31">
        <f t="shared" si="61"/>
        <v>30720</v>
      </c>
      <c r="Z39" s="31">
        <f t="shared" si="61"/>
        <v>40960</v>
      </c>
      <c r="AA39" s="31">
        <f t="shared" ref="AA39:AD39" si="65">AA38*AA2</f>
        <v>61440</v>
      </c>
      <c r="AB39" s="31">
        <f t="shared" si="65"/>
        <v>81920</v>
      </c>
      <c r="AC39" s="31">
        <f t="shared" si="65"/>
        <v>30720</v>
      </c>
      <c r="AD39" s="31">
        <f t="shared" si="65"/>
        <v>40960</v>
      </c>
      <c r="AE39" s="31">
        <f t="shared" ref="AE39:AJ39" si="66">AE38*AE2</f>
        <v>61440</v>
      </c>
      <c r="AF39" s="31">
        <f t="shared" si="66"/>
        <v>81920</v>
      </c>
      <c r="AG39" s="32">
        <f t="shared" si="66"/>
        <v>15360</v>
      </c>
      <c r="AH39" s="32">
        <f t="shared" si="66"/>
        <v>20480</v>
      </c>
      <c r="AI39" s="32">
        <f t="shared" si="66"/>
        <v>30720</v>
      </c>
      <c r="AJ39" s="32">
        <f t="shared" si="66"/>
        <v>40960</v>
      </c>
    </row>
    <row r="40" spans="1:36" x14ac:dyDescent="0.25">
      <c r="A40" s="54" t="s">
        <v>274</v>
      </c>
      <c r="B40" s="40" t="s">
        <v>340</v>
      </c>
      <c r="C40" s="31">
        <f>C36*C2</f>
        <v>20.48</v>
      </c>
      <c r="D40" s="31">
        <f>D36*D2</f>
        <v>40.96</v>
      </c>
      <c r="E40" s="31">
        <f>E36*E2</f>
        <v>61.44</v>
      </c>
      <c r="F40" s="31">
        <f>F36*F2</f>
        <v>81.92</v>
      </c>
      <c r="G40" s="31" t="s">
        <v>20</v>
      </c>
      <c r="H40" s="31" t="s">
        <v>20</v>
      </c>
      <c r="I40" s="31" t="s">
        <v>20</v>
      </c>
      <c r="J40" s="31" t="s">
        <v>20</v>
      </c>
      <c r="K40" s="31" t="s">
        <v>20</v>
      </c>
      <c r="L40" s="31" t="s">
        <v>20</v>
      </c>
      <c r="M40" s="31" t="s">
        <v>20</v>
      </c>
      <c r="N40" s="31" t="s">
        <v>20</v>
      </c>
      <c r="O40" s="31" t="s">
        <v>20</v>
      </c>
      <c r="P40" s="31" t="s">
        <v>20</v>
      </c>
      <c r="Q40" s="31" t="s">
        <v>20</v>
      </c>
      <c r="R40" s="31" t="s">
        <v>20</v>
      </c>
      <c r="S40" s="31" t="s">
        <v>20</v>
      </c>
      <c r="T40" s="31" t="s">
        <v>20</v>
      </c>
      <c r="U40" s="31" t="s">
        <v>20</v>
      </c>
      <c r="V40" s="31" t="s">
        <v>20</v>
      </c>
      <c r="W40" s="31" t="s">
        <v>20</v>
      </c>
      <c r="X40" s="31" t="s">
        <v>20</v>
      </c>
      <c r="Y40" s="31" t="s">
        <v>20</v>
      </c>
      <c r="Z40" s="31" t="s">
        <v>20</v>
      </c>
      <c r="AA40" s="31" t="s">
        <v>20</v>
      </c>
      <c r="AB40" s="31" t="s">
        <v>20</v>
      </c>
      <c r="AC40" s="31" t="s">
        <v>20</v>
      </c>
      <c r="AD40" s="31" t="s">
        <v>20</v>
      </c>
      <c r="AE40" s="31" t="s">
        <v>20</v>
      </c>
      <c r="AF40" s="31" t="s">
        <v>20</v>
      </c>
      <c r="AG40" s="31" t="s">
        <v>20</v>
      </c>
      <c r="AH40" s="31" t="s">
        <v>20</v>
      </c>
      <c r="AI40" s="31" t="s">
        <v>20</v>
      </c>
      <c r="AJ40" s="31" t="s">
        <v>20</v>
      </c>
    </row>
    <row r="41" spans="1:36" x14ac:dyDescent="0.25">
      <c r="A41" s="54" t="s">
        <v>280</v>
      </c>
      <c r="B41" s="40" t="s">
        <v>330</v>
      </c>
      <c r="C41" s="31">
        <f t="shared" ref="C41:Z41" si="67">C2-1</f>
        <v>255</v>
      </c>
      <c r="D41" s="31">
        <f t="shared" si="67"/>
        <v>511</v>
      </c>
      <c r="E41" s="31">
        <f t="shared" si="67"/>
        <v>767</v>
      </c>
      <c r="F41" s="31">
        <f t="shared" si="67"/>
        <v>1023</v>
      </c>
      <c r="G41" s="31">
        <f t="shared" si="67"/>
        <v>255</v>
      </c>
      <c r="H41" s="31">
        <f t="shared" si="67"/>
        <v>383</v>
      </c>
      <c r="I41" s="31">
        <f t="shared" si="67"/>
        <v>511</v>
      </c>
      <c r="J41" s="31">
        <f t="shared" si="67"/>
        <v>767</v>
      </c>
      <c r="K41" s="31">
        <f t="shared" si="67"/>
        <v>1023</v>
      </c>
      <c r="L41" s="31">
        <f t="shared" ref="L41:R41" si="68">L2-1</f>
        <v>255</v>
      </c>
      <c r="M41" s="31">
        <f t="shared" si="68"/>
        <v>383</v>
      </c>
      <c r="N41" s="31">
        <f t="shared" si="68"/>
        <v>511</v>
      </c>
      <c r="O41" s="31">
        <f t="shared" si="68"/>
        <v>767</v>
      </c>
      <c r="P41" s="31">
        <f t="shared" si="68"/>
        <v>1023</v>
      </c>
      <c r="Q41" s="31">
        <f t="shared" ref="Q41:V41" si="69">Q2-1</f>
        <v>63</v>
      </c>
      <c r="R41" s="31">
        <f t="shared" si="69"/>
        <v>127</v>
      </c>
      <c r="S41" s="31">
        <f t="shared" ref="S41:T41" si="70">S2-1</f>
        <v>255</v>
      </c>
      <c r="T41" s="31">
        <f t="shared" si="70"/>
        <v>511</v>
      </c>
      <c r="U41" s="31">
        <f t="shared" si="69"/>
        <v>767</v>
      </c>
      <c r="V41" s="31">
        <f t="shared" si="69"/>
        <v>1023</v>
      </c>
      <c r="W41" s="31">
        <f t="shared" si="67"/>
        <v>1535</v>
      </c>
      <c r="X41" s="31">
        <f t="shared" si="67"/>
        <v>2047</v>
      </c>
      <c r="Y41" s="31">
        <f t="shared" si="67"/>
        <v>767</v>
      </c>
      <c r="Z41" s="31">
        <f t="shared" si="67"/>
        <v>1023</v>
      </c>
      <c r="AA41" s="31">
        <f t="shared" ref="AA41:AD41" si="71">AA2-1</f>
        <v>1535</v>
      </c>
      <c r="AB41" s="31">
        <f t="shared" si="71"/>
        <v>2047</v>
      </c>
      <c r="AC41" s="31">
        <f t="shared" si="71"/>
        <v>767</v>
      </c>
      <c r="AD41" s="31">
        <f t="shared" si="71"/>
        <v>1023</v>
      </c>
      <c r="AE41" s="31">
        <f t="shared" ref="AE41:AJ41" si="72">AE2-1</f>
        <v>1535</v>
      </c>
      <c r="AF41" s="31">
        <f t="shared" si="72"/>
        <v>2047</v>
      </c>
      <c r="AG41" s="32">
        <f t="shared" si="72"/>
        <v>383</v>
      </c>
      <c r="AH41" s="32">
        <f t="shared" si="72"/>
        <v>511</v>
      </c>
      <c r="AI41" s="32">
        <f t="shared" si="72"/>
        <v>767</v>
      </c>
      <c r="AJ41" s="32">
        <f t="shared" si="72"/>
        <v>1023</v>
      </c>
    </row>
    <row r="42" spans="1:36" x14ac:dyDescent="0.25">
      <c r="A42" s="54" t="s">
        <v>485</v>
      </c>
      <c r="B42" s="40" t="s">
        <v>340</v>
      </c>
      <c r="C42" s="31">
        <f>C37*C41</f>
        <v>10.200000000000001</v>
      </c>
      <c r="D42" s="31">
        <f>D37*D41</f>
        <v>20.440000000000001</v>
      </c>
      <c r="E42" s="31">
        <f>E37*E41</f>
        <v>30.68</v>
      </c>
      <c r="F42" s="31">
        <f>F37*F41</f>
        <v>40.92</v>
      </c>
      <c r="G42" s="31" t="s">
        <v>20</v>
      </c>
      <c r="H42" s="31" t="s">
        <v>20</v>
      </c>
      <c r="I42" s="31" t="s">
        <v>20</v>
      </c>
      <c r="J42" s="31" t="s">
        <v>20</v>
      </c>
      <c r="K42" s="31" t="s">
        <v>20</v>
      </c>
      <c r="L42" s="31" t="s">
        <v>20</v>
      </c>
      <c r="M42" s="31" t="s">
        <v>20</v>
      </c>
      <c r="N42" s="31" t="s">
        <v>20</v>
      </c>
      <c r="O42" s="31" t="s">
        <v>20</v>
      </c>
      <c r="P42" s="31" t="s">
        <v>20</v>
      </c>
      <c r="Q42" s="31" t="s">
        <v>20</v>
      </c>
      <c r="R42" s="31" t="s">
        <v>20</v>
      </c>
      <c r="S42" s="31" t="s">
        <v>20</v>
      </c>
      <c r="T42" s="31" t="s">
        <v>20</v>
      </c>
      <c r="U42" s="31" t="s">
        <v>20</v>
      </c>
      <c r="V42" s="31" t="s">
        <v>20</v>
      </c>
      <c r="W42" s="31" t="s">
        <v>20</v>
      </c>
      <c r="X42" s="31" t="s">
        <v>20</v>
      </c>
      <c r="Y42" s="31" t="s">
        <v>20</v>
      </c>
      <c r="Z42" s="31" t="s">
        <v>20</v>
      </c>
      <c r="AA42" s="31" t="s">
        <v>20</v>
      </c>
      <c r="AB42" s="31" t="s">
        <v>20</v>
      </c>
      <c r="AC42" s="31" t="s">
        <v>20</v>
      </c>
      <c r="AD42" s="31" t="s">
        <v>20</v>
      </c>
      <c r="AE42" s="31" t="s">
        <v>20</v>
      </c>
      <c r="AF42" s="31" t="s">
        <v>20</v>
      </c>
      <c r="AG42" s="32" t="s">
        <v>20</v>
      </c>
      <c r="AH42" s="32" t="s">
        <v>20</v>
      </c>
      <c r="AI42" s="32" t="s">
        <v>20</v>
      </c>
      <c r="AJ42" s="32" t="s">
        <v>20</v>
      </c>
    </row>
    <row r="43" spans="1:36" x14ac:dyDescent="0.25">
      <c r="A43" s="56" t="s">
        <v>469</v>
      </c>
      <c r="B43" s="33" t="s">
        <v>366</v>
      </c>
      <c r="C43" s="25" t="s">
        <v>20</v>
      </c>
      <c r="D43" s="25" t="s">
        <v>20</v>
      </c>
      <c r="E43" s="25" t="s">
        <v>20</v>
      </c>
      <c r="F43" s="25" t="s">
        <v>20</v>
      </c>
      <c r="G43" s="25">
        <f t="shared" ref="G43:Z43" si="73">G32*G2</f>
        <v>2560</v>
      </c>
      <c r="H43" s="25">
        <f t="shared" si="73"/>
        <v>3840</v>
      </c>
      <c r="I43" s="25">
        <f t="shared" si="73"/>
        <v>5120</v>
      </c>
      <c r="J43" s="25">
        <f t="shared" si="73"/>
        <v>7680</v>
      </c>
      <c r="K43" s="25">
        <f t="shared" si="73"/>
        <v>10240</v>
      </c>
      <c r="L43" s="25">
        <f t="shared" ref="L43:R43" si="74">L32*L2</f>
        <v>2560</v>
      </c>
      <c r="M43" s="25">
        <f t="shared" si="74"/>
        <v>3840</v>
      </c>
      <c r="N43" s="25">
        <f t="shared" si="74"/>
        <v>5120</v>
      </c>
      <c r="O43" s="25">
        <f t="shared" si="74"/>
        <v>7680</v>
      </c>
      <c r="P43" s="25">
        <f t="shared" si="74"/>
        <v>10240</v>
      </c>
      <c r="Q43" s="25">
        <f t="shared" ref="Q43:V43" si="75">Q32*Q2</f>
        <v>640</v>
      </c>
      <c r="R43" s="25">
        <f t="shared" si="75"/>
        <v>1280</v>
      </c>
      <c r="S43" s="25">
        <f t="shared" ref="S43:T43" si="76">S32*S2</f>
        <v>2560</v>
      </c>
      <c r="T43" s="25">
        <f t="shared" si="76"/>
        <v>5120</v>
      </c>
      <c r="U43" s="31">
        <f t="shared" si="75"/>
        <v>7680</v>
      </c>
      <c r="V43" s="31">
        <f t="shared" si="75"/>
        <v>10240</v>
      </c>
      <c r="W43" s="31">
        <f t="shared" si="73"/>
        <v>15360</v>
      </c>
      <c r="X43" s="31">
        <f t="shared" si="73"/>
        <v>20480</v>
      </c>
      <c r="Y43" s="31">
        <f t="shared" si="73"/>
        <v>7680</v>
      </c>
      <c r="Z43" s="31">
        <f t="shared" si="73"/>
        <v>10240</v>
      </c>
      <c r="AA43" s="31">
        <f t="shared" ref="AA43:AD43" si="77">AA32*AA2</f>
        <v>15360</v>
      </c>
      <c r="AB43" s="31">
        <f t="shared" si="77"/>
        <v>20480</v>
      </c>
      <c r="AC43" s="31">
        <f t="shared" si="77"/>
        <v>7680</v>
      </c>
      <c r="AD43" s="31">
        <f t="shared" si="77"/>
        <v>10240</v>
      </c>
      <c r="AE43" s="31">
        <f t="shared" ref="AE43:AJ43" si="78">AE32*AE2</f>
        <v>15360</v>
      </c>
      <c r="AF43" s="31">
        <f t="shared" si="78"/>
        <v>20480</v>
      </c>
      <c r="AG43" s="32">
        <f t="shared" si="78"/>
        <v>3840</v>
      </c>
      <c r="AH43" s="32">
        <f t="shared" si="78"/>
        <v>5120</v>
      </c>
      <c r="AI43" s="32">
        <f t="shared" si="78"/>
        <v>7680</v>
      </c>
      <c r="AJ43" s="32">
        <f t="shared" si="78"/>
        <v>10240</v>
      </c>
    </row>
    <row r="44" spans="1:36" x14ac:dyDescent="0.25">
      <c r="A44" s="64" t="s">
        <v>369</v>
      </c>
      <c r="B44" s="152" t="s">
        <v>337</v>
      </c>
      <c r="C44" s="25" t="s">
        <v>20</v>
      </c>
      <c r="D44" s="25" t="s">
        <v>20</v>
      </c>
      <c r="E44" s="25" t="s">
        <v>20</v>
      </c>
      <c r="F44" s="25" t="s">
        <v>20</v>
      </c>
      <c r="G44" s="25">
        <v>40</v>
      </c>
      <c r="H44" s="25">
        <v>40</v>
      </c>
      <c r="I44" s="25">
        <v>40</v>
      </c>
      <c r="J44" s="25">
        <v>40</v>
      </c>
      <c r="K44" s="25">
        <v>40</v>
      </c>
      <c r="L44" s="25">
        <v>40</v>
      </c>
      <c r="M44" s="25">
        <v>40</v>
      </c>
      <c r="N44" s="25">
        <v>40</v>
      </c>
      <c r="O44" s="25">
        <v>40</v>
      </c>
      <c r="P44" s="25">
        <v>40</v>
      </c>
      <c r="Q44" s="25">
        <v>40</v>
      </c>
      <c r="R44" s="25">
        <v>40</v>
      </c>
      <c r="S44" s="25">
        <v>40</v>
      </c>
      <c r="T44" s="25">
        <v>40</v>
      </c>
      <c r="U44" s="31">
        <f>Table517[[#This Row],[Case 1a]]</f>
        <v>40</v>
      </c>
      <c r="V44" s="31">
        <f>Table517[[#This Row],[Case 1a]]</f>
        <v>40</v>
      </c>
      <c r="W44" s="31">
        <f>Table517[[#This Row],[Case 1a]]</f>
        <v>40</v>
      </c>
      <c r="X44" s="31">
        <f>Table517[[#This Row],[Case 1a]]</f>
        <v>40</v>
      </c>
      <c r="Y44" s="31">
        <f>Table517[[#This Row],[Case 1a]]</f>
        <v>40</v>
      </c>
      <c r="Z44" s="31">
        <f>Table517[[#This Row],[Case 1a]]</f>
        <v>40</v>
      </c>
      <c r="AA44" s="31">
        <f>Table517[[#This Row],[Case 1a]]</f>
        <v>40</v>
      </c>
      <c r="AB44" s="31">
        <f>Table517[[#This Row],[Case 1a]]</f>
        <v>40</v>
      </c>
      <c r="AC44" s="31">
        <f>Table517[[#This Row],[Case 1a]]</f>
        <v>40</v>
      </c>
      <c r="AD44" s="31">
        <f>Table517[[#This Row],[Case 1a]]</f>
        <v>40</v>
      </c>
      <c r="AE44" s="31">
        <f>Table517[[#This Row],[Case 1a]]</f>
        <v>40</v>
      </c>
      <c r="AF44" s="31">
        <f>Table517[[#This Row],[Case 1a]]</f>
        <v>40</v>
      </c>
      <c r="AG44" s="32">
        <f>Table517[[#This Row],[Case 1a]]</f>
        <v>40</v>
      </c>
      <c r="AH44" s="32">
        <f>Table517[[#This Row],[Case 1a]]</f>
        <v>40</v>
      </c>
      <c r="AI44" s="32">
        <f>Table517[[#This Row],[Case 1a]]</f>
        <v>40</v>
      </c>
      <c r="AJ44" s="32">
        <f>Table517[[#This Row],[Case 1a]]</f>
        <v>40</v>
      </c>
    </row>
    <row r="45" spans="1:36" x14ac:dyDescent="0.25">
      <c r="A45" s="64" t="s">
        <v>370</v>
      </c>
      <c r="B45" s="152" t="s">
        <v>339</v>
      </c>
      <c r="C45" s="145">
        <v>2.5000000000000001E-2</v>
      </c>
      <c r="D45" s="145">
        <v>2.5000000000000001E-2</v>
      </c>
      <c r="E45" s="145">
        <v>2.5000000000000001E-2</v>
      </c>
      <c r="F45" s="145">
        <v>2.5000000000000001E-2</v>
      </c>
      <c r="G45" s="25" t="s">
        <v>20</v>
      </c>
      <c r="H45" s="25" t="s">
        <v>20</v>
      </c>
      <c r="I45" s="25" t="s">
        <v>20</v>
      </c>
      <c r="J45" s="25" t="s">
        <v>20</v>
      </c>
      <c r="K45" s="25" t="s">
        <v>20</v>
      </c>
      <c r="L45" s="25" t="s">
        <v>20</v>
      </c>
      <c r="M45" s="25" t="s">
        <v>20</v>
      </c>
      <c r="N45" s="25" t="s">
        <v>20</v>
      </c>
      <c r="O45" s="25" t="s">
        <v>20</v>
      </c>
      <c r="P45" s="25" t="s">
        <v>20</v>
      </c>
      <c r="Q45" s="25" t="s">
        <v>20</v>
      </c>
      <c r="R45" s="25" t="s">
        <v>20</v>
      </c>
      <c r="S45" s="25" t="s">
        <v>20</v>
      </c>
      <c r="T45" s="25" t="s">
        <v>20</v>
      </c>
      <c r="U45" s="31" t="s">
        <v>20</v>
      </c>
      <c r="V45" s="31" t="s">
        <v>20</v>
      </c>
      <c r="W45" s="31" t="s">
        <v>20</v>
      </c>
      <c r="X45" s="31" t="s">
        <v>20</v>
      </c>
      <c r="Y45" s="31" t="s">
        <v>20</v>
      </c>
      <c r="Z45" s="31" t="s">
        <v>20</v>
      </c>
      <c r="AA45" s="31" t="s">
        <v>20</v>
      </c>
      <c r="AB45" s="31" t="s">
        <v>20</v>
      </c>
      <c r="AC45" s="31" t="s">
        <v>20</v>
      </c>
      <c r="AD45" s="31" t="s">
        <v>20</v>
      </c>
      <c r="AE45" s="31" t="s">
        <v>20</v>
      </c>
      <c r="AF45" s="31" t="s">
        <v>20</v>
      </c>
      <c r="AG45" s="32" t="s">
        <v>20</v>
      </c>
      <c r="AH45" s="32" t="s">
        <v>20</v>
      </c>
      <c r="AI45" s="32" t="s">
        <v>20</v>
      </c>
      <c r="AJ45" s="32" t="s">
        <v>20</v>
      </c>
    </row>
    <row r="46" spans="1:36" x14ac:dyDescent="0.25">
      <c r="A46" s="64" t="s">
        <v>483</v>
      </c>
      <c r="B46" s="152" t="s">
        <v>330</v>
      </c>
      <c r="C46" s="29">
        <f t="shared" ref="C46:Z46" si="79">(C2/4+C2)</f>
        <v>320</v>
      </c>
      <c r="D46" s="29">
        <f t="shared" si="79"/>
        <v>640</v>
      </c>
      <c r="E46" s="29">
        <f t="shared" si="79"/>
        <v>960</v>
      </c>
      <c r="F46" s="29">
        <f t="shared" si="79"/>
        <v>1280</v>
      </c>
      <c r="G46" s="29">
        <f t="shared" si="79"/>
        <v>320</v>
      </c>
      <c r="H46" s="29">
        <f t="shared" si="79"/>
        <v>480</v>
      </c>
      <c r="I46" s="29">
        <f t="shared" si="79"/>
        <v>640</v>
      </c>
      <c r="J46" s="29">
        <f t="shared" si="79"/>
        <v>960</v>
      </c>
      <c r="K46" s="29">
        <f t="shared" si="79"/>
        <v>1280</v>
      </c>
      <c r="L46" s="29">
        <f t="shared" ref="L46:R46" si="80">(L2/4+L2)</f>
        <v>320</v>
      </c>
      <c r="M46" s="29">
        <f t="shared" si="80"/>
        <v>480</v>
      </c>
      <c r="N46" s="29">
        <f t="shared" si="80"/>
        <v>640</v>
      </c>
      <c r="O46" s="29">
        <f t="shared" si="80"/>
        <v>960</v>
      </c>
      <c r="P46" s="29">
        <f t="shared" si="80"/>
        <v>1280</v>
      </c>
      <c r="Q46" s="29">
        <f t="shared" ref="Q46:V46" si="81">(Q2/4+Q2)</f>
        <v>80</v>
      </c>
      <c r="R46" s="29">
        <f t="shared" si="81"/>
        <v>160</v>
      </c>
      <c r="S46" s="29">
        <f t="shared" ref="S46:T46" si="82">(S2/4+S2)</f>
        <v>320</v>
      </c>
      <c r="T46" s="29">
        <f t="shared" si="82"/>
        <v>640</v>
      </c>
      <c r="U46" s="29">
        <f t="shared" si="81"/>
        <v>960</v>
      </c>
      <c r="V46" s="29">
        <f t="shared" si="81"/>
        <v>1280</v>
      </c>
      <c r="W46" s="29">
        <f t="shared" si="79"/>
        <v>1920</v>
      </c>
      <c r="X46" s="29">
        <f t="shared" si="79"/>
        <v>2560</v>
      </c>
      <c r="Y46" s="29">
        <f t="shared" si="79"/>
        <v>960</v>
      </c>
      <c r="Z46" s="29">
        <f t="shared" si="79"/>
        <v>1280</v>
      </c>
      <c r="AA46" s="29">
        <f t="shared" ref="AA46:AD46" si="83">(AA2/4+AA2)</f>
        <v>1920</v>
      </c>
      <c r="AB46" s="29">
        <f t="shared" si="83"/>
        <v>2560</v>
      </c>
      <c r="AC46" s="29">
        <f t="shared" si="83"/>
        <v>960</v>
      </c>
      <c r="AD46" s="29">
        <f t="shared" si="83"/>
        <v>1280</v>
      </c>
      <c r="AE46" s="29">
        <f t="shared" ref="AE46:AJ46" si="84">(AE2/4+AE2)</f>
        <v>1920</v>
      </c>
      <c r="AF46" s="29">
        <f t="shared" si="84"/>
        <v>2560</v>
      </c>
      <c r="AG46" s="29">
        <f t="shared" si="84"/>
        <v>480</v>
      </c>
      <c r="AH46" s="29">
        <f t="shared" si="84"/>
        <v>640</v>
      </c>
      <c r="AI46" s="29">
        <f t="shared" si="84"/>
        <v>960</v>
      </c>
      <c r="AJ46" s="29">
        <f t="shared" si="84"/>
        <v>1280</v>
      </c>
    </row>
    <row r="47" spans="1:36" x14ac:dyDescent="0.25">
      <c r="A47" s="64" t="s">
        <v>471</v>
      </c>
      <c r="B47" s="152" t="s">
        <v>340</v>
      </c>
      <c r="C47" s="25">
        <f>C45*C46</f>
        <v>8</v>
      </c>
      <c r="D47" s="25">
        <f t="shared" ref="D47:F47" si="85">D45*D46</f>
        <v>16</v>
      </c>
      <c r="E47" s="25">
        <f t="shared" si="85"/>
        <v>24</v>
      </c>
      <c r="F47" s="25">
        <f t="shared" si="85"/>
        <v>32</v>
      </c>
      <c r="G47" s="25" t="s">
        <v>20</v>
      </c>
      <c r="H47" s="25" t="s">
        <v>20</v>
      </c>
      <c r="I47" s="25" t="s">
        <v>20</v>
      </c>
      <c r="J47" s="25" t="s">
        <v>20</v>
      </c>
      <c r="K47" s="25" t="s">
        <v>20</v>
      </c>
      <c r="L47" s="25" t="s">
        <v>20</v>
      </c>
      <c r="M47" s="25" t="s">
        <v>20</v>
      </c>
      <c r="N47" s="25" t="s">
        <v>20</v>
      </c>
      <c r="O47" s="25" t="s">
        <v>20</v>
      </c>
      <c r="P47" s="25" t="s">
        <v>20</v>
      </c>
      <c r="Q47" s="25" t="s">
        <v>20</v>
      </c>
      <c r="R47" s="25" t="s">
        <v>20</v>
      </c>
      <c r="S47" s="25" t="s">
        <v>20</v>
      </c>
      <c r="T47" s="25" t="s">
        <v>20</v>
      </c>
      <c r="U47" s="31" t="s">
        <v>20</v>
      </c>
      <c r="V47" s="31" t="s">
        <v>20</v>
      </c>
      <c r="W47" s="31" t="s">
        <v>20</v>
      </c>
      <c r="X47" s="31" t="s">
        <v>20</v>
      </c>
      <c r="Y47" s="31" t="s">
        <v>20</v>
      </c>
      <c r="Z47" s="31" t="s">
        <v>20</v>
      </c>
      <c r="AA47" s="31" t="s">
        <v>20</v>
      </c>
      <c r="AB47" s="31" t="s">
        <v>20</v>
      </c>
      <c r="AC47" s="31" t="s">
        <v>20</v>
      </c>
      <c r="AD47" s="31" t="s">
        <v>20</v>
      </c>
      <c r="AE47" s="31" t="s">
        <v>20</v>
      </c>
      <c r="AF47" s="31" t="s">
        <v>20</v>
      </c>
      <c r="AG47" s="32" t="s">
        <v>20</v>
      </c>
      <c r="AH47" s="32" t="s">
        <v>20</v>
      </c>
      <c r="AI47" s="32" t="s">
        <v>20</v>
      </c>
      <c r="AJ47" s="32" t="s">
        <v>20</v>
      </c>
    </row>
    <row r="48" spans="1:36" x14ac:dyDescent="0.25">
      <c r="A48" s="64" t="s">
        <v>414</v>
      </c>
      <c r="B48" s="33" t="s">
        <v>366</v>
      </c>
      <c r="C48" s="25" t="s">
        <v>20</v>
      </c>
      <c r="D48" s="25" t="s">
        <v>20</v>
      </c>
      <c r="E48" s="25" t="s">
        <v>20</v>
      </c>
      <c r="F48" s="25" t="s">
        <v>20</v>
      </c>
      <c r="G48" s="25">
        <f>G44*G46</f>
        <v>12800</v>
      </c>
      <c r="H48" s="25">
        <f>H44*H46</f>
        <v>19200</v>
      </c>
      <c r="I48" s="25">
        <f t="shared" ref="I48:Z48" si="86">I44*I46</f>
        <v>25600</v>
      </c>
      <c r="J48" s="25">
        <f t="shared" si="86"/>
        <v>38400</v>
      </c>
      <c r="K48" s="25">
        <f t="shared" si="86"/>
        <v>51200</v>
      </c>
      <c r="L48" s="25">
        <f>L44*L46</f>
        <v>12800</v>
      </c>
      <c r="M48" s="25">
        <f>M44*M46</f>
        <v>19200</v>
      </c>
      <c r="N48" s="25">
        <f t="shared" ref="N48:P48" si="87">N44*N46</f>
        <v>25600</v>
      </c>
      <c r="O48" s="25">
        <f t="shared" si="87"/>
        <v>38400</v>
      </c>
      <c r="P48" s="25">
        <f t="shared" si="87"/>
        <v>51200</v>
      </c>
      <c r="Q48" s="25">
        <f>Q44*Q46</f>
        <v>3200</v>
      </c>
      <c r="R48" s="25">
        <f t="shared" ref="R48:V48" si="88">R44*R46</f>
        <v>6400</v>
      </c>
      <c r="S48" s="25">
        <f>S44*S46</f>
        <v>12800</v>
      </c>
      <c r="T48" s="25">
        <f t="shared" ref="R48:T48" si="89">T44*T46</f>
        <v>25600</v>
      </c>
      <c r="U48" s="25">
        <f t="shared" si="88"/>
        <v>38400</v>
      </c>
      <c r="V48" s="25">
        <f t="shared" si="88"/>
        <v>51200</v>
      </c>
      <c r="W48" s="25">
        <f t="shared" si="86"/>
        <v>76800</v>
      </c>
      <c r="X48" s="25">
        <f t="shared" si="86"/>
        <v>102400</v>
      </c>
      <c r="Y48" s="25">
        <f t="shared" si="86"/>
        <v>38400</v>
      </c>
      <c r="Z48" s="25">
        <f t="shared" si="86"/>
        <v>51200</v>
      </c>
      <c r="AA48" s="25">
        <f t="shared" ref="AA48:AD48" si="90">AA44*AA46</f>
        <v>76800</v>
      </c>
      <c r="AB48" s="25">
        <f t="shared" si="90"/>
        <v>102400</v>
      </c>
      <c r="AC48" s="25">
        <f t="shared" si="90"/>
        <v>38400</v>
      </c>
      <c r="AD48" s="25">
        <f t="shared" si="90"/>
        <v>51200</v>
      </c>
      <c r="AE48" s="25">
        <f t="shared" ref="AE48:AJ48" si="91">AE44*AE46</f>
        <v>76800</v>
      </c>
      <c r="AF48" s="25">
        <f t="shared" si="91"/>
        <v>102400</v>
      </c>
      <c r="AG48" s="25">
        <f t="shared" si="91"/>
        <v>19200</v>
      </c>
      <c r="AH48" s="25">
        <f t="shared" si="91"/>
        <v>25600</v>
      </c>
      <c r="AI48" s="25">
        <f t="shared" si="91"/>
        <v>38400</v>
      </c>
      <c r="AJ48" s="25">
        <f t="shared" si="91"/>
        <v>51200</v>
      </c>
    </row>
    <row r="49" spans="1:36" x14ac:dyDescent="0.25">
      <c r="A49" s="72" t="s">
        <v>521</v>
      </c>
      <c r="B49" s="33" t="s">
        <v>342</v>
      </c>
      <c r="C49" s="25" t="s">
        <v>20</v>
      </c>
      <c r="D49" s="25" t="s">
        <v>20</v>
      </c>
      <c r="E49" s="25" t="s">
        <v>20</v>
      </c>
      <c r="F49" s="25" t="s">
        <v>20</v>
      </c>
      <c r="G49" s="43">
        <v>0.19800000000000001</v>
      </c>
      <c r="H49" s="43">
        <v>-1</v>
      </c>
      <c r="I49" s="43">
        <v>-3.548</v>
      </c>
      <c r="J49" s="43">
        <v>-5.66</v>
      </c>
      <c r="K49" s="43">
        <v>-7.11</v>
      </c>
      <c r="L49" s="43">
        <v>-2.0299999999999998</v>
      </c>
      <c r="M49" s="43">
        <v>-4</v>
      </c>
      <c r="N49" s="43">
        <v>-7.39</v>
      </c>
      <c r="O49" s="43">
        <v>-9.92</v>
      </c>
      <c r="P49" s="43">
        <v>-11.507</v>
      </c>
      <c r="Q49" s="43">
        <v>-8.81</v>
      </c>
      <c r="R49" s="43">
        <v>-9.08</v>
      </c>
      <c r="S49" s="43">
        <v>-9.98</v>
      </c>
      <c r="T49" s="43">
        <v>-10.77</v>
      </c>
      <c r="U49" s="44">
        <v>-1.06</v>
      </c>
      <c r="V49" s="44">
        <v>-2.2400000000000002</v>
      </c>
      <c r="W49" s="44">
        <v>-4.0199999999999996</v>
      </c>
      <c r="X49" s="44">
        <v>-5.27</v>
      </c>
      <c r="Y49" s="44">
        <v>-0.18</v>
      </c>
      <c r="Z49" s="44">
        <v>-1.34</v>
      </c>
      <c r="AA49" s="44">
        <v>-3.07</v>
      </c>
      <c r="AB49" s="44">
        <v>-4.32</v>
      </c>
      <c r="AC49" s="44">
        <v>1.43</v>
      </c>
      <c r="AD49" s="44">
        <v>0.33</v>
      </c>
      <c r="AE49" s="44">
        <v>-1.21</v>
      </c>
      <c r="AF49" s="44">
        <v>-2.38</v>
      </c>
      <c r="AG49" s="109">
        <v>-4.9800000000000004</v>
      </c>
      <c r="AH49" s="109">
        <v>-6.23</v>
      </c>
      <c r="AI49" s="109">
        <v>-7.98</v>
      </c>
      <c r="AJ49" s="109">
        <v>-9.2200000000000006</v>
      </c>
    </row>
    <row r="50" spans="1:36" x14ac:dyDescent="0.25">
      <c r="A50" s="72" t="s">
        <v>446</v>
      </c>
      <c r="B50" s="33" t="s">
        <v>342</v>
      </c>
      <c r="C50" s="25" t="s">
        <v>20</v>
      </c>
      <c r="D50" s="25" t="s">
        <v>20</v>
      </c>
      <c r="E50" s="25" t="s">
        <v>20</v>
      </c>
      <c r="F50" s="25" t="s">
        <v>20</v>
      </c>
      <c r="G50" s="43">
        <f>46+G49</f>
        <v>46.198</v>
      </c>
      <c r="H50" s="43">
        <f t="shared" ref="H50:Z50" si="92">46+H49</f>
        <v>45</v>
      </c>
      <c r="I50" s="43">
        <f t="shared" si="92"/>
        <v>42.451999999999998</v>
      </c>
      <c r="J50" s="43">
        <f t="shared" si="92"/>
        <v>40.340000000000003</v>
      </c>
      <c r="K50" s="43">
        <f t="shared" si="92"/>
        <v>38.89</v>
      </c>
      <c r="L50" s="43">
        <f>46+L49</f>
        <v>43.97</v>
      </c>
      <c r="M50" s="43">
        <f t="shared" ref="M50:P50" si="93">46+M49</f>
        <v>42</v>
      </c>
      <c r="N50" s="43">
        <f t="shared" si="93"/>
        <v>38.61</v>
      </c>
      <c r="O50" s="43">
        <f t="shared" si="93"/>
        <v>36.08</v>
      </c>
      <c r="P50" s="43">
        <f t="shared" si="93"/>
        <v>34.493000000000002</v>
      </c>
      <c r="Q50" s="43">
        <f>46+Q49</f>
        <v>37.19</v>
      </c>
      <c r="R50" s="43">
        <f t="shared" ref="R50:V50" si="94">46+R49</f>
        <v>36.92</v>
      </c>
      <c r="S50" s="43">
        <f>46+S49</f>
        <v>36.019999999999996</v>
      </c>
      <c r="T50" s="43">
        <f t="shared" ref="R50:T50" si="95">46+T49</f>
        <v>35.230000000000004</v>
      </c>
      <c r="U50" s="43">
        <f t="shared" si="94"/>
        <v>44.94</v>
      </c>
      <c r="V50" s="43">
        <f t="shared" si="94"/>
        <v>43.76</v>
      </c>
      <c r="W50" s="43">
        <f t="shared" si="92"/>
        <v>41.980000000000004</v>
      </c>
      <c r="X50" s="43">
        <f t="shared" si="92"/>
        <v>40.730000000000004</v>
      </c>
      <c r="Y50" s="43">
        <f t="shared" si="92"/>
        <v>45.82</v>
      </c>
      <c r="Z50" s="43">
        <f t="shared" si="92"/>
        <v>44.66</v>
      </c>
      <c r="AA50" s="43">
        <f t="shared" ref="AA50:AD50" si="96">46+AA49</f>
        <v>42.93</v>
      </c>
      <c r="AB50" s="43">
        <f t="shared" si="96"/>
        <v>41.68</v>
      </c>
      <c r="AC50" s="43">
        <f t="shared" si="96"/>
        <v>47.43</v>
      </c>
      <c r="AD50" s="43">
        <f t="shared" si="96"/>
        <v>46.33</v>
      </c>
      <c r="AE50" s="43">
        <f t="shared" ref="AE50:AJ50" si="97">46+AE49</f>
        <v>44.79</v>
      </c>
      <c r="AF50" s="43">
        <f t="shared" si="97"/>
        <v>43.62</v>
      </c>
      <c r="AG50" s="43">
        <f t="shared" si="97"/>
        <v>41.019999999999996</v>
      </c>
      <c r="AH50" s="43">
        <f t="shared" si="97"/>
        <v>39.769999999999996</v>
      </c>
      <c r="AI50" s="43">
        <f t="shared" si="97"/>
        <v>38.019999999999996</v>
      </c>
      <c r="AJ50" s="43">
        <f t="shared" si="97"/>
        <v>36.78</v>
      </c>
    </row>
    <row r="51" spans="1:36" x14ac:dyDescent="0.25">
      <c r="A51" s="72" t="s">
        <v>447</v>
      </c>
      <c r="B51" s="33" t="s">
        <v>337</v>
      </c>
      <c r="C51" s="25" t="s">
        <v>20</v>
      </c>
      <c r="D51" s="25" t="s">
        <v>20</v>
      </c>
      <c r="E51" s="25" t="s">
        <v>20</v>
      </c>
      <c r="F51" s="25" t="s">
        <v>20</v>
      </c>
      <c r="G51" s="25">
        <f t="shared" ref="G51:R51" si="98">10*LOG10(G52)</f>
        <v>22.115600346881507</v>
      </c>
      <c r="H51" s="25">
        <f t="shared" si="98"/>
        <v>19.156687756324697</v>
      </c>
      <c r="I51" s="25">
        <f t="shared" si="98"/>
        <v>15.359300390241694</v>
      </c>
      <c r="J51" s="25">
        <f t="shared" si="98"/>
        <v>11.486387799684888</v>
      </c>
      <c r="K51" s="25">
        <f t="shared" si="98"/>
        <v>8.7870004336018859</v>
      </c>
      <c r="L51" s="25">
        <f t="shared" si="98"/>
        <v>19.887600346881513</v>
      </c>
      <c r="M51" s="25">
        <f t="shared" si="98"/>
        <v>16.156687756324693</v>
      </c>
      <c r="N51" s="25">
        <f t="shared" si="98"/>
        <v>11.517300390241697</v>
      </c>
      <c r="O51" s="25">
        <f t="shared" si="98"/>
        <v>7.2263877996848782</v>
      </c>
      <c r="P51" s="25">
        <f t="shared" si="98"/>
        <v>4.3900004336018856</v>
      </c>
      <c r="Q51" s="25">
        <f t="shared" si="98"/>
        <v>19.128200260161133</v>
      </c>
      <c r="R51" s="25">
        <f t="shared" si="98"/>
        <v>15.847900303521323</v>
      </c>
      <c r="S51" s="25">
        <f t="shared" ref="Q51:S51" si="99">10*LOG10(S52)</f>
        <v>11.937600346881501</v>
      </c>
      <c r="T51" s="25">
        <f t="shared" ref="R51:T51" si="100">10*LOG10(T52)</f>
        <v>8.1373003902417018</v>
      </c>
      <c r="U51" s="31">
        <f t="shared" ref="U51:AJ51" si="101">10*LOG10(U52)</f>
        <v>16.086387799684882</v>
      </c>
      <c r="V51" s="31">
        <f t="shared" si="101"/>
        <v>13.65700043360188</v>
      </c>
      <c r="W51" s="31">
        <f t="shared" si="101"/>
        <v>10.116087843045074</v>
      </c>
      <c r="X51" s="31">
        <f t="shared" si="101"/>
        <v>7.6167004769620785</v>
      </c>
      <c r="Y51" s="31">
        <f t="shared" si="101"/>
        <v>16.966387799684881</v>
      </c>
      <c r="Z51" s="31">
        <f t="shared" si="101"/>
        <v>14.557000433601877</v>
      </c>
      <c r="AA51" s="31">
        <f t="shared" si="101"/>
        <v>11.066087843045075</v>
      </c>
      <c r="AB51" s="31">
        <f t="shared" si="101"/>
        <v>8.5667004769620743</v>
      </c>
      <c r="AC51" s="31">
        <f t="shared" si="101"/>
        <v>18.576387799684888</v>
      </c>
      <c r="AD51" s="31">
        <f t="shared" si="101"/>
        <v>16.227000433601884</v>
      </c>
      <c r="AE51" s="31">
        <f t="shared" si="101"/>
        <v>12.926087843045071</v>
      </c>
      <c r="AF51" s="31">
        <f t="shared" si="101"/>
        <v>10.506700476962072</v>
      </c>
      <c r="AG51" s="32">
        <f t="shared" si="101"/>
        <v>15.176687756324689</v>
      </c>
      <c r="AH51" s="32">
        <f t="shared" si="101"/>
        <v>12.677300390241689</v>
      </c>
      <c r="AI51" s="32">
        <f t="shared" si="101"/>
        <v>9.1663877996848839</v>
      </c>
      <c r="AJ51" s="32">
        <f t="shared" si="101"/>
        <v>6.6770004336018838</v>
      </c>
    </row>
    <row r="52" spans="1:36" x14ac:dyDescent="0.25">
      <c r="A52" s="72" t="s">
        <v>319</v>
      </c>
      <c r="B52" s="152" t="s">
        <v>337</v>
      </c>
      <c r="C52" s="25" t="s">
        <v>20</v>
      </c>
      <c r="D52" s="25" t="s">
        <v>20</v>
      </c>
      <c r="E52" s="25" t="s">
        <v>20</v>
      </c>
      <c r="F52" s="25" t="s">
        <v>20</v>
      </c>
      <c r="G52" s="25">
        <f t="shared" ref="G52:Z52" si="102">10^(G50/10)/G2</f>
        <v>162.76462977418348</v>
      </c>
      <c r="H52" s="25">
        <f t="shared" si="102"/>
        <v>82.350980733551665</v>
      </c>
      <c r="I52" s="25">
        <f t="shared" si="102"/>
        <v>34.350260822960422</v>
      </c>
      <c r="J52" s="25">
        <f t="shared" si="102"/>
        <v>14.081171240858589</v>
      </c>
      <c r="K52" s="25">
        <f t="shared" si="102"/>
        <v>7.5631034941652313</v>
      </c>
      <c r="L52" s="25">
        <f t="shared" ref="L52:R52" si="103">10^(L50/10)/L2</f>
        <v>97.445106521209368</v>
      </c>
      <c r="M52" s="25">
        <f t="shared" si="103"/>
        <v>41.273260220341527</v>
      </c>
      <c r="N52" s="25">
        <f t="shared" si="103"/>
        <v>14.181756981155383</v>
      </c>
      <c r="O52" s="25">
        <f t="shared" si="103"/>
        <v>5.280059055317496</v>
      </c>
      <c r="P52" s="25">
        <f t="shared" si="103"/>
        <v>2.7478944274536024</v>
      </c>
      <c r="Q52" s="25">
        <f t="shared" ref="Q52:V52" si="104">10^(Q50/10)/Q2</f>
        <v>81.812568216523559</v>
      </c>
      <c r="R52" s="25">
        <f t="shared" si="104"/>
        <v>38.440588725113415</v>
      </c>
      <c r="S52" s="25">
        <f t="shared" ref="S52:T52" si="105">10^(S50/10)/S2</f>
        <v>15.622841787542855</v>
      </c>
      <c r="T52" s="25">
        <f t="shared" si="105"/>
        <v>6.5122346242819473</v>
      </c>
      <c r="U52" s="31">
        <f t="shared" si="104"/>
        <v>40.610541459556501</v>
      </c>
      <c r="V52" s="31">
        <f t="shared" si="104"/>
        <v>23.211330924071056</v>
      </c>
      <c r="W52" s="31">
        <f t="shared" si="102"/>
        <v>10.270906703771812</v>
      </c>
      <c r="X52" s="31">
        <f t="shared" si="102"/>
        <v>5.7765700963142947</v>
      </c>
      <c r="Y52" s="31">
        <f t="shared" si="102"/>
        <v>49.732326932297745</v>
      </c>
      <c r="Z52" s="31">
        <f t="shared" si="102"/>
        <v>28.556175564876291</v>
      </c>
      <c r="AA52" s="31">
        <f t="shared" ref="AA52:AD52" si="106">10^(AA50/10)/AA2</f>
        <v>12.782293468984705</v>
      </c>
      <c r="AB52" s="31">
        <f t="shared" si="106"/>
        <v>7.1890258907847704</v>
      </c>
      <c r="AC52" s="31">
        <f t="shared" si="106"/>
        <v>72.050795470799144</v>
      </c>
      <c r="AD52" s="31">
        <f t="shared" si="106"/>
        <v>41.946916676258546</v>
      </c>
      <c r="AE52" s="31">
        <f t="shared" ref="AE52:AJ52" si="107">10^(AE50/10)/AE2</f>
        <v>19.61592463662841</v>
      </c>
      <c r="AF52" s="31">
        <f t="shared" si="107"/>
        <v>11.237508874064989</v>
      </c>
      <c r="AG52" s="32">
        <f t="shared" si="107"/>
        <v>32.935842382061217</v>
      </c>
      <c r="AH52" s="32">
        <f t="shared" si="107"/>
        <v>18.523798111345627</v>
      </c>
      <c r="AI52" s="32">
        <f t="shared" si="107"/>
        <v>8.2535118653245743</v>
      </c>
      <c r="AJ52" s="32">
        <f t="shared" si="107"/>
        <v>4.6526463555216413</v>
      </c>
    </row>
    <row r="53" spans="1:36" x14ac:dyDescent="0.25">
      <c r="A53" s="72" t="s">
        <v>320</v>
      </c>
      <c r="B53" s="152" t="s">
        <v>341</v>
      </c>
      <c r="C53" s="25" t="s">
        <v>20</v>
      </c>
      <c r="D53" s="25" t="s">
        <v>20</v>
      </c>
      <c r="E53" s="25" t="s">
        <v>20</v>
      </c>
      <c r="F53" s="25" t="s">
        <v>20</v>
      </c>
      <c r="G53" s="127">
        <v>0.185</v>
      </c>
      <c r="H53" s="127">
        <v>0.185</v>
      </c>
      <c r="I53" s="127">
        <v>0.185</v>
      </c>
      <c r="J53" s="127">
        <v>0.185</v>
      </c>
      <c r="K53" s="127">
        <v>0.185</v>
      </c>
      <c r="L53" s="127">
        <v>0.185</v>
      </c>
      <c r="M53" s="127">
        <v>0.185</v>
      </c>
      <c r="N53" s="127">
        <v>0.185</v>
      </c>
      <c r="O53" s="127">
        <v>0.185</v>
      </c>
      <c r="P53" s="127">
        <v>0.185</v>
      </c>
      <c r="Q53" s="127">
        <v>0.185</v>
      </c>
      <c r="R53" s="127">
        <v>0.185</v>
      </c>
      <c r="S53" s="127">
        <v>0.185</v>
      </c>
      <c r="T53" s="127">
        <v>0.185</v>
      </c>
      <c r="U53" s="127">
        <v>0.185</v>
      </c>
      <c r="V53" s="127">
        <v>0.185</v>
      </c>
      <c r="W53" s="127">
        <v>0.185</v>
      </c>
      <c r="X53" s="127">
        <v>0.185</v>
      </c>
      <c r="Y53" s="127">
        <v>0.185</v>
      </c>
      <c r="Z53" s="127">
        <v>0.185</v>
      </c>
      <c r="AA53" s="127">
        <v>0.185</v>
      </c>
      <c r="AB53" s="127">
        <v>0.185</v>
      </c>
      <c r="AC53" s="127">
        <v>0.185</v>
      </c>
      <c r="AD53" s="127">
        <v>0.185</v>
      </c>
      <c r="AE53" s="127">
        <v>0.185</v>
      </c>
      <c r="AF53" s="127">
        <v>0.185</v>
      </c>
      <c r="AG53" s="127">
        <v>0.185</v>
      </c>
      <c r="AH53" s="127">
        <v>0.185</v>
      </c>
      <c r="AI53" s="127">
        <v>0.185</v>
      </c>
      <c r="AJ53" s="127">
        <v>0.185</v>
      </c>
    </row>
    <row r="54" spans="1:36" x14ac:dyDescent="0.25">
      <c r="A54" s="72" t="s">
        <v>321</v>
      </c>
      <c r="B54" s="152" t="s">
        <v>337</v>
      </c>
      <c r="C54" s="25" t="s">
        <v>20</v>
      </c>
      <c r="D54" s="25" t="s">
        <v>20</v>
      </c>
      <c r="E54" s="25" t="s">
        <v>20</v>
      </c>
      <c r="F54" s="25" t="s">
        <v>20</v>
      </c>
      <c r="G54" s="25">
        <f t="shared" ref="G54:V54" si="108">G52/G53</f>
        <v>879.808809590181</v>
      </c>
      <c r="H54" s="25">
        <f t="shared" si="108"/>
        <v>445.14043639757659</v>
      </c>
      <c r="I54" s="25">
        <f t="shared" si="108"/>
        <v>185.67708552951581</v>
      </c>
      <c r="J54" s="25">
        <f t="shared" si="108"/>
        <v>76.114439139776167</v>
      </c>
      <c r="K54" s="25">
        <f t="shared" si="108"/>
        <v>40.881640509001251</v>
      </c>
      <c r="L54" s="25">
        <f t="shared" si="108"/>
        <v>526.73030552005059</v>
      </c>
      <c r="M54" s="25">
        <f t="shared" si="108"/>
        <v>223.09870389373799</v>
      </c>
      <c r="N54" s="25">
        <f t="shared" si="108"/>
        <v>76.658145844083151</v>
      </c>
      <c r="O54" s="25">
        <f t="shared" si="108"/>
        <v>28.540859758472951</v>
      </c>
      <c r="P54" s="25">
        <f t="shared" si="108"/>
        <v>14.853483391641094</v>
      </c>
      <c r="Q54" s="25">
        <f t="shared" si="108"/>
        <v>442.23009846769492</v>
      </c>
      <c r="R54" s="25">
        <f t="shared" si="108"/>
        <v>207.78696608169415</v>
      </c>
      <c r="S54" s="25">
        <f t="shared" ref="Q54:S54" si="109">S52/S53</f>
        <v>84.447793446177599</v>
      </c>
      <c r="T54" s="25">
        <f t="shared" ref="R54:T54" si="110">T52/T53</f>
        <v>35.20126823936188</v>
      </c>
      <c r="U54" s="31">
        <f t="shared" si="108"/>
        <v>219.51644032192704</v>
      </c>
      <c r="V54" s="31">
        <f t="shared" si="108"/>
        <v>125.46665364362734</v>
      </c>
      <c r="W54" s="31">
        <f t="shared" ref="W54:Z54" si="111">W52/W53</f>
        <v>55.518414614982774</v>
      </c>
      <c r="X54" s="31">
        <f t="shared" si="111"/>
        <v>31.224703223320514</v>
      </c>
      <c r="Y54" s="31">
        <f t="shared" si="111"/>
        <v>268.82338882323108</v>
      </c>
      <c r="Z54" s="31">
        <f t="shared" si="111"/>
        <v>154.35770575608805</v>
      </c>
      <c r="AA54" s="31">
        <f t="shared" ref="AA54:AD54" si="112">AA52/AA53</f>
        <v>69.093478210728136</v>
      </c>
      <c r="AB54" s="31">
        <f t="shared" si="112"/>
        <v>38.859599409647409</v>
      </c>
      <c r="AC54" s="31">
        <f t="shared" si="112"/>
        <v>389.46375930161702</v>
      </c>
      <c r="AD54" s="31">
        <f t="shared" si="112"/>
        <v>226.74009014193808</v>
      </c>
      <c r="AE54" s="31">
        <f t="shared" ref="AE54:AJ54" si="113">AE52/AE53</f>
        <v>106.03202506285628</v>
      </c>
      <c r="AF54" s="31">
        <f t="shared" si="113"/>
        <v>60.743291211162102</v>
      </c>
      <c r="AG54" s="32">
        <f t="shared" si="113"/>
        <v>178.03158044357414</v>
      </c>
      <c r="AH54" s="32">
        <f t="shared" si="113"/>
        <v>100.12863843970609</v>
      </c>
      <c r="AI54" s="32">
        <f t="shared" si="113"/>
        <v>44.613577650403101</v>
      </c>
      <c r="AJ54" s="32">
        <f t="shared" si="113"/>
        <v>25.149439759576438</v>
      </c>
    </row>
    <row r="55" spans="1:36" x14ac:dyDescent="0.25">
      <c r="A55" s="72" t="s">
        <v>470</v>
      </c>
      <c r="B55" s="33" t="s">
        <v>366</v>
      </c>
      <c r="C55" s="25" t="s">
        <v>20</v>
      </c>
      <c r="D55" s="25" t="s">
        <v>20</v>
      </c>
      <c r="E55" s="25" t="s">
        <v>20</v>
      </c>
      <c r="F55" s="25" t="s">
        <v>20</v>
      </c>
      <c r="G55" s="25">
        <f t="shared" ref="G55:Z55" si="114">G54*G2</f>
        <v>225231.05525508634</v>
      </c>
      <c r="H55" s="25">
        <f t="shared" si="114"/>
        <v>170933.9275766694</v>
      </c>
      <c r="I55" s="25">
        <f t="shared" si="114"/>
        <v>95066.667791112093</v>
      </c>
      <c r="J55" s="25">
        <f t="shared" si="114"/>
        <v>58455.8892593481</v>
      </c>
      <c r="K55" s="25">
        <f t="shared" si="114"/>
        <v>41862.799881217281</v>
      </c>
      <c r="L55" s="25">
        <f t="shared" ref="L55:R55" si="115">L54*L2</f>
        <v>134842.95821313295</v>
      </c>
      <c r="M55" s="25">
        <f t="shared" si="115"/>
        <v>85669.902295195381</v>
      </c>
      <c r="N55" s="25">
        <f t="shared" si="115"/>
        <v>39248.970672170573</v>
      </c>
      <c r="O55" s="25">
        <f t="shared" si="115"/>
        <v>21919.380294507228</v>
      </c>
      <c r="P55" s="25">
        <f t="shared" si="115"/>
        <v>15209.96699304048</v>
      </c>
      <c r="Q55" s="25">
        <f t="shared" ref="Q55:V55" si="116">Q54*Q2</f>
        <v>28302.726301932475</v>
      </c>
      <c r="R55" s="25">
        <f t="shared" si="116"/>
        <v>26596.731658456851</v>
      </c>
      <c r="S55" s="25">
        <f t="shared" ref="S55:T55" si="117">S54*S2</f>
        <v>21618.635122221465</v>
      </c>
      <c r="T55" s="25">
        <f t="shared" si="117"/>
        <v>18023.049338553283</v>
      </c>
      <c r="U55" s="31">
        <f t="shared" si="116"/>
        <v>168588.62616723997</v>
      </c>
      <c r="V55" s="31">
        <f t="shared" si="116"/>
        <v>128477.8533310744</v>
      </c>
      <c r="W55" s="31">
        <f t="shared" si="114"/>
        <v>85276.284848613548</v>
      </c>
      <c r="X55" s="31">
        <f t="shared" si="114"/>
        <v>63948.192201360413</v>
      </c>
      <c r="Y55" s="31">
        <f t="shared" si="114"/>
        <v>206456.36261624147</v>
      </c>
      <c r="Z55" s="31">
        <f t="shared" si="114"/>
        <v>158062.29069423417</v>
      </c>
      <c r="AA55" s="31">
        <f t="shared" ref="AA55:AD55" si="118">AA54*AA2</f>
        <v>106127.58253167842</v>
      </c>
      <c r="AB55" s="31">
        <f t="shared" si="118"/>
        <v>79584.459590957893</v>
      </c>
      <c r="AC55" s="31">
        <f t="shared" si="118"/>
        <v>299108.16714364185</v>
      </c>
      <c r="AD55" s="31">
        <f t="shared" si="118"/>
        <v>232181.8523053446</v>
      </c>
      <c r="AE55" s="31">
        <f t="shared" ref="AE55:AJ55" si="119">AE54*AE2</f>
        <v>162865.19049654723</v>
      </c>
      <c r="AF55" s="31">
        <f t="shared" si="119"/>
        <v>124402.26040045999</v>
      </c>
      <c r="AG55" s="32">
        <f t="shared" si="119"/>
        <v>68364.126890332467</v>
      </c>
      <c r="AH55" s="32">
        <f t="shared" si="119"/>
        <v>51265.86288112952</v>
      </c>
      <c r="AI55" s="32">
        <f t="shared" si="119"/>
        <v>34263.227635509582</v>
      </c>
      <c r="AJ55" s="32">
        <f t="shared" si="119"/>
        <v>25753.026313806273</v>
      </c>
    </row>
    <row r="56" spans="1:36" x14ac:dyDescent="0.25">
      <c r="A56" s="80" t="s">
        <v>344</v>
      </c>
      <c r="B56" s="152" t="s">
        <v>338</v>
      </c>
      <c r="C56" s="25" t="s">
        <v>20</v>
      </c>
      <c r="D56" s="25" t="s">
        <v>20</v>
      </c>
      <c r="E56" s="25" t="s">
        <v>20</v>
      </c>
      <c r="F56" s="25" t="s">
        <v>20</v>
      </c>
      <c r="G56" s="25">
        <f t="shared" ref="G56:Z56" si="120">G14+G17+G25+G43+G21+G48+G29</f>
        <v>20321.070491309132</v>
      </c>
      <c r="H56" s="25">
        <f t="shared" si="120"/>
        <v>30050.365908993321</v>
      </c>
      <c r="I56" s="25">
        <f t="shared" si="120"/>
        <v>39324.133989032038</v>
      </c>
      <c r="J56" s="25">
        <f t="shared" si="120"/>
        <v>58304.113379171453</v>
      </c>
      <c r="K56" s="25">
        <f t="shared" si="120"/>
        <v>77278.651972235879</v>
      </c>
      <c r="L56" s="25">
        <f t="shared" ref="L56:R56" si="121">L14+L17+L25+L43+L21+L48+L29</f>
        <v>20417.274413530336</v>
      </c>
      <c r="M56" s="25">
        <f t="shared" si="121"/>
        <v>29646.084945310722</v>
      </c>
      <c r="N56" s="25">
        <f t="shared" si="121"/>
        <v>38610.753203552653</v>
      </c>
      <c r="O56" s="25">
        <f t="shared" si="121"/>
        <v>56894.822657818622</v>
      </c>
      <c r="P56" s="25">
        <f t="shared" si="121"/>
        <v>75208.462011105425</v>
      </c>
      <c r="Q56" s="25">
        <f t="shared" ref="Q56:V56" si="122">Q14+Q17+Q25+Q43+Q21+Q48+Q29</f>
        <v>7112.7926153846147</v>
      </c>
      <c r="R56" s="25">
        <f t="shared" si="122"/>
        <v>11647.862153846154</v>
      </c>
      <c r="S56" s="25">
        <f t="shared" ref="S56:T56" si="123">S14+S17+S25+S43+S21+S48+S29</f>
        <v>20910.677263166683</v>
      </c>
      <c r="T56" s="25">
        <f t="shared" si="123"/>
        <v>39320.593206540674</v>
      </c>
      <c r="U56" s="31">
        <f t="shared" si="122"/>
        <v>54818.457509372907</v>
      </c>
      <c r="V56" s="31">
        <f t="shared" si="122"/>
        <v>73038.537243765371</v>
      </c>
      <c r="W56" s="31">
        <f t="shared" si="120"/>
        <v>109468.90600735889</v>
      </c>
      <c r="X56" s="31">
        <f t="shared" si="120"/>
        <v>145900.57964407394</v>
      </c>
      <c r="Y56" s="31">
        <f t="shared" si="120"/>
        <v>54742.697674660361</v>
      </c>
      <c r="Z56" s="31">
        <f t="shared" si="120"/>
        <v>72897.398972658732</v>
      </c>
      <c r="AA56" s="31">
        <f t="shared" ref="AA56:AD56" si="124">AA14+AA17+AA25+AA43+AA21+AA48+AA29</f>
        <v>109201.88936868832</v>
      </c>
      <c r="AB56" s="31">
        <f t="shared" si="124"/>
        <v>145504.8238870668</v>
      </c>
      <c r="AC56" s="31">
        <f t="shared" si="124"/>
        <v>54989.942153846154</v>
      </c>
      <c r="AD56" s="31">
        <f t="shared" si="124"/>
        <v>73130.220307692303</v>
      </c>
      <c r="AE56" s="31">
        <f t="shared" ref="AE56:AJ56" si="125">AE14+AE17+AE25+AE43+AE21+AE48+AE29</f>
        <v>109410.77661538462</v>
      </c>
      <c r="AF56" s="31">
        <f t="shared" si="125"/>
        <v>145691.33292307693</v>
      </c>
      <c r="AG56" s="32">
        <f t="shared" si="125"/>
        <v>33434.121802933216</v>
      </c>
      <c r="AH56" s="32">
        <f t="shared" si="125"/>
        <v>44521.932791051571</v>
      </c>
      <c r="AI56" s="32">
        <f t="shared" si="125"/>
        <v>66714.601359736989</v>
      </c>
      <c r="AJ56" s="32">
        <f t="shared" si="125"/>
        <v>88915.024317098709</v>
      </c>
    </row>
    <row r="57" spans="1:36" x14ac:dyDescent="0.25">
      <c r="A57" s="80" t="s">
        <v>345</v>
      </c>
      <c r="B57" s="152" t="s">
        <v>337</v>
      </c>
      <c r="C57" s="25" t="s">
        <v>20</v>
      </c>
      <c r="D57" s="25" t="s">
        <v>20</v>
      </c>
      <c r="E57" s="25" t="s">
        <v>20</v>
      </c>
      <c r="F57" s="25" t="s">
        <v>20</v>
      </c>
      <c r="G57" s="25">
        <f t="shared" ref="G57:Z57" si="126">G56/G2</f>
        <v>79.379181606676298</v>
      </c>
      <c r="H57" s="25">
        <f t="shared" si="126"/>
        <v>78.256161221336768</v>
      </c>
      <c r="I57" s="25">
        <f t="shared" si="126"/>
        <v>76.804949197328199</v>
      </c>
      <c r="J57" s="25">
        <f t="shared" si="126"/>
        <v>75.916814295796158</v>
      </c>
      <c r="K57" s="25">
        <f t="shared" si="126"/>
        <v>75.467433566636601</v>
      </c>
      <c r="L57" s="25">
        <f t="shared" ref="L57:R57" si="127">L56/L2</f>
        <v>79.754978177852877</v>
      </c>
      <c r="M57" s="25">
        <f t="shared" si="127"/>
        <v>77.203346211746677</v>
      </c>
      <c r="N57" s="25">
        <f t="shared" si="127"/>
        <v>75.411627350688775</v>
      </c>
      <c r="O57" s="25">
        <f t="shared" si="127"/>
        <v>74.081800335701331</v>
      </c>
      <c r="P57" s="25">
        <f t="shared" si="127"/>
        <v>73.445763682720141</v>
      </c>
      <c r="Q57" s="25">
        <f t="shared" ref="Q57:V57" si="128">Q56/Q2</f>
        <v>111.1373846153846</v>
      </c>
      <c r="R57" s="25">
        <f t="shared" si="128"/>
        <v>90.998923076923077</v>
      </c>
      <c r="S57" s="25">
        <f t="shared" ref="S57:T57" si="129">S56/S2</f>
        <v>81.682333059244854</v>
      </c>
      <c r="T57" s="25">
        <f t="shared" si="129"/>
        <v>76.798033606524754</v>
      </c>
      <c r="U57" s="31">
        <f t="shared" si="128"/>
        <v>71.378199881995968</v>
      </c>
      <c r="V57" s="31">
        <f t="shared" si="128"/>
        <v>71.32669652711462</v>
      </c>
      <c r="W57" s="31">
        <f t="shared" si="126"/>
        <v>71.268819015207612</v>
      </c>
      <c r="X57" s="31">
        <f t="shared" si="126"/>
        <v>71.240517404332977</v>
      </c>
      <c r="Y57" s="31">
        <f t="shared" si="126"/>
        <v>71.279554263880684</v>
      </c>
      <c r="Z57" s="31">
        <f t="shared" si="126"/>
        <v>71.188866184237042</v>
      </c>
      <c r="AA57" s="31">
        <f t="shared" ref="AA57:AD57" si="130">AA56/AA2</f>
        <v>71.094980057739789</v>
      </c>
      <c r="AB57" s="31">
        <f t="shared" si="130"/>
        <v>71.047277288606836</v>
      </c>
      <c r="AC57" s="31">
        <f t="shared" si="130"/>
        <v>71.601487179487179</v>
      </c>
      <c r="AD57" s="31">
        <f t="shared" si="130"/>
        <v>71.416230769230765</v>
      </c>
      <c r="AE57" s="31">
        <f t="shared" ref="AE57:AJ57" si="131">AE56/AE2</f>
        <v>71.230974358974365</v>
      </c>
      <c r="AF57" s="31">
        <f t="shared" si="131"/>
        <v>71.138346153846157</v>
      </c>
      <c r="AG57" s="32">
        <f t="shared" si="131"/>
        <v>87.068025528471921</v>
      </c>
      <c r="AH57" s="32">
        <f t="shared" si="131"/>
        <v>86.9568999825226</v>
      </c>
      <c r="AI57" s="32">
        <f t="shared" si="131"/>
        <v>86.867970520490871</v>
      </c>
      <c r="AJ57" s="32">
        <f t="shared" si="131"/>
        <v>86.831078434666708</v>
      </c>
    </row>
    <row r="58" spans="1:36" x14ac:dyDescent="0.25">
      <c r="A58" s="80" t="s">
        <v>83</v>
      </c>
      <c r="B58" s="152" t="s">
        <v>338</v>
      </c>
      <c r="C58" s="25" t="s">
        <v>20</v>
      </c>
      <c r="D58" s="25" t="s">
        <v>20</v>
      </c>
      <c r="E58" s="25" t="s">
        <v>20</v>
      </c>
      <c r="F58" s="25" t="s">
        <v>20</v>
      </c>
      <c r="G58" s="25">
        <f t="shared" ref="G58:V58" si="132">G56+G55</f>
        <v>245552.12574639547</v>
      </c>
      <c r="H58" s="25">
        <f t="shared" si="132"/>
        <v>200984.29348566273</v>
      </c>
      <c r="I58" s="25">
        <f t="shared" si="132"/>
        <v>134390.80178014413</v>
      </c>
      <c r="J58" s="25">
        <f t="shared" si="132"/>
        <v>116760.00263851955</v>
      </c>
      <c r="K58" s="25">
        <f t="shared" si="132"/>
        <v>119141.45185345315</v>
      </c>
      <c r="L58" s="25">
        <f t="shared" si="132"/>
        <v>155260.23262666329</v>
      </c>
      <c r="M58" s="25">
        <f t="shared" si="132"/>
        <v>115315.9872405061</v>
      </c>
      <c r="N58" s="25">
        <f t="shared" si="132"/>
        <v>77859.723875723226</v>
      </c>
      <c r="O58" s="25">
        <f t="shared" si="132"/>
        <v>78814.202952325853</v>
      </c>
      <c r="P58" s="25">
        <f t="shared" si="132"/>
        <v>90418.429004145903</v>
      </c>
      <c r="Q58" s="25">
        <f t="shared" si="132"/>
        <v>35415.518917317087</v>
      </c>
      <c r="R58" s="25">
        <f t="shared" si="132"/>
        <v>38244.593812303006</v>
      </c>
      <c r="S58" s="25">
        <f t="shared" ref="S58:T58" si="133">S56+S55</f>
        <v>42529.312385388148</v>
      </c>
      <c r="T58" s="25">
        <f t="shared" si="133"/>
        <v>57343.642545093957</v>
      </c>
      <c r="U58" s="31">
        <f t="shared" si="132"/>
        <v>223407.08367661288</v>
      </c>
      <c r="V58" s="31">
        <f t="shared" si="132"/>
        <v>201516.39057483978</v>
      </c>
      <c r="W58" s="31">
        <f t="shared" ref="W58:Z58" si="134">W56+W55</f>
        <v>194745.19085597244</v>
      </c>
      <c r="X58" s="31">
        <f t="shared" si="134"/>
        <v>209848.77184543436</v>
      </c>
      <c r="Y58" s="31">
        <f t="shared" si="134"/>
        <v>261199.06029090183</v>
      </c>
      <c r="Z58" s="31">
        <f t="shared" si="134"/>
        <v>230959.6896668929</v>
      </c>
      <c r="AA58" s="31">
        <f t="shared" ref="AA58:AD58" si="135">AA56+AA55</f>
        <v>215329.47190036674</v>
      </c>
      <c r="AB58" s="31">
        <f t="shared" si="135"/>
        <v>225089.28347802471</v>
      </c>
      <c r="AC58" s="31">
        <f t="shared" si="135"/>
        <v>354098.109297488</v>
      </c>
      <c r="AD58" s="31">
        <f t="shared" si="135"/>
        <v>305312.0726130369</v>
      </c>
      <c r="AE58" s="31">
        <f t="shared" ref="AE58:AJ58" si="136">AE56+AE55</f>
        <v>272275.96711193188</v>
      </c>
      <c r="AF58" s="31">
        <f t="shared" si="136"/>
        <v>270093.59332353692</v>
      </c>
      <c r="AG58" s="32">
        <f t="shared" si="136"/>
        <v>101798.24869326569</v>
      </c>
      <c r="AH58" s="32">
        <f t="shared" si="136"/>
        <v>95787.795672181092</v>
      </c>
      <c r="AI58" s="32">
        <f t="shared" si="136"/>
        <v>100977.82899524657</v>
      </c>
      <c r="AJ58" s="32">
        <f t="shared" si="136"/>
        <v>114668.05063090498</v>
      </c>
    </row>
    <row r="59" spans="1:36" x14ac:dyDescent="0.25">
      <c r="A59" s="80" t="s">
        <v>157</v>
      </c>
      <c r="B59" s="40" t="s">
        <v>340</v>
      </c>
      <c r="C59" s="31">
        <f>C40+C20+C42+C47+C30+C26+C16+C13</f>
        <v>62.861599999999996</v>
      </c>
      <c r="D59" s="31">
        <f t="shared" ref="D59:F59" si="137">D40+D20+D42+D47+D30+D26+D16+D13</f>
        <v>123.3032</v>
      </c>
      <c r="E59" s="31">
        <f t="shared" si="137"/>
        <v>183.7448</v>
      </c>
      <c r="F59" s="31">
        <f t="shared" si="137"/>
        <v>244.18639999999999</v>
      </c>
      <c r="G59" s="31" t="s">
        <v>20</v>
      </c>
      <c r="H59" s="31" t="s">
        <v>20</v>
      </c>
      <c r="I59" s="31" t="s">
        <v>20</v>
      </c>
      <c r="J59" s="31" t="s">
        <v>20</v>
      </c>
      <c r="K59" s="31" t="s">
        <v>20</v>
      </c>
      <c r="L59" s="31" t="s">
        <v>20</v>
      </c>
      <c r="M59" s="31" t="s">
        <v>20</v>
      </c>
      <c r="N59" s="31" t="s">
        <v>20</v>
      </c>
      <c r="O59" s="31" t="s">
        <v>20</v>
      </c>
      <c r="P59" s="31" t="s">
        <v>20</v>
      </c>
      <c r="Q59" s="31" t="s">
        <v>20</v>
      </c>
      <c r="R59" s="31" t="s">
        <v>20</v>
      </c>
      <c r="S59" s="31" t="s">
        <v>20</v>
      </c>
      <c r="T59" s="31" t="s">
        <v>20</v>
      </c>
      <c r="U59" s="103" t="s">
        <v>20</v>
      </c>
      <c r="V59" s="103" t="s">
        <v>20</v>
      </c>
      <c r="W59" s="103" t="s">
        <v>20</v>
      </c>
      <c r="X59" s="103" t="s">
        <v>20</v>
      </c>
      <c r="Y59" s="103" t="s">
        <v>20</v>
      </c>
      <c r="Z59" s="103" t="s">
        <v>20</v>
      </c>
      <c r="AA59" s="103" t="s">
        <v>20</v>
      </c>
      <c r="AB59" s="103" t="s">
        <v>20</v>
      </c>
      <c r="AC59" s="103" t="s">
        <v>20</v>
      </c>
      <c r="AD59" s="103" t="s">
        <v>20</v>
      </c>
      <c r="AE59" s="103" t="s">
        <v>20</v>
      </c>
      <c r="AF59" s="103" t="s">
        <v>20</v>
      </c>
      <c r="AG59" s="104" t="s">
        <v>20</v>
      </c>
      <c r="AH59" s="104" t="s">
        <v>20</v>
      </c>
      <c r="AI59" s="104" t="s">
        <v>20</v>
      </c>
      <c r="AJ59" s="104" t="s">
        <v>20</v>
      </c>
    </row>
    <row r="63" spans="1:36" x14ac:dyDescent="0.25">
      <c r="A63" s="152" t="s">
        <v>269</v>
      </c>
      <c r="B63" s="152"/>
      <c r="C63" s="152"/>
      <c r="D63" s="152"/>
      <c r="E63" s="152"/>
    </row>
    <row r="64" spans="1:36" x14ac:dyDescent="0.25">
      <c r="A64" s="2">
        <v>1</v>
      </c>
      <c r="B64" s="2"/>
      <c r="C64" s="2"/>
      <c r="D64" s="2"/>
      <c r="E64" s="2"/>
      <c r="F64" t="s">
        <v>325</v>
      </c>
    </row>
    <row r="65" spans="1:32" x14ac:dyDescent="0.25">
      <c r="A65" s="2">
        <v>2</v>
      </c>
      <c r="B65" s="2"/>
      <c r="C65" s="2"/>
      <c r="D65" s="2"/>
      <c r="E65" t="s">
        <v>522</v>
      </c>
      <c r="F65" t="s">
        <v>523</v>
      </c>
    </row>
    <row r="66" spans="1:32" x14ac:dyDescent="0.25">
      <c r="A66" s="2"/>
      <c r="B66" s="2"/>
      <c r="C66" s="2"/>
      <c r="D66" s="2"/>
      <c r="E66" s="2"/>
    </row>
    <row r="67" spans="1:32" x14ac:dyDescent="0.25">
      <c r="A67" s="2"/>
    </row>
    <row r="68" spans="1:32" x14ac:dyDescent="0.25">
      <c r="A68" s="38"/>
    </row>
    <row r="69" spans="1:32" x14ac:dyDescent="0.25">
      <c r="A69" s="162"/>
      <c r="B69" s="172" t="s">
        <v>585</v>
      </c>
      <c r="C69" s="173"/>
      <c r="D69" s="173"/>
      <c r="E69" s="173"/>
      <c r="F69" s="173"/>
      <c r="G69" s="173"/>
      <c r="H69" s="173"/>
      <c r="I69" s="173"/>
      <c r="J69" s="174" t="s">
        <v>586</v>
      </c>
      <c r="K69" s="175"/>
      <c r="L69" s="175"/>
      <c r="M69" s="175"/>
    </row>
    <row r="70" spans="1:32" x14ac:dyDescent="0.25">
      <c r="A70" s="162"/>
      <c r="B70" s="163">
        <v>256</v>
      </c>
      <c r="C70" s="163"/>
      <c r="D70" s="163"/>
      <c r="E70" s="163"/>
      <c r="F70" s="163">
        <v>384</v>
      </c>
      <c r="G70" s="163">
        <v>512</v>
      </c>
      <c r="H70" s="163">
        <v>768</v>
      </c>
      <c r="I70" s="163">
        <v>1024</v>
      </c>
      <c r="J70" s="113"/>
      <c r="N70" s="74">
        <f t="shared" ref="N70:Q70" si="138">Q2</f>
        <v>64</v>
      </c>
      <c r="O70" s="74">
        <f t="shared" si="138"/>
        <v>128</v>
      </c>
      <c r="P70" s="74">
        <f t="shared" si="138"/>
        <v>256</v>
      </c>
      <c r="Q70" s="74">
        <f t="shared" si="138"/>
        <v>512</v>
      </c>
      <c r="U70" s="39"/>
      <c r="V70" s="39"/>
      <c r="W70" s="39"/>
      <c r="X70" s="39"/>
      <c r="Y70" s="113"/>
      <c r="Z70" s="113"/>
      <c r="AA70" s="113"/>
      <c r="AB70" s="113"/>
      <c r="AC70" s="113"/>
      <c r="AD70" s="113"/>
      <c r="AE70" s="113"/>
      <c r="AF70" s="113"/>
    </row>
    <row r="71" spans="1:32" x14ac:dyDescent="0.25">
      <c r="A71" s="162" t="str">
        <f>$A$14</f>
        <v>BB Precoding</v>
      </c>
      <c r="B71" s="164">
        <f>G14</f>
        <v>175.75384615384615</v>
      </c>
      <c r="C71" s="164"/>
      <c r="D71" s="164"/>
      <c r="E71" s="164"/>
      <c r="F71" s="164">
        <f>H14</f>
        <v>251.07692307692307</v>
      </c>
      <c r="G71" s="164">
        <f>I14</f>
        <v>326.39999999999998</v>
      </c>
      <c r="H71" s="164">
        <f>$J$14</f>
        <v>477.04615384615386</v>
      </c>
      <c r="I71" s="164">
        <f>K14</f>
        <v>627.69230769230774</v>
      </c>
      <c r="J71" s="78">
        <f>$L$14</f>
        <v>251.07692307692307</v>
      </c>
      <c r="K71" s="78">
        <f t="shared" ref="K71:M71" si="139">N14</f>
        <v>401.72307692307692</v>
      </c>
      <c r="L71" s="78">
        <f t="shared" si="139"/>
        <v>552.36923076923074</v>
      </c>
      <c r="M71" s="78">
        <f t="shared" si="139"/>
        <v>703.01538461538462</v>
      </c>
      <c r="N71" s="164">
        <f>Q14</f>
        <v>439.38461538461536</v>
      </c>
      <c r="O71" s="164">
        <f>R14</f>
        <v>477.04615384615386</v>
      </c>
      <c r="P71" s="164">
        <f>S14</f>
        <v>552.36923076923074</v>
      </c>
      <c r="Q71" s="164">
        <f t="shared" ref="Q71" si="140">T14</f>
        <v>703.01538461538462</v>
      </c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</row>
    <row r="72" spans="1:32" x14ac:dyDescent="0.25">
      <c r="A72" s="162" t="str">
        <f>$A$17</f>
        <v>SERDES</v>
      </c>
      <c r="B72" s="164">
        <f>G17</f>
        <v>1091.4487310487991</v>
      </c>
      <c r="C72" s="164"/>
      <c r="D72" s="164"/>
      <c r="E72" s="164"/>
      <c r="F72" s="164">
        <f t="shared" ref="F72:G72" si="141">H17</f>
        <v>1104.2080831014202</v>
      </c>
      <c r="G72" s="164">
        <f t="shared" si="141"/>
        <v>1074.7728633993015</v>
      </c>
      <c r="H72" s="164">
        <f>$J$17</f>
        <v>1066.8148821185894</v>
      </c>
      <c r="I72" s="164">
        <f>K17</f>
        <v>1062.2676624164706</v>
      </c>
      <c r="J72" s="78">
        <f>$L$17</f>
        <v>1808.9609326955886</v>
      </c>
      <c r="K72" s="78">
        <f t="shared" ref="K72:M72" si="142">N17</f>
        <v>1702.4411973965935</v>
      </c>
      <c r="L72" s="78">
        <f t="shared" si="142"/>
        <v>1667.5759015018357</v>
      </c>
      <c r="M72" s="78">
        <f t="shared" si="142"/>
        <v>1652.2707954309317</v>
      </c>
      <c r="N72" s="164">
        <f>Q17</f>
        <v>2176</v>
      </c>
      <c r="O72" s="164">
        <f>R17</f>
        <v>2176</v>
      </c>
      <c r="P72" s="164">
        <f>S17</f>
        <v>2351.2541399204911</v>
      </c>
      <c r="Q72" s="164">
        <f t="shared" ref="Q72" si="143">T17</f>
        <v>2552.5613359891677</v>
      </c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</row>
    <row r="73" spans="1:32" x14ac:dyDescent="0.25">
      <c r="A73" s="162" t="str">
        <f>$A$21</f>
        <v>DAC</v>
      </c>
      <c r="B73" s="164">
        <f>G21</f>
        <v>1453.8679141064888</v>
      </c>
      <c r="C73" s="164"/>
      <c r="D73" s="164"/>
      <c r="E73" s="164"/>
      <c r="F73" s="164">
        <f t="shared" ref="F73:G73" si="144">H21</f>
        <v>2295.0809028149765</v>
      </c>
      <c r="G73" s="164">
        <f t="shared" si="144"/>
        <v>2722.9611256327375</v>
      </c>
      <c r="H73" s="164">
        <f>$J$21</f>
        <v>3960.2523432067069</v>
      </c>
      <c r="I73" s="164">
        <f>K21</f>
        <v>5188.6920021271053</v>
      </c>
      <c r="J73" s="78">
        <f>$L$21</f>
        <v>757.23655775782549</v>
      </c>
      <c r="K73" s="78">
        <f t="shared" ref="K73:M73" si="145">N21</f>
        <v>1306.5889292329803</v>
      </c>
      <c r="L73" s="78">
        <f t="shared" si="145"/>
        <v>1874.8775255475555</v>
      </c>
      <c r="M73" s="78">
        <f t="shared" si="145"/>
        <v>2453.1758310591058</v>
      </c>
      <c r="N73" s="164">
        <f>Q21</f>
        <v>97.408000000000001</v>
      </c>
      <c r="O73" s="164">
        <f>R21</f>
        <v>194.816</v>
      </c>
      <c r="P73" s="164">
        <f>S21</f>
        <v>407.05389247695962</v>
      </c>
      <c r="Q73" s="164">
        <f t="shared" ref="Q73" si="146">T21</f>
        <v>865.01648593612026</v>
      </c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</row>
    <row r="74" spans="1:32" x14ac:dyDescent="0.25">
      <c r="A74" s="162" t="str">
        <f>$A$25</f>
        <v>Mixer</v>
      </c>
      <c r="B74" s="164">
        <f>G25</f>
        <v>320</v>
      </c>
      <c r="C74" s="164"/>
      <c r="D74" s="164"/>
      <c r="E74" s="164"/>
      <c r="F74" s="164">
        <f t="shared" ref="F74:G74" si="147">H25</f>
        <v>480</v>
      </c>
      <c r="G74" s="164">
        <f t="shared" si="147"/>
        <v>640</v>
      </c>
      <c r="H74" s="164">
        <f>$J$25</f>
        <v>960</v>
      </c>
      <c r="I74" s="164">
        <f>K25</f>
        <v>1280</v>
      </c>
      <c r="J74" s="78">
        <f>$L$25</f>
        <v>320</v>
      </c>
      <c r="K74" s="78">
        <f t="shared" ref="K74:M74" si="148">N25</f>
        <v>640</v>
      </c>
      <c r="L74" s="78">
        <f t="shared" si="148"/>
        <v>960</v>
      </c>
      <c r="M74" s="78">
        <f t="shared" si="148"/>
        <v>1280</v>
      </c>
      <c r="N74" s="164">
        <f>Q25</f>
        <v>80</v>
      </c>
      <c r="O74" s="164">
        <f>R25</f>
        <v>160</v>
      </c>
      <c r="P74" s="164">
        <f>S25</f>
        <v>320</v>
      </c>
      <c r="Q74" s="164">
        <f t="shared" ref="Q74" si="149">T25</f>
        <v>640</v>
      </c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</row>
    <row r="75" spans="1:32" x14ac:dyDescent="0.25">
      <c r="A75" s="162" t="str">
        <f>$A$29</f>
        <v xml:space="preserve"> VCO</v>
      </c>
      <c r="B75" s="164">
        <f>G29</f>
        <v>1920</v>
      </c>
      <c r="C75" s="164"/>
      <c r="D75" s="164"/>
      <c r="E75" s="164"/>
      <c r="F75" s="164">
        <f t="shared" ref="F75:G75" si="150">H29</f>
        <v>2880</v>
      </c>
      <c r="G75" s="164">
        <f t="shared" si="150"/>
        <v>3840</v>
      </c>
      <c r="H75" s="164">
        <f>$J$29</f>
        <v>5760</v>
      </c>
      <c r="I75" s="164">
        <f>K29</f>
        <v>7680</v>
      </c>
      <c r="J75" s="78">
        <f>$L$29</f>
        <v>1920</v>
      </c>
      <c r="K75" s="78">
        <f t="shared" ref="K75:M75" si="151">N29</f>
        <v>3840</v>
      </c>
      <c r="L75" s="78">
        <f t="shared" si="151"/>
        <v>5760</v>
      </c>
      <c r="M75" s="78">
        <f t="shared" si="151"/>
        <v>7680</v>
      </c>
      <c r="N75" s="164">
        <f>Q29</f>
        <v>480</v>
      </c>
      <c r="O75" s="164">
        <f>R29</f>
        <v>960</v>
      </c>
      <c r="P75" s="164">
        <f>S29</f>
        <v>1920</v>
      </c>
      <c r="Q75" s="164">
        <f t="shared" ref="Q75" si="152">T29</f>
        <v>3840</v>
      </c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</row>
    <row r="76" spans="1:32" x14ac:dyDescent="0.25">
      <c r="A76" s="162" t="str">
        <f>$A$43</f>
        <v>PS</v>
      </c>
      <c r="B76" s="164">
        <f>G43</f>
        <v>2560</v>
      </c>
      <c r="C76" s="164"/>
      <c r="D76" s="164"/>
      <c r="E76" s="164"/>
      <c r="F76" s="164">
        <f t="shared" ref="F76:G76" si="153">H43</f>
        <v>3840</v>
      </c>
      <c r="G76" s="164">
        <f t="shared" si="153"/>
        <v>5120</v>
      </c>
      <c r="H76" s="164">
        <f>$J$43</f>
        <v>7680</v>
      </c>
      <c r="I76" s="164">
        <f>K43</f>
        <v>10240</v>
      </c>
      <c r="J76" s="78">
        <f>$L$43</f>
        <v>2560</v>
      </c>
      <c r="K76" s="78">
        <f t="shared" ref="K76:M76" si="154">N43</f>
        <v>5120</v>
      </c>
      <c r="L76" s="78">
        <f t="shared" si="154"/>
        <v>7680</v>
      </c>
      <c r="M76" s="78">
        <f t="shared" si="154"/>
        <v>10240</v>
      </c>
      <c r="N76" s="164">
        <f>Q43</f>
        <v>640</v>
      </c>
      <c r="O76" s="164">
        <f>R43</f>
        <v>1280</v>
      </c>
      <c r="P76" s="164">
        <f>S43</f>
        <v>2560</v>
      </c>
      <c r="Q76" s="164">
        <f t="shared" ref="Q76" si="155">T43</f>
        <v>5120</v>
      </c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</row>
    <row r="77" spans="1:32" x14ac:dyDescent="0.25">
      <c r="A77" s="162" t="str">
        <f>$A$48</f>
        <v>RF Amp</v>
      </c>
      <c r="B77" s="164">
        <f>G48</f>
        <v>12800</v>
      </c>
      <c r="C77" s="164"/>
      <c r="D77" s="164"/>
      <c r="E77" s="164"/>
      <c r="F77" s="164">
        <f t="shared" ref="F77:G77" si="156">H48</f>
        <v>19200</v>
      </c>
      <c r="G77" s="164">
        <f t="shared" si="156"/>
        <v>25600</v>
      </c>
      <c r="H77" s="164">
        <f>$J$48</f>
        <v>38400</v>
      </c>
      <c r="I77" s="164">
        <f>K48</f>
        <v>51200</v>
      </c>
      <c r="J77" s="78">
        <f>$L$48</f>
        <v>12800</v>
      </c>
      <c r="K77" s="78">
        <f t="shared" ref="K77:M77" si="157">N48</f>
        <v>25600</v>
      </c>
      <c r="L77" s="78">
        <f t="shared" si="157"/>
        <v>38400</v>
      </c>
      <c r="M77" s="78">
        <f t="shared" si="157"/>
        <v>51200</v>
      </c>
      <c r="N77" s="164">
        <f>Q48</f>
        <v>3200</v>
      </c>
      <c r="O77" s="164">
        <f>R48</f>
        <v>6400</v>
      </c>
      <c r="P77" s="164">
        <f>S48</f>
        <v>12800</v>
      </c>
      <c r="Q77" s="164">
        <f t="shared" ref="Q77" si="158">T48</f>
        <v>25600</v>
      </c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</row>
    <row r="78" spans="1:32" x14ac:dyDescent="0.25">
      <c r="A78" s="162" t="str">
        <f>$A$55</f>
        <v>PA</v>
      </c>
      <c r="B78" s="164">
        <f>G55</f>
        <v>225231.05525508634</v>
      </c>
      <c r="C78" s="164"/>
      <c r="D78" s="164"/>
      <c r="E78" s="164"/>
      <c r="F78" s="164">
        <f t="shared" ref="F78:G78" si="159">H55</f>
        <v>170933.9275766694</v>
      </c>
      <c r="G78" s="164">
        <f t="shared" si="159"/>
        <v>95066.667791112093</v>
      </c>
      <c r="H78" s="164">
        <f>$J$55</f>
        <v>58455.8892593481</v>
      </c>
      <c r="I78" s="164">
        <f>K55</f>
        <v>41862.799881217281</v>
      </c>
      <c r="J78" s="78">
        <f>$L$55</f>
        <v>134842.95821313295</v>
      </c>
      <c r="K78" s="78">
        <f t="shared" ref="K78:M78" si="160">N55</f>
        <v>39248.970672170573</v>
      </c>
      <c r="L78" s="78">
        <f t="shared" si="160"/>
        <v>21919.380294507228</v>
      </c>
      <c r="M78" s="78">
        <f t="shared" si="160"/>
        <v>15209.96699304048</v>
      </c>
      <c r="N78" s="164">
        <f>Q55</f>
        <v>28302.726301932475</v>
      </c>
      <c r="O78" s="164">
        <f>R55</f>
        <v>26596.731658456851</v>
      </c>
      <c r="P78" s="164">
        <f>S55</f>
        <v>21618.635122221465</v>
      </c>
      <c r="Q78" s="164">
        <f t="shared" ref="Q78" si="161">T55</f>
        <v>18023.049338553283</v>
      </c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</row>
    <row r="79" spans="1:32" x14ac:dyDescent="0.25">
      <c r="A79" s="175" t="s">
        <v>577</v>
      </c>
      <c r="B79" s="175"/>
      <c r="C79" s="175"/>
      <c r="D79" s="175"/>
      <c r="E79" s="175"/>
      <c r="F79" s="175"/>
      <c r="G79" s="175"/>
      <c r="H79" s="175"/>
      <c r="I79" s="175"/>
      <c r="J79" s="175" t="s">
        <v>576</v>
      </c>
      <c r="K79" s="175"/>
      <c r="L79" s="175"/>
      <c r="M79" s="175"/>
      <c r="N79" s="174" t="s">
        <v>587</v>
      </c>
      <c r="O79" s="175"/>
      <c r="P79" s="175"/>
      <c r="Q79" s="175"/>
      <c r="R79" s="175"/>
      <c r="S79" s="175"/>
      <c r="T79" s="175"/>
      <c r="U79" s="175"/>
    </row>
    <row r="80" spans="1:32" x14ac:dyDescent="0.25">
      <c r="B80" s="39">
        <f t="shared" ref="B80:I80" si="162">U2</f>
        <v>768</v>
      </c>
      <c r="C80" s="39">
        <f t="shared" si="162"/>
        <v>1024</v>
      </c>
      <c r="D80" s="39">
        <f t="shared" si="162"/>
        <v>1536</v>
      </c>
      <c r="E80" s="39">
        <f t="shared" si="162"/>
        <v>2048</v>
      </c>
      <c r="F80" s="39">
        <f t="shared" si="162"/>
        <v>768</v>
      </c>
      <c r="G80" s="39">
        <f t="shared" si="162"/>
        <v>1024</v>
      </c>
      <c r="H80" s="39">
        <f t="shared" si="162"/>
        <v>1536</v>
      </c>
      <c r="I80" s="39">
        <f t="shared" si="162"/>
        <v>2048</v>
      </c>
      <c r="J80" s="113">
        <f t="shared" ref="J80:M80" si="163">Y2</f>
        <v>768</v>
      </c>
      <c r="K80" s="74">
        <f t="shared" si="163"/>
        <v>1024</v>
      </c>
      <c r="L80" s="74">
        <f t="shared" si="163"/>
        <v>1536</v>
      </c>
      <c r="M80" s="74">
        <f t="shared" si="163"/>
        <v>2048</v>
      </c>
      <c r="N80" s="74">
        <f>AC2</f>
        <v>768</v>
      </c>
      <c r="O80" s="74">
        <f>AD2</f>
        <v>1024</v>
      </c>
      <c r="P80" s="74">
        <f>AE2</f>
        <v>1536</v>
      </c>
      <c r="Q80" s="74">
        <f t="shared" ref="Q80" si="164">AF2</f>
        <v>2048</v>
      </c>
      <c r="U80" s="39"/>
      <c r="V80" s="39"/>
      <c r="W80" s="39"/>
      <c r="X80" s="39"/>
      <c r="Y80" s="113"/>
      <c r="Z80" s="113"/>
      <c r="AA80" s="113"/>
      <c r="AB80" s="113"/>
      <c r="AC80" s="113"/>
      <c r="AD80" s="113"/>
      <c r="AE80" s="113"/>
      <c r="AF80" s="113"/>
    </row>
    <row r="81" spans="1:32" x14ac:dyDescent="0.25">
      <c r="A81" t="str">
        <f>$A$14</f>
        <v>BB Precoding</v>
      </c>
      <c r="B81" s="78">
        <f>U14</f>
        <v>453.50769230769231</v>
      </c>
      <c r="C81" s="78"/>
      <c r="D81" s="78"/>
      <c r="E81" s="78"/>
      <c r="F81" s="78" t="e">
        <f>#REF!</f>
        <v>#REF!</v>
      </c>
      <c r="G81" s="78">
        <f>V14</f>
        <v>604.15384615384619</v>
      </c>
      <c r="H81" s="78">
        <f>$W$14</f>
        <v>905.44615384615383</v>
      </c>
      <c r="I81" s="78">
        <f>X14</f>
        <v>1206.7384615384615</v>
      </c>
      <c r="J81" s="78">
        <f>$Y$14</f>
        <v>458.21538461538461</v>
      </c>
      <c r="K81" s="78">
        <f t="shared" ref="K81:M81" si="165">Z14</f>
        <v>608.86153846153843</v>
      </c>
      <c r="L81" s="78">
        <f t="shared" si="165"/>
        <v>910.15384615384619</v>
      </c>
      <c r="M81" s="78">
        <f t="shared" si="165"/>
        <v>1211.4461538461539</v>
      </c>
      <c r="N81" s="164">
        <f>AC14</f>
        <v>477.04615384615386</v>
      </c>
      <c r="O81" s="164">
        <f>AD14</f>
        <v>627.69230769230774</v>
      </c>
      <c r="P81" s="164">
        <f>AE14</f>
        <v>928.98461538461538</v>
      </c>
      <c r="Q81" s="164">
        <f>AF14</f>
        <v>1230.2769230769231</v>
      </c>
      <c r="R81" s="78"/>
      <c r="S81" s="78"/>
      <c r="T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</row>
    <row r="82" spans="1:32" x14ac:dyDescent="0.25">
      <c r="A82" t="str">
        <f>$A$17</f>
        <v>SERDES</v>
      </c>
      <c r="B82" s="78">
        <f>U17</f>
        <v>171.77373629320115</v>
      </c>
      <c r="C82" s="78"/>
      <c r="D82" s="78"/>
      <c r="E82" s="78"/>
      <c r="F82" s="78" t="e">
        <f>#REF!</f>
        <v>#REF!</v>
      </c>
      <c r="G82" s="78">
        <f>V17</f>
        <v>172.16693136767148</v>
      </c>
      <c r="H82" s="78">
        <f>$W$17</f>
        <v>172.05876938082673</v>
      </c>
      <c r="I82" s="78">
        <f>X17</f>
        <v>172.05529778863041</v>
      </c>
      <c r="J82" s="78">
        <f>$Y$17</f>
        <v>285.28734023589988</v>
      </c>
      <c r="K82" s="78">
        <f t="shared" ref="K82:M82" si="166">Z17</f>
        <v>286.30039705150716</v>
      </c>
      <c r="L82" s="78">
        <f t="shared" si="166"/>
        <v>286.65073974448438</v>
      </c>
      <c r="M82" s="78">
        <f t="shared" si="166"/>
        <v>286.64379656009174</v>
      </c>
      <c r="N82" s="164">
        <f>AC17</f>
        <v>544</v>
      </c>
      <c r="O82" s="164">
        <f>AD17</f>
        <v>544</v>
      </c>
      <c r="P82" s="164">
        <f>AE17</f>
        <v>544</v>
      </c>
      <c r="Q82" s="164">
        <f>AF17</f>
        <v>544</v>
      </c>
      <c r="R82" s="78"/>
      <c r="S82" s="78"/>
      <c r="T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</row>
    <row r="83" spans="1:32" x14ac:dyDescent="0.25">
      <c r="A83" t="str">
        <f>$A$21</f>
        <v>DAC</v>
      </c>
      <c r="B83" s="78">
        <f>U21</f>
        <v>1393.1760807720118</v>
      </c>
      <c r="C83" s="78"/>
      <c r="D83" s="78"/>
      <c r="E83" s="78"/>
      <c r="F83" s="78" t="e">
        <f>#REF!</f>
        <v>#REF!</v>
      </c>
      <c r="G83" s="78">
        <f>V21</f>
        <v>1862.2164662438609</v>
      </c>
      <c r="H83" s="78">
        <f>$W$21</f>
        <v>2791.4010841319164</v>
      </c>
      <c r="I83" s="78">
        <f>X21</f>
        <v>3721.7858847468433</v>
      </c>
      <c r="J83" s="78">
        <f>$Y$21</f>
        <v>1199.1949498090739</v>
      </c>
      <c r="K83" s="78">
        <f t="shared" ref="K83:M83" si="167">Z21</f>
        <v>1602.2370371456786</v>
      </c>
      <c r="L83" s="78">
        <f t="shared" si="167"/>
        <v>2405.0847827899897</v>
      </c>
      <c r="M83" s="78">
        <f t="shared" si="167"/>
        <v>3206.7339366605429</v>
      </c>
      <c r="N83" s="164">
        <f>AC21</f>
        <v>1168.896</v>
      </c>
      <c r="O83" s="164">
        <f>AD21</f>
        <v>1558.528</v>
      </c>
      <c r="P83" s="164">
        <f>AE21</f>
        <v>2337.7919999999999</v>
      </c>
      <c r="Q83" s="164">
        <f>AF21</f>
        <v>3117.056</v>
      </c>
      <c r="R83" s="78"/>
      <c r="S83" s="78"/>
      <c r="T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</row>
    <row r="84" spans="1:32" x14ac:dyDescent="0.25">
      <c r="A84" t="str">
        <f>$A$25</f>
        <v>Mixer</v>
      </c>
      <c r="B84" s="78">
        <f>U25</f>
        <v>960</v>
      </c>
      <c r="C84" s="78"/>
      <c r="D84" s="78"/>
      <c r="E84" s="78"/>
      <c r="F84" s="78" t="e">
        <f>#REF!</f>
        <v>#REF!</v>
      </c>
      <c r="G84" s="78">
        <f>V25</f>
        <v>1280</v>
      </c>
      <c r="H84" s="78">
        <f>$W$25</f>
        <v>1920</v>
      </c>
      <c r="I84" s="78">
        <f>X25</f>
        <v>2560</v>
      </c>
      <c r="J84" s="78">
        <f>$Y$25</f>
        <v>960</v>
      </c>
      <c r="K84" s="78">
        <f t="shared" ref="K84:M84" si="168">Z25</f>
        <v>1280</v>
      </c>
      <c r="L84" s="78">
        <f t="shared" si="168"/>
        <v>1920</v>
      </c>
      <c r="M84" s="78">
        <f t="shared" si="168"/>
        <v>2560</v>
      </c>
      <c r="N84" s="164">
        <f>AC25</f>
        <v>960</v>
      </c>
      <c r="O84" s="164">
        <f>AD25</f>
        <v>1280</v>
      </c>
      <c r="P84" s="164">
        <f>AE25</f>
        <v>1920</v>
      </c>
      <c r="Q84" s="164">
        <f>AF25</f>
        <v>2560</v>
      </c>
      <c r="R84" s="78"/>
      <c r="S84" s="78"/>
      <c r="T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</row>
    <row r="85" spans="1:32" x14ac:dyDescent="0.25">
      <c r="A85" t="str">
        <f>$A$29</f>
        <v xml:space="preserve"> VCO</v>
      </c>
      <c r="B85" s="78">
        <f>U29</f>
        <v>5760</v>
      </c>
      <c r="C85" s="78"/>
      <c r="D85" s="78"/>
      <c r="E85" s="78"/>
      <c r="F85" s="78" t="e">
        <f>#REF!</f>
        <v>#REF!</v>
      </c>
      <c r="G85" s="78">
        <f>V29</f>
        <v>7680</v>
      </c>
      <c r="H85" s="78">
        <f>$W$29</f>
        <v>11520</v>
      </c>
      <c r="I85" s="78">
        <f>X29</f>
        <v>15360</v>
      </c>
      <c r="J85" s="78">
        <f>$Y$29</f>
        <v>5760</v>
      </c>
      <c r="K85" s="78">
        <f t="shared" ref="K85:M85" si="169">Z29</f>
        <v>7680</v>
      </c>
      <c r="L85" s="78">
        <f t="shared" si="169"/>
        <v>11520</v>
      </c>
      <c r="M85" s="78">
        <f t="shared" si="169"/>
        <v>15360</v>
      </c>
      <c r="N85" s="164">
        <f>AC29</f>
        <v>5760</v>
      </c>
      <c r="O85" s="164">
        <f>AD29</f>
        <v>7680</v>
      </c>
      <c r="P85" s="164">
        <f>AE29</f>
        <v>11520</v>
      </c>
      <c r="Q85" s="164">
        <f>AF29</f>
        <v>15360</v>
      </c>
      <c r="R85" s="78"/>
      <c r="S85" s="78"/>
      <c r="T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</row>
    <row r="86" spans="1:32" x14ac:dyDescent="0.25">
      <c r="A86" t="str">
        <f>$A$43</f>
        <v>PS</v>
      </c>
      <c r="B86" s="78">
        <f>U43</f>
        <v>7680</v>
      </c>
      <c r="C86" s="78"/>
      <c r="D86" s="78"/>
      <c r="E86" s="78"/>
      <c r="F86" s="78" t="e">
        <f>#REF!</f>
        <v>#REF!</v>
      </c>
      <c r="G86" s="78">
        <f>V43</f>
        <v>10240</v>
      </c>
      <c r="H86" s="78">
        <f>$W$43</f>
        <v>15360</v>
      </c>
      <c r="I86" s="78">
        <f>X43</f>
        <v>20480</v>
      </c>
      <c r="J86" s="78">
        <f>$Y$43</f>
        <v>7680</v>
      </c>
      <c r="K86" s="78">
        <f t="shared" ref="K86:M86" si="170">Z43</f>
        <v>10240</v>
      </c>
      <c r="L86" s="78">
        <f t="shared" si="170"/>
        <v>15360</v>
      </c>
      <c r="M86" s="78">
        <f t="shared" si="170"/>
        <v>20480</v>
      </c>
      <c r="N86" s="164">
        <f>AC43</f>
        <v>7680</v>
      </c>
      <c r="O86" s="164">
        <f>AD43</f>
        <v>10240</v>
      </c>
      <c r="P86" s="164">
        <f>AE43</f>
        <v>15360</v>
      </c>
      <c r="Q86" s="164">
        <f>AF43</f>
        <v>20480</v>
      </c>
      <c r="R86" s="78"/>
      <c r="S86" s="78"/>
      <c r="T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</row>
    <row r="87" spans="1:32" x14ac:dyDescent="0.25">
      <c r="A87" t="str">
        <f>$A$48</f>
        <v>RF Amp</v>
      </c>
      <c r="B87" s="78">
        <f>U48</f>
        <v>38400</v>
      </c>
      <c r="C87" s="78"/>
      <c r="D87" s="78"/>
      <c r="E87" s="78"/>
      <c r="F87" s="78" t="e">
        <f>#REF!</f>
        <v>#REF!</v>
      </c>
      <c r="G87" s="78">
        <f>V48</f>
        <v>51200</v>
      </c>
      <c r="H87" s="78">
        <f>$W$48</f>
        <v>76800</v>
      </c>
      <c r="I87" s="78">
        <f>X48</f>
        <v>102400</v>
      </c>
      <c r="J87" s="78">
        <f>$Y$48</f>
        <v>38400</v>
      </c>
      <c r="K87" s="78">
        <f t="shared" ref="K87:M87" si="171">Z48</f>
        <v>51200</v>
      </c>
      <c r="L87" s="78">
        <f t="shared" si="171"/>
        <v>76800</v>
      </c>
      <c r="M87" s="78">
        <f t="shared" si="171"/>
        <v>102400</v>
      </c>
      <c r="N87" s="164">
        <f>AC48</f>
        <v>38400</v>
      </c>
      <c r="O87" s="164">
        <f>AD48</f>
        <v>51200</v>
      </c>
      <c r="P87" s="164">
        <f>AE48</f>
        <v>76800</v>
      </c>
      <c r="Q87" s="164">
        <f>AF48</f>
        <v>102400</v>
      </c>
      <c r="R87" s="78"/>
      <c r="S87" s="78"/>
      <c r="T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</row>
    <row r="88" spans="1:32" x14ac:dyDescent="0.25">
      <c r="A88" t="str">
        <f>$A$55</f>
        <v>PA</v>
      </c>
      <c r="B88" s="78">
        <f>U55</f>
        <v>168588.62616723997</v>
      </c>
      <c r="C88" s="78"/>
      <c r="D88" s="78"/>
      <c r="E88" s="78"/>
      <c r="F88" s="78" t="e">
        <f>#REF!</f>
        <v>#REF!</v>
      </c>
      <c r="G88" s="78">
        <f>V55</f>
        <v>128477.8533310744</v>
      </c>
      <c r="H88" s="78">
        <f>$W$55</f>
        <v>85276.284848613548</v>
      </c>
      <c r="I88" s="78">
        <f>X55</f>
        <v>63948.192201360413</v>
      </c>
      <c r="J88" s="78">
        <f>$Y$55</f>
        <v>206456.36261624147</v>
      </c>
      <c r="K88" s="78">
        <f t="shared" ref="K88:M88" si="172">Z55</f>
        <v>158062.29069423417</v>
      </c>
      <c r="L88" s="78">
        <f t="shared" si="172"/>
        <v>106127.58253167842</v>
      </c>
      <c r="M88" s="78">
        <f t="shared" si="172"/>
        <v>79584.459590957893</v>
      </c>
      <c r="N88" s="164">
        <f>AC55</f>
        <v>299108.16714364185</v>
      </c>
      <c r="O88" s="164">
        <f>AD55</f>
        <v>232181.8523053446</v>
      </c>
      <c r="P88" s="164">
        <f>AE55</f>
        <v>162865.19049654723</v>
      </c>
      <c r="Q88" s="164">
        <f>AF55</f>
        <v>124402.26040045999</v>
      </c>
      <c r="R88" s="78"/>
      <c r="S88" s="78"/>
      <c r="T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</row>
    <row r="90" spans="1:32" x14ac:dyDescent="0.25">
      <c r="B90" s="39">
        <f t="shared" ref="B90:E90" si="173">AG2</f>
        <v>384</v>
      </c>
      <c r="C90" s="39">
        <f t="shared" si="173"/>
        <v>512</v>
      </c>
      <c r="D90" s="39">
        <f t="shared" si="173"/>
        <v>768</v>
      </c>
      <c r="E90" s="39">
        <f t="shared" si="173"/>
        <v>1024</v>
      </c>
      <c r="F90" s="39"/>
      <c r="G90" s="39"/>
      <c r="H90" s="39"/>
      <c r="I90" s="39"/>
      <c r="J90" s="113"/>
      <c r="U90" s="39"/>
      <c r="V90" s="39"/>
      <c r="W90" s="39"/>
      <c r="X90" s="39"/>
      <c r="Y90" s="113"/>
      <c r="Z90" s="113"/>
      <c r="AA90" s="113"/>
      <c r="AB90" s="113"/>
      <c r="AC90" s="113"/>
      <c r="AD90" s="113"/>
      <c r="AE90" s="113"/>
      <c r="AF90" s="113"/>
    </row>
    <row r="91" spans="1:32" x14ac:dyDescent="0.25">
      <c r="A91" t="str">
        <f>$A$14</f>
        <v>BB Precoding</v>
      </c>
      <c r="B91" s="78">
        <f t="shared" ref="B91:E91" si="174">AG14</f>
        <v>0</v>
      </c>
      <c r="C91" s="78">
        <f t="shared" si="174"/>
        <v>0</v>
      </c>
      <c r="D91" s="78">
        <f t="shared" si="174"/>
        <v>0</v>
      </c>
      <c r="E91" s="78">
        <f t="shared" si="174"/>
        <v>0</v>
      </c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</row>
    <row r="92" spans="1:32" x14ac:dyDescent="0.25">
      <c r="A92" t="str">
        <f>$A$17</f>
        <v>SERDES</v>
      </c>
      <c r="B92" s="78">
        <f t="shared" ref="B92:E92" si="175">AG17</f>
        <v>168.87605135708003</v>
      </c>
      <c r="C92" s="78">
        <f t="shared" si="175"/>
        <v>168.87431556098187</v>
      </c>
      <c r="D92" s="78">
        <f t="shared" si="175"/>
        <v>168.90523456755949</v>
      </c>
      <c r="E92" s="78">
        <f t="shared" si="175"/>
        <v>168.93183210479467</v>
      </c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</row>
    <row r="93" spans="1:32" x14ac:dyDescent="0.25">
      <c r="A93" t="str">
        <f>$A$21</f>
        <v>DAC</v>
      </c>
      <c r="B93" s="78">
        <f t="shared" ref="B93:E93" si="176">AG21</f>
        <v>6865.2457515761362</v>
      </c>
      <c r="C93" s="78">
        <f t="shared" si="176"/>
        <v>9153.0584754905922</v>
      </c>
      <c r="D93" s="78">
        <f t="shared" si="176"/>
        <v>13745.696125169437</v>
      </c>
      <c r="E93" s="78">
        <f t="shared" si="176"/>
        <v>18346.092484993911</v>
      </c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</row>
    <row r="94" spans="1:32" x14ac:dyDescent="0.25">
      <c r="A94" t="str">
        <f>$A$25</f>
        <v>Mixer</v>
      </c>
      <c r="B94" s="78">
        <f t="shared" ref="B94:E94" si="177">AG25</f>
        <v>480</v>
      </c>
      <c r="C94" s="78">
        <f t="shared" si="177"/>
        <v>640</v>
      </c>
      <c r="D94" s="78">
        <f t="shared" si="177"/>
        <v>960</v>
      </c>
      <c r="E94" s="78">
        <f t="shared" si="177"/>
        <v>1280</v>
      </c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</row>
    <row r="95" spans="1:32" x14ac:dyDescent="0.25">
      <c r="A95" t="str">
        <f>$A$29</f>
        <v xml:space="preserve"> VCO</v>
      </c>
      <c r="B95" s="78">
        <f t="shared" ref="B95:E95" si="178">AG29</f>
        <v>2880</v>
      </c>
      <c r="C95" s="78">
        <f t="shared" si="178"/>
        <v>3840</v>
      </c>
      <c r="D95" s="78">
        <f t="shared" si="178"/>
        <v>5760</v>
      </c>
      <c r="E95" s="78">
        <f t="shared" si="178"/>
        <v>7680</v>
      </c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</row>
    <row r="96" spans="1:32" x14ac:dyDescent="0.25">
      <c r="A96" t="str">
        <f>$A$43</f>
        <v>PS</v>
      </c>
      <c r="B96" s="78">
        <f t="shared" ref="B96:E96" si="179">AG43</f>
        <v>3840</v>
      </c>
      <c r="C96" s="78">
        <f t="shared" si="179"/>
        <v>5120</v>
      </c>
      <c r="D96" s="78">
        <f t="shared" si="179"/>
        <v>7680</v>
      </c>
      <c r="E96" s="78">
        <f t="shared" si="179"/>
        <v>10240</v>
      </c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</row>
    <row r="97" spans="1:32" x14ac:dyDescent="0.25">
      <c r="A97" t="str">
        <f>$A$48</f>
        <v>RF Amp</v>
      </c>
      <c r="B97" s="78">
        <f t="shared" ref="B97:E97" si="180">AG48</f>
        <v>19200</v>
      </c>
      <c r="C97" s="78">
        <f t="shared" si="180"/>
        <v>25600</v>
      </c>
      <c r="D97" s="78">
        <f t="shared" si="180"/>
        <v>38400</v>
      </c>
      <c r="E97" s="78">
        <f t="shared" si="180"/>
        <v>51200</v>
      </c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</row>
    <row r="98" spans="1:32" x14ac:dyDescent="0.25">
      <c r="A98" t="str">
        <f>$A$55</f>
        <v>PA</v>
      </c>
      <c r="B98" s="78">
        <f t="shared" ref="B98:E98" si="181">AG55</f>
        <v>68364.126890332467</v>
      </c>
      <c r="C98" s="78">
        <f t="shared" si="181"/>
        <v>51265.86288112952</v>
      </c>
      <c r="D98" s="78">
        <f t="shared" si="181"/>
        <v>34263.227635509582</v>
      </c>
      <c r="E98" s="78">
        <f t="shared" si="181"/>
        <v>25753.026313806273</v>
      </c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</row>
  </sheetData>
  <mergeCells count="5">
    <mergeCell ref="B69:I69"/>
    <mergeCell ref="J69:M69"/>
    <mergeCell ref="A79:I79"/>
    <mergeCell ref="J79:M79"/>
    <mergeCell ref="N79:U79"/>
  </mergeCells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50C8-3FAF-4DAE-B59B-8A3086DE1E45}">
  <dimension ref="A1:AH101"/>
  <sheetViews>
    <sheetView workbookViewId="0">
      <selection activeCell="C14" sqref="C14:F52"/>
    </sheetView>
  </sheetViews>
  <sheetFormatPr defaultRowHeight="15" x14ac:dyDescent="0.25"/>
  <cols>
    <col min="1" max="1" width="31.28515625" customWidth="1"/>
    <col min="2" max="5" width="11.7109375" customWidth="1"/>
    <col min="6" max="6" width="13.140625" customWidth="1"/>
    <col min="7" max="7" width="12.5703125" customWidth="1"/>
    <col min="8" max="8" width="11.42578125" customWidth="1"/>
    <col min="9" max="9" width="13.5703125" customWidth="1"/>
    <col min="10" max="18" width="12.7109375" customWidth="1"/>
    <col min="19" max="19" width="11.5703125" customWidth="1"/>
    <col min="20" max="20" width="12.28515625" customWidth="1"/>
    <col min="21" max="21" width="11.5703125" customWidth="1"/>
    <col min="22" max="30" width="11.7109375" customWidth="1"/>
    <col min="31" max="31" width="12" customWidth="1"/>
    <col min="32" max="32" width="12.42578125" customWidth="1"/>
    <col min="33" max="33" width="13" customWidth="1"/>
    <col min="34" max="34" width="12.5703125" customWidth="1"/>
  </cols>
  <sheetData>
    <row r="1" spans="1:34" x14ac:dyDescent="0.25">
      <c r="A1" s="152" t="s">
        <v>343</v>
      </c>
      <c r="B1" s="152" t="s">
        <v>326</v>
      </c>
      <c r="C1" s="2" t="s">
        <v>335</v>
      </c>
      <c r="D1" s="2" t="s">
        <v>479</v>
      </c>
      <c r="E1" s="2" t="s">
        <v>480</v>
      </c>
      <c r="F1" s="2" t="s">
        <v>481</v>
      </c>
      <c r="G1" s="2" t="s">
        <v>449</v>
      </c>
      <c r="H1" s="2" t="s">
        <v>448</v>
      </c>
      <c r="I1" s="2" t="s">
        <v>450</v>
      </c>
      <c r="J1" s="2" t="s">
        <v>451</v>
      </c>
      <c r="K1" s="2" t="s">
        <v>562</v>
      </c>
      <c r="L1" s="2" t="s">
        <v>561</v>
      </c>
      <c r="M1" s="2" t="s">
        <v>560</v>
      </c>
      <c r="N1" s="2" t="s">
        <v>183</v>
      </c>
      <c r="O1" s="2" t="s">
        <v>571</v>
      </c>
      <c r="P1" s="2" t="s">
        <v>570</v>
      </c>
      <c r="Q1" s="2" t="s">
        <v>569</v>
      </c>
      <c r="R1" s="2" t="s">
        <v>568</v>
      </c>
      <c r="S1" s="101" t="s">
        <v>452</v>
      </c>
      <c r="T1" s="101" t="s">
        <v>453</v>
      </c>
      <c r="U1" s="101" t="s">
        <v>454</v>
      </c>
      <c r="V1" s="101" t="s">
        <v>455</v>
      </c>
      <c r="W1" s="101" t="s">
        <v>581</v>
      </c>
      <c r="X1" s="101" t="s">
        <v>582</v>
      </c>
      <c r="Y1" s="101" t="s">
        <v>583</v>
      </c>
      <c r="Z1" s="101" t="s">
        <v>584</v>
      </c>
      <c r="AA1" s="101" t="s">
        <v>566</v>
      </c>
      <c r="AB1" s="101" t="s">
        <v>565</v>
      </c>
      <c r="AC1" s="101" t="s">
        <v>564</v>
      </c>
      <c r="AD1" s="101" t="s">
        <v>563</v>
      </c>
      <c r="AE1" s="102" t="s">
        <v>457</v>
      </c>
      <c r="AF1" s="102" t="s">
        <v>456</v>
      </c>
      <c r="AG1" s="102" t="s">
        <v>458</v>
      </c>
      <c r="AH1" s="102" t="s">
        <v>459</v>
      </c>
    </row>
    <row r="2" spans="1:34" hidden="1" x14ac:dyDescent="0.25">
      <c r="A2" s="67" t="s">
        <v>356</v>
      </c>
      <c r="B2" s="40" t="s">
        <v>330</v>
      </c>
      <c r="C2" s="39">
        <v>128</v>
      </c>
      <c r="D2" s="39">
        <v>256</v>
      </c>
      <c r="E2" s="39">
        <v>384</v>
      </c>
      <c r="F2" s="39">
        <v>512</v>
      </c>
      <c r="G2" s="39">
        <v>64</v>
      </c>
      <c r="H2" s="39">
        <v>128</v>
      </c>
      <c r="I2" s="39">
        <v>192</v>
      </c>
      <c r="J2" s="113">
        <v>256</v>
      </c>
      <c r="K2" s="113">
        <v>32</v>
      </c>
      <c r="L2" s="113">
        <v>64</v>
      </c>
      <c r="M2" s="113">
        <v>128</v>
      </c>
      <c r="N2" s="113">
        <v>192</v>
      </c>
      <c r="O2" s="113">
        <v>32</v>
      </c>
      <c r="P2" s="113">
        <v>64</v>
      </c>
      <c r="Q2" s="113">
        <v>128</v>
      </c>
      <c r="R2" s="113">
        <v>192</v>
      </c>
      <c r="S2" s="113">
        <v>384</v>
      </c>
      <c r="T2" s="113">
        <v>512</v>
      </c>
      <c r="U2" s="113">
        <v>768</v>
      </c>
      <c r="V2" s="113">
        <v>1024</v>
      </c>
      <c r="W2" s="113">
        <v>384</v>
      </c>
      <c r="X2" s="113">
        <v>512</v>
      </c>
      <c r="Y2" s="113">
        <v>768</v>
      </c>
      <c r="Z2" s="113">
        <v>1024</v>
      </c>
      <c r="AA2" s="113">
        <v>192</v>
      </c>
      <c r="AB2" s="113">
        <v>256</v>
      </c>
      <c r="AC2" s="113">
        <v>384</v>
      </c>
      <c r="AD2" s="113">
        <v>512</v>
      </c>
      <c r="AE2" s="113">
        <v>384</v>
      </c>
      <c r="AF2" s="113">
        <v>512</v>
      </c>
      <c r="AG2" s="113">
        <v>768</v>
      </c>
      <c r="AH2" s="113">
        <v>1024</v>
      </c>
    </row>
    <row r="3" spans="1:34" hidden="1" x14ac:dyDescent="0.25">
      <c r="A3" s="67" t="s">
        <v>355</v>
      </c>
      <c r="B3" s="40" t="s">
        <v>330</v>
      </c>
      <c r="C3" s="39">
        <v>8</v>
      </c>
      <c r="D3" s="39">
        <v>8</v>
      </c>
      <c r="E3" s="39">
        <v>8</v>
      </c>
      <c r="F3" s="39">
        <v>8</v>
      </c>
      <c r="G3" s="39">
        <f t="shared" ref="G3:K3" si="0">G6</f>
        <v>8</v>
      </c>
      <c r="H3" s="39">
        <f t="shared" si="0"/>
        <v>8</v>
      </c>
      <c r="I3" s="39">
        <f t="shared" si="0"/>
        <v>8</v>
      </c>
      <c r="J3" s="39">
        <f t="shared" si="0"/>
        <v>8</v>
      </c>
      <c r="K3" s="39">
        <f t="shared" si="0"/>
        <v>16</v>
      </c>
      <c r="L3" s="39">
        <f t="shared" ref="L3:N3" si="1">L6</f>
        <v>16</v>
      </c>
      <c r="M3" s="39">
        <f t="shared" si="1"/>
        <v>16</v>
      </c>
      <c r="N3" s="39">
        <f t="shared" si="1"/>
        <v>16</v>
      </c>
      <c r="O3" s="39">
        <f>O6</f>
        <v>32</v>
      </c>
      <c r="P3" s="39">
        <f>P6</f>
        <v>32</v>
      </c>
      <c r="Q3" s="39">
        <f t="shared" ref="Q3:R3" si="2">Q6</f>
        <v>32</v>
      </c>
      <c r="R3" s="39">
        <f t="shared" si="2"/>
        <v>32</v>
      </c>
      <c r="S3" s="39">
        <f t="shared" ref="S3:AH3" si="3">S6</f>
        <v>2</v>
      </c>
      <c r="T3" s="39">
        <f t="shared" si="3"/>
        <v>2</v>
      </c>
      <c r="U3" s="39">
        <f t="shared" si="3"/>
        <v>2</v>
      </c>
      <c r="V3" s="39">
        <f t="shared" si="3"/>
        <v>2</v>
      </c>
      <c r="W3" s="39">
        <f t="shared" si="3"/>
        <v>4</v>
      </c>
      <c r="X3" s="39">
        <f t="shared" si="3"/>
        <v>4</v>
      </c>
      <c r="Y3" s="39">
        <f t="shared" si="3"/>
        <v>4</v>
      </c>
      <c r="Z3" s="39">
        <f t="shared" si="3"/>
        <v>4</v>
      </c>
      <c r="AA3" s="39">
        <f t="shared" si="3"/>
        <v>8</v>
      </c>
      <c r="AB3" s="39">
        <f t="shared" ref="AB3" si="4">AB6</f>
        <v>8</v>
      </c>
      <c r="AC3" s="39">
        <f t="shared" si="3"/>
        <v>8</v>
      </c>
      <c r="AD3" s="39">
        <f t="shared" si="3"/>
        <v>8</v>
      </c>
      <c r="AE3" s="39">
        <f t="shared" si="3"/>
        <v>1</v>
      </c>
      <c r="AF3" s="39">
        <f t="shared" si="3"/>
        <v>1</v>
      </c>
      <c r="AG3" s="39">
        <f t="shared" si="3"/>
        <v>1</v>
      </c>
      <c r="AH3" s="39">
        <f t="shared" si="3"/>
        <v>1</v>
      </c>
    </row>
    <row r="4" spans="1:34" hidden="1" x14ac:dyDescent="0.25">
      <c r="A4" s="67" t="s">
        <v>263</v>
      </c>
      <c r="B4" s="40" t="s">
        <v>330</v>
      </c>
      <c r="C4" s="39">
        <f>C2</f>
        <v>128</v>
      </c>
      <c r="D4" s="39">
        <f>D2</f>
        <v>256</v>
      </c>
      <c r="E4" s="39">
        <f>E2</f>
        <v>384</v>
      </c>
      <c r="F4" s="39">
        <f>F2</f>
        <v>512</v>
      </c>
      <c r="G4" s="39">
        <f>G2</f>
        <v>64</v>
      </c>
      <c r="H4" s="39">
        <f t="shared" ref="H4:J4" si="5">H2</f>
        <v>128</v>
      </c>
      <c r="I4" s="39">
        <f t="shared" si="5"/>
        <v>192</v>
      </c>
      <c r="J4" s="39">
        <f t="shared" si="5"/>
        <v>256</v>
      </c>
      <c r="K4" s="39">
        <f>K2</f>
        <v>32</v>
      </c>
      <c r="L4" s="39">
        <f>L2</f>
        <v>64</v>
      </c>
      <c r="M4" s="39">
        <f t="shared" ref="M4:N4" si="6">M2</f>
        <v>128</v>
      </c>
      <c r="N4" s="39">
        <f t="shared" si="6"/>
        <v>192</v>
      </c>
      <c r="O4" s="39">
        <f>O2</f>
        <v>32</v>
      </c>
      <c r="P4" s="39">
        <f>P2</f>
        <v>64</v>
      </c>
      <c r="Q4" s="39">
        <f t="shared" ref="Q4:R4" si="7">Q2</f>
        <v>128</v>
      </c>
      <c r="R4" s="39">
        <f t="shared" si="7"/>
        <v>192</v>
      </c>
      <c r="S4" s="39">
        <f>S2</f>
        <v>384</v>
      </c>
      <c r="T4" s="39">
        <f t="shared" ref="T4:V4" si="8">T2</f>
        <v>512</v>
      </c>
      <c r="U4" s="39">
        <f t="shared" si="8"/>
        <v>768</v>
      </c>
      <c r="V4" s="39">
        <f t="shared" si="8"/>
        <v>1024</v>
      </c>
      <c r="W4" s="39">
        <f>W2</f>
        <v>384</v>
      </c>
      <c r="X4" s="39">
        <f t="shared" ref="X4:Z4" si="9">X2</f>
        <v>512</v>
      </c>
      <c r="Y4" s="39">
        <f t="shared" si="9"/>
        <v>768</v>
      </c>
      <c r="Z4" s="39">
        <f t="shared" si="9"/>
        <v>1024</v>
      </c>
      <c r="AA4" s="39">
        <f>AA2</f>
        <v>192</v>
      </c>
      <c r="AB4" s="39">
        <f>AB2</f>
        <v>256</v>
      </c>
      <c r="AC4" s="39">
        <f>AC2</f>
        <v>384</v>
      </c>
      <c r="AD4" s="39">
        <f t="shared" ref="AD4" si="10">AD2</f>
        <v>512</v>
      </c>
      <c r="AE4" s="39">
        <f>AE2</f>
        <v>384</v>
      </c>
      <c r="AF4" s="39">
        <f t="shared" ref="AF4:AH4" si="11">AF2</f>
        <v>512</v>
      </c>
      <c r="AG4" s="39">
        <f t="shared" si="11"/>
        <v>768</v>
      </c>
      <c r="AH4" s="39">
        <f t="shared" si="11"/>
        <v>1024</v>
      </c>
    </row>
    <row r="5" spans="1:34" hidden="1" x14ac:dyDescent="0.25">
      <c r="A5" s="67" t="s">
        <v>331</v>
      </c>
      <c r="B5" s="40" t="s">
        <v>330</v>
      </c>
      <c r="C5" s="39">
        <f>C4*C3</f>
        <v>1024</v>
      </c>
      <c r="D5" s="39">
        <f>D4*D3</f>
        <v>2048</v>
      </c>
      <c r="E5" s="39">
        <f>E4*E3</f>
        <v>3072</v>
      </c>
      <c r="F5" s="39">
        <f>F4*F3</f>
        <v>4096</v>
      </c>
      <c r="G5" s="39">
        <f t="shared" ref="G5:AH5" si="12">G4*G3</f>
        <v>512</v>
      </c>
      <c r="H5" s="39">
        <f t="shared" si="12"/>
        <v>1024</v>
      </c>
      <c r="I5" s="39">
        <f t="shared" si="12"/>
        <v>1536</v>
      </c>
      <c r="J5" s="39">
        <f t="shared" si="12"/>
        <v>2048</v>
      </c>
      <c r="K5" s="39">
        <f t="shared" ref="K5" si="13">K4*K3</f>
        <v>512</v>
      </c>
      <c r="L5" s="39">
        <f t="shared" ref="L5:O5" si="14">L4*L3</f>
        <v>1024</v>
      </c>
      <c r="M5" s="39">
        <f t="shared" si="14"/>
        <v>2048</v>
      </c>
      <c r="N5" s="39">
        <f t="shared" si="14"/>
        <v>3072</v>
      </c>
      <c r="O5" s="39">
        <f t="shared" si="14"/>
        <v>1024</v>
      </c>
      <c r="P5" s="39">
        <f t="shared" si="12"/>
        <v>2048</v>
      </c>
      <c r="Q5" s="39">
        <f t="shared" si="12"/>
        <v>4096</v>
      </c>
      <c r="R5" s="39">
        <f t="shared" si="12"/>
        <v>6144</v>
      </c>
      <c r="S5" s="39">
        <f t="shared" si="12"/>
        <v>768</v>
      </c>
      <c r="T5" s="39">
        <f t="shared" si="12"/>
        <v>1024</v>
      </c>
      <c r="U5" s="39">
        <f t="shared" si="12"/>
        <v>1536</v>
      </c>
      <c r="V5" s="39">
        <f t="shared" si="12"/>
        <v>2048</v>
      </c>
      <c r="W5" s="39">
        <f t="shared" ref="W5:Z5" si="15">W4*W3</f>
        <v>1536</v>
      </c>
      <c r="X5" s="39">
        <f t="shared" si="15"/>
        <v>2048</v>
      </c>
      <c r="Y5" s="39">
        <f t="shared" si="15"/>
        <v>3072</v>
      </c>
      <c r="Z5" s="39">
        <f t="shared" si="15"/>
        <v>4096</v>
      </c>
      <c r="AA5" s="39">
        <f t="shared" ref="AA5" si="16">AA4*AA3</f>
        <v>1536</v>
      </c>
      <c r="AB5" s="39">
        <f t="shared" ref="AB5:AD5" si="17">AB4*AB3</f>
        <v>2048</v>
      </c>
      <c r="AC5" s="39">
        <f t="shared" si="17"/>
        <v>3072</v>
      </c>
      <c r="AD5" s="39">
        <f t="shared" si="17"/>
        <v>4096</v>
      </c>
      <c r="AE5" s="39">
        <f t="shared" si="12"/>
        <v>384</v>
      </c>
      <c r="AF5" s="39">
        <f t="shared" si="12"/>
        <v>512</v>
      </c>
      <c r="AG5" s="39">
        <f t="shared" si="12"/>
        <v>768</v>
      </c>
      <c r="AH5" s="39">
        <f t="shared" si="12"/>
        <v>1024</v>
      </c>
    </row>
    <row r="6" spans="1:34" hidden="1" x14ac:dyDescent="0.25">
      <c r="A6" s="67" t="s">
        <v>464</v>
      </c>
      <c r="B6" s="40" t="s">
        <v>342</v>
      </c>
      <c r="C6" s="39">
        <v>16</v>
      </c>
      <c r="D6" s="39">
        <v>16</v>
      </c>
      <c r="E6" s="39">
        <v>16</v>
      </c>
      <c r="F6" s="39">
        <v>16</v>
      </c>
      <c r="G6" s="39">
        <v>8</v>
      </c>
      <c r="H6" s="39">
        <v>8</v>
      </c>
      <c r="I6" s="39">
        <v>8</v>
      </c>
      <c r="J6" s="39">
        <v>8</v>
      </c>
      <c r="K6" s="39">
        <v>16</v>
      </c>
      <c r="L6" s="39">
        <v>16</v>
      </c>
      <c r="M6" s="39">
        <v>16</v>
      </c>
      <c r="N6" s="39">
        <v>16</v>
      </c>
      <c r="O6" s="39">
        <v>32</v>
      </c>
      <c r="P6" s="39">
        <v>32</v>
      </c>
      <c r="Q6" s="39">
        <v>32</v>
      </c>
      <c r="R6" s="39">
        <v>32</v>
      </c>
      <c r="S6" s="39">
        <v>2</v>
      </c>
      <c r="T6" s="39">
        <v>2</v>
      </c>
      <c r="U6" s="39">
        <v>2</v>
      </c>
      <c r="V6" s="39">
        <v>2</v>
      </c>
      <c r="W6" s="39">
        <v>4</v>
      </c>
      <c r="X6" s="39">
        <v>4</v>
      </c>
      <c r="Y6" s="39">
        <v>4</v>
      </c>
      <c r="Z6" s="39">
        <v>4</v>
      </c>
      <c r="AA6" s="39">
        <v>8</v>
      </c>
      <c r="AB6" s="39">
        <v>8</v>
      </c>
      <c r="AC6" s="39">
        <v>8</v>
      </c>
      <c r="AD6" s="39">
        <v>8</v>
      </c>
      <c r="AE6" s="39">
        <v>1</v>
      </c>
      <c r="AF6" s="39">
        <v>1</v>
      </c>
      <c r="AG6" s="39">
        <v>1</v>
      </c>
      <c r="AH6" s="39">
        <v>1</v>
      </c>
    </row>
    <row r="7" spans="1:34" hidden="1" x14ac:dyDescent="0.25">
      <c r="A7" s="67" t="s">
        <v>262</v>
      </c>
      <c r="B7" s="40" t="s">
        <v>330</v>
      </c>
      <c r="C7" s="31">
        <f>C3</f>
        <v>8</v>
      </c>
      <c r="D7" s="31">
        <f>D3</f>
        <v>8</v>
      </c>
      <c r="E7" s="31">
        <f>E3</f>
        <v>8</v>
      </c>
      <c r="F7" s="31">
        <f>F3</f>
        <v>8</v>
      </c>
      <c r="G7" s="39">
        <f>G3</f>
        <v>8</v>
      </c>
      <c r="H7" s="39">
        <f t="shared" ref="H7:AH7" si="18">H3</f>
        <v>8</v>
      </c>
      <c r="I7" s="39">
        <f t="shared" si="18"/>
        <v>8</v>
      </c>
      <c r="J7" s="39">
        <f t="shared" si="18"/>
        <v>8</v>
      </c>
      <c r="K7" s="39">
        <f t="shared" si="18"/>
        <v>16</v>
      </c>
      <c r="L7" s="39">
        <f t="shared" ref="L7:N7" si="19">L3</f>
        <v>16</v>
      </c>
      <c r="M7" s="39">
        <f t="shared" si="19"/>
        <v>16</v>
      </c>
      <c r="N7" s="39">
        <f t="shared" si="19"/>
        <v>16</v>
      </c>
      <c r="O7" s="39">
        <f t="shared" si="18"/>
        <v>32</v>
      </c>
      <c r="P7" s="39">
        <f t="shared" ref="P7:R7" si="20">P3</f>
        <v>32</v>
      </c>
      <c r="Q7" s="39">
        <f t="shared" si="20"/>
        <v>32</v>
      </c>
      <c r="R7" s="39">
        <f t="shared" si="20"/>
        <v>32</v>
      </c>
      <c r="S7" s="39">
        <f t="shared" si="18"/>
        <v>2</v>
      </c>
      <c r="T7" s="39">
        <f t="shared" si="18"/>
        <v>2</v>
      </c>
      <c r="U7" s="39">
        <f t="shared" si="18"/>
        <v>2</v>
      </c>
      <c r="V7" s="39">
        <f t="shared" si="18"/>
        <v>2</v>
      </c>
      <c r="W7" s="39">
        <f t="shared" si="18"/>
        <v>4</v>
      </c>
      <c r="X7" s="39">
        <f t="shared" si="18"/>
        <v>4</v>
      </c>
      <c r="Y7" s="39">
        <f t="shared" si="18"/>
        <v>4</v>
      </c>
      <c r="Z7" s="39">
        <f t="shared" si="18"/>
        <v>4</v>
      </c>
      <c r="AA7" s="39">
        <f t="shared" si="18"/>
        <v>8</v>
      </c>
      <c r="AB7" s="39">
        <f t="shared" ref="AB7" si="21">AB3</f>
        <v>8</v>
      </c>
      <c r="AC7" s="39">
        <f t="shared" si="18"/>
        <v>8</v>
      </c>
      <c r="AD7" s="39">
        <f t="shared" si="18"/>
        <v>8</v>
      </c>
      <c r="AE7" s="39">
        <f t="shared" si="18"/>
        <v>1</v>
      </c>
      <c r="AF7" s="39">
        <f t="shared" si="18"/>
        <v>1</v>
      </c>
      <c r="AG7" s="39">
        <f t="shared" si="18"/>
        <v>1</v>
      </c>
      <c r="AH7" s="39">
        <f t="shared" si="18"/>
        <v>1</v>
      </c>
    </row>
    <row r="8" spans="1:34" hidden="1" x14ac:dyDescent="0.25">
      <c r="A8" s="67" t="s">
        <v>260</v>
      </c>
      <c r="B8" s="40" t="s">
        <v>342</v>
      </c>
      <c r="C8" s="44">
        <f>C10*5</f>
        <v>4.25</v>
      </c>
      <c r="D8" s="44">
        <f>D10*5</f>
        <v>4.25</v>
      </c>
      <c r="E8" s="44">
        <f>E10*5</f>
        <v>4.25</v>
      </c>
      <c r="F8" s="44">
        <f>F10*2</f>
        <v>1.7</v>
      </c>
      <c r="G8" s="44">
        <f t="shared" ref="G8:AH8" si="22">G10*2</f>
        <v>1.7</v>
      </c>
      <c r="H8" s="44">
        <f t="shared" si="22"/>
        <v>1.7</v>
      </c>
      <c r="I8" s="44">
        <f t="shared" si="22"/>
        <v>1.7</v>
      </c>
      <c r="J8" s="44">
        <f t="shared" si="22"/>
        <v>1.7</v>
      </c>
      <c r="K8" s="44">
        <f t="shared" ref="K8" si="23">K10*2</f>
        <v>1.7</v>
      </c>
      <c r="L8" s="44">
        <f t="shared" ref="L8:O8" si="24">L10*2</f>
        <v>1.7</v>
      </c>
      <c r="M8" s="44">
        <f t="shared" si="24"/>
        <v>1.7</v>
      </c>
      <c r="N8" s="44">
        <f t="shared" si="24"/>
        <v>1.7</v>
      </c>
      <c r="O8" s="44">
        <f t="shared" si="24"/>
        <v>1.7</v>
      </c>
      <c r="P8" s="44">
        <f t="shared" si="22"/>
        <v>1.7</v>
      </c>
      <c r="Q8" s="44">
        <f t="shared" si="22"/>
        <v>1.7</v>
      </c>
      <c r="R8" s="44">
        <f t="shared" si="22"/>
        <v>1.7</v>
      </c>
      <c r="S8" s="44">
        <f t="shared" si="22"/>
        <v>1.7</v>
      </c>
      <c r="T8" s="44">
        <f t="shared" si="22"/>
        <v>1.7</v>
      </c>
      <c r="U8" s="44">
        <f t="shared" si="22"/>
        <v>1.7</v>
      </c>
      <c r="V8" s="44">
        <f t="shared" si="22"/>
        <v>1.7</v>
      </c>
      <c r="W8" s="44">
        <f t="shared" ref="W8:Z8" si="25">W10*2</f>
        <v>1.7</v>
      </c>
      <c r="X8" s="44">
        <f t="shared" si="25"/>
        <v>1.7</v>
      </c>
      <c r="Y8" s="44">
        <f t="shared" si="25"/>
        <v>1.7</v>
      </c>
      <c r="Z8" s="44">
        <f t="shared" si="25"/>
        <v>1.7</v>
      </c>
      <c r="AA8" s="44">
        <f t="shared" ref="AA8" si="26">AA10*2</f>
        <v>1.7</v>
      </c>
      <c r="AB8" s="44">
        <f t="shared" ref="AB8:AD8" si="27">AB10*2</f>
        <v>1.7</v>
      </c>
      <c r="AC8" s="44">
        <f t="shared" si="27"/>
        <v>1.7</v>
      </c>
      <c r="AD8" s="44">
        <f t="shared" si="27"/>
        <v>1.7</v>
      </c>
      <c r="AE8" s="44">
        <f t="shared" si="22"/>
        <v>1.7</v>
      </c>
      <c r="AF8" s="44">
        <f t="shared" si="22"/>
        <v>1.7</v>
      </c>
      <c r="AG8" s="44">
        <f t="shared" si="22"/>
        <v>1.7</v>
      </c>
      <c r="AH8" s="44">
        <f t="shared" si="22"/>
        <v>1.7</v>
      </c>
    </row>
    <row r="9" spans="1:34" hidden="1" x14ac:dyDescent="0.25">
      <c r="A9" s="67" t="s">
        <v>261</v>
      </c>
      <c r="B9" s="40" t="s">
        <v>342</v>
      </c>
      <c r="C9" s="39">
        <v>8</v>
      </c>
      <c r="D9" s="39">
        <v>8</v>
      </c>
      <c r="E9" s="39">
        <v>8</v>
      </c>
      <c r="F9" s="39">
        <v>8</v>
      </c>
      <c r="G9" s="31">
        <f>MAX((10+15-1.76+G11+G56+10*LOG10(G2/G6))/6,4)</f>
        <v>7.8018166449865731</v>
      </c>
      <c r="H9" s="31">
        <f t="shared" ref="H9:AH9" si="28">MAX((10+15-1.76+H11+H56+10*LOG10(H2/H6))/6,4)</f>
        <v>7.7635333044265415</v>
      </c>
      <c r="I9" s="31">
        <f t="shared" si="28"/>
        <v>7.7503520695193417</v>
      </c>
      <c r="J9" s="31">
        <f t="shared" si="28"/>
        <v>7.7435832971998435</v>
      </c>
      <c r="K9" s="31">
        <f t="shared" si="28"/>
        <v>6.3867166594399682</v>
      </c>
      <c r="L9" s="31">
        <f t="shared" ref="L9:N9" si="29">MAX((10+15-1.76+L11+L56+10*LOG10(L2/L6))/6,4)</f>
        <v>6.1050999855466044</v>
      </c>
      <c r="M9" s="31">
        <f t="shared" si="29"/>
        <v>5.9534833116532395</v>
      </c>
      <c r="N9" s="31">
        <f t="shared" si="29"/>
        <v>5.9086354100793743</v>
      </c>
      <c r="O9" s="31">
        <f t="shared" si="28"/>
        <v>5.5650000000000004</v>
      </c>
      <c r="P9" s="31">
        <f t="shared" ref="P9:R9" si="30">MAX((10+15-1.76+P11+P56+10*LOG10(P2/P6))/6,4)</f>
        <v>5.1667166594399685</v>
      </c>
      <c r="Q9" s="31">
        <f t="shared" si="30"/>
        <v>4.955099985546604</v>
      </c>
      <c r="R9" s="31">
        <f t="shared" si="30"/>
        <v>4.8719187506394057</v>
      </c>
      <c r="S9" s="31">
        <f t="shared" si="28"/>
        <v>5.0588353811725826</v>
      </c>
      <c r="T9" s="31">
        <f t="shared" si="28"/>
        <v>5.0570666088530833</v>
      </c>
      <c r="U9" s="31">
        <f t="shared" si="28"/>
        <v>5.0612187072792176</v>
      </c>
      <c r="V9" s="31">
        <f t="shared" si="28"/>
        <v>5.0621166016263848</v>
      </c>
      <c r="W9" s="31">
        <f t="shared" si="28"/>
        <v>4.2177853883992809</v>
      </c>
      <c r="X9" s="31">
        <f t="shared" si="28"/>
        <v>4.2170166160797811</v>
      </c>
      <c r="Y9" s="31">
        <f t="shared" si="28"/>
        <v>4.2138353811725828</v>
      </c>
      <c r="Z9" s="31">
        <f t="shared" si="28"/>
        <v>4.2120666088530827</v>
      </c>
      <c r="AA9" s="31">
        <f t="shared" si="28"/>
        <v>4</v>
      </c>
      <c r="AB9" s="31">
        <f t="shared" ref="AB9" si="31">MAX((10+15-1.76+AB11+AB56+10*LOG10(AB2/AB6))/6,4)</f>
        <v>4</v>
      </c>
      <c r="AC9" s="31">
        <f t="shared" si="28"/>
        <v>4</v>
      </c>
      <c r="AD9" s="31">
        <f t="shared" si="28"/>
        <v>4</v>
      </c>
      <c r="AE9" s="31">
        <f t="shared" si="28"/>
        <v>9.9338853739458841</v>
      </c>
      <c r="AF9" s="31">
        <f t="shared" si="28"/>
        <v>9.93378326829305</v>
      </c>
      <c r="AG9" s="31">
        <f t="shared" si="28"/>
        <v>9.9356020333858535</v>
      </c>
      <c r="AH9" s="31">
        <f t="shared" si="28"/>
        <v>9.9354999277330194</v>
      </c>
    </row>
    <row r="10" spans="1:34" hidden="1" x14ac:dyDescent="0.25">
      <c r="A10" s="67" t="s">
        <v>268</v>
      </c>
      <c r="B10" s="40" t="s">
        <v>342</v>
      </c>
      <c r="C10" s="44">
        <v>0.85</v>
      </c>
      <c r="D10" s="44">
        <v>0.85</v>
      </c>
      <c r="E10" s="44">
        <v>0.85</v>
      </c>
      <c r="F10" s="44">
        <v>0.85</v>
      </c>
      <c r="G10" s="44">
        <v>0.85</v>
      </c>
      <c r="H10" s="44">
        <v>0.85</v>
      </c>
      <c r="I10" s="44">
        <v>0.85</v>
      </c>
      <c r="J10" s="44">
        <v>0.85</v>
      </c>
      <c r="K10" s="44">
        <v>0.85</v>
      </c>
      <c r="L10" s="44">
        <v>0.85</v>
      </c>
      <c r="M10" s="44">
        <v>0.85</v>
      </c>
      <c r="N10" s="44">
        <v>0.85</v>
      </c>
      <c r="O10" s="44">
        <v>0.85</v>
      </c>
      <c r="P10" s="44">
        <v>0.85</v>
      </c>
      <c r="Q10" s="44">
        <v>0.85</v>
      </c>
      <c r="R10" s="44">
        <v>0.85</v>
      </c>
      <c r="S10" s="44">
        <v>0.85</v>
      </c>
      <c r="T10" s="44">
        <v>0.85</v>
      </c>
      <c r="U10" s="44">
        <v>0.85</v>
      </c>
      <c r="V10" s="44">
        <v>0.85</v>
      </c>
      <c r="W10" s="44">
        <v>0.85</v>
      </c>
      <c r="X10" s="44">
        <v>0.85</v>
      </c>
      <c r="Y10" s="44">
        <v>0.85</v>
      </c>
      <c r="Z10" s="44">
        <v>0.85</v>
      </c>
      <c r="AA10" s="44">
        <v>0.85</v>
      </c>
      <c r="AB10" s="44">
        <v>0.85</v>
      </c>
      <c r="AC10" s="44">
        <v>0.85</v>
      </c>
      <c r="AD10" s="44">
        <v>0.85</v>
      </c>
      <c r="AE10" s="44">
        <v>0.85</v>
      </c>
      <c r="AF10" s="44">
        <v>0.85</v>
      </c>
      <c r="AG10" s="44">
        <v>0.85</v>
      </c>
      <c r="AH10" s="44">
        <v>0.85</v>
      </c>
    </row>
    <row r="11" spans="1:34" hidden="1" x14ac:dyDescent="0.25">
      <c r="A11" s="62" t="s">
        <v>473</v>
      </c>
      <c r="B11" s="33" t="s">
        <v>342</v>
      </c>
      <c r="C11" s="25" t="s">
        <v>20</v>
      </c>
      <c r="D11" s="25" t="s">
        <v>20</v>
      </c>
      <c r="E11" s="25" t="s">
        <v>20</v>
      </c>
      <c r="F11" s="25" t="s">
        <v>20</v>
      </c>
      <c r="G11" s="31">
        <v>18.7</v>
      </c>
      <c r="H11" s="31">
        <v>18.7</v>
      </c>
      <c r="I11" s="31">
        <v>18.7</v>
      </c>
      <c r="J11" s="31">
        <v>18.7</v>
      </c>
      <c r="K11" s="31">
        <v>18.7</v>
      </c>
      <c r="L11" s="31">
        <v>18.7</v>
      </c>
      <c r="M11" s="31">
        <v>18.7</v>
      </c>
      <c r="N11" s="31">
        <v>18.7</v>
      </c>
      <c r="O11" s="31">
        <v>18.7</v>
      </c>
      <c r="P11" s="31">
        <v>18.7</v>
      </c>
      <c r="Q11" s="31">
        <v>18.7</v>
      </c>
      <c r="R11" s="31">
        <v>18.7</v>
      </c>
      <c r="S11" s="31">
        <v>-14.7</v>
      </c>
      <c r="T11" s="31">
        <v>-14.7</v>
      </c>
      <c r="U11" s="31">
        <v>-14.7</v>
      </c>
      <c r="V11" s="31">
        <v>-14.7</v>
      </c>
      <c r="W11" s="31">
        <v>-14.7</v>
      </c>
      <c r="X11" s="31">
        <v>-14.7</v>
      </c>
      <c r="Y11" s="31">
        <v>-14.7</v>
      </c>
      <c r="Z11" s="31">
        <v>-14.7</v>
      </c>
      <c r="AA11" s="31">
        <v>-14.7</v>
      </c>
      <c r="AB11" s="31">
        <v>-14.7</v>
      </c>
      <c r="AC11" s="31">
        <v>-14.7</v>
      </c>
      <c r="AD11" s="31">
        <v>-14.7</v>
      </c>
      <c r="AE11" s="31">
        <v>15.5</v>
      </c>
      <c r="AF11" s="31">
        <v>15.5</v>
      </c>
      <c r="AG11" s="31">
        <v>15.5</v>
      </c>
      <c r="AH11" s="31">
        <v>15.5</v>
      </c>
    </row>
    <row r="12" spans="1:34" hidden="1" x14ac:dyDescent="0.25">
      <c r="A12" s="55" t="s">
        <v>558</v>
      </c>
      <c r="B12" s="33" t="s">
        <v>341</v>
      </c>
      <c r="C12" s="25" t="s">
        <v>20</v>
      </c>
      <c r="D12" s="25" t="s">
        <v>20</v>
      </c>
      <c r="E12" s="25" t="s">
        <v>20</v>
      </c>
      <c r="F12" s="25" t="s">
        <v>20</v>
      </c>
      <c r="G12" s="25">
        <v>13</v>
      </c>
      <c r="H12" s="25">
        <v>13</v>
      </c>
      <c r="I12" s="25">
        <v>13</v>
      </c>
      <c r="J12" s="25">
        <v>13</v>
      </c>
      <c r="K12" s="25">
        <v>13</v>
      </c>
      <c r="L12" s="25">
        <v>13</v>
      </c>
      <c r="M12" s="25">
        <v>13</v>
      </c>
      <c r="N12" s="25">
        <v>13</v>
      </c>
      <c r="O12" s="25">
        <v>13</v>
      </c>
      <c r="P12" s="25">
        <v>13</v>
      </c>
      <c r="Q12" s="25">
        <v>13</v>
      </c>
      <c r="R12" s="25">
        <v>13</v>
      </c>
      <c r="S12" s="25">
        <v>13</v>
      </c>
      <c r="T12" s="25">
        <v>13</v>
      </c>
      <c r="U12" s="25">
        <v>13</v>
      </c>
      <c r="V12" s="25">
        <v>13</v>
      </c>
      <c r="W12" s="25">
        <v>13</v>
      </c>
      <c r="X12" s="25">
        <v>13</v>
      </c>
      <c r="Y12" s="25">
        <v>13</v>
      </c>
      <c r="Z12" s="25">
        <v>13</v>
      </c>
      <c r="AA12" s="25">
        <v>13</v>
      </c>
      <c r="AB12" s="25">
        <v>13</v>
      </c>
      <c r="AC12" s="25">
        <v>13</v>
      </c>
      <c r="AD12" s="25">
        <v>13</v>
      </c>
      <c r="AE12" s="25">
        <v>13</v>
      </c>
      <c r="AF12" s="25">
        <v>13</v>
      </c>
      <c r="AG12" s="25">
        <v>13</v>
      </c>
      <c r="AH12" s="25">
        <v>13</v>
      </c>
    </row>
    <row r="13" spans="1:34" hidden="1" x14ac:dyDescent="0.25">
      <c r="A13" s="55" t="s">
        <v>601</v>
      </c>
      <c r="B13" s="33" t="s">
        <v>341</v>
      </c>
      <c r="C13" s="31">
        <v>500</v>
      </c>
      <c r="D13" s="31">
        <v>500</v>
      </c>
      <c r="E13" s="31">
        <v>500</v>
      </c>
      <c r="F13" s="31">
        <v>500</v>
      </c>
      <c r="G13" s="31" t="s">
        <v>20</v>
      </c>
      <c r="H13" s="31" t="s">
        <v>20</v>
      </c>
      <c r="I13" s="31" t="s">
        <v>20</v>
      </c>
      <c r="J13" s="31" t="s">
        <v>20</v>
      </c>
      <c r="K13" s="31" t="s">
        <v>20</v>
      </c>
      <c r="L13" s="31" t="s">
        <v>20</v>
      </c>
      <c r="M13" s="31" t="s">
        <v>20</v>
      </c>
      <c r="N13" s="31" t="s">
        <v>20</v>
      </c>
      <c r="O13" s="31" t="s">
        <v>20</v>
      </c>
      <c r="P13" s="31" t="s">
        <v>20</v>
      </c>
      <c r="Q13" s="31" t="s">
        <v>20</v>
      </c>
      <c r="R13" s="31" t="s">
        <v>20</v>
      </c>
      <c r="S13" s="31" t="s">
        <v>20</v>
      </c>
      <c r="T13" s="31" t="s">
        <v>20</v>
      </c>
      <c r="U13" s="31" t="s">
        <v>20</v>
      </c>
      <c r="V13" s="31" t="s">
        <v>20</v>
      </c>
      <c r="W13" s="31" t="s">
        <v>20</v>
      </c>
      <c r="X13" s="31" t="s">
        <v>20</v>
      </c>
      <c r="Y13" s="31" t="s">
        <v>20</v>
      </c>
      <c r="Z13" s="31" t="s">
        <v>20</v>
      </c>
      <c r="AA13" s="31" t="s">
        <v>20</v>
      </c>
      <c r="AB13" s="31" t="s">
        <v>20</v>
      </c>
      <c r="AC13" s="31" t="s">
        <v>20</v>
      </c>
      <c r="AD13" s="31" t="s">
        <v>20</v>
      </c>
      <c r="AE13" s="31" t="s">
        <v>20</v>
      </c>
      <c r="AF13" s="31" t="s">
        <v>20</v>
      </c>
      <c r="AG13" s="31" t="s">
        <v>20</v>
      </c>
      <c r="AH13" s="31" t="s">
        <v>20</v>
      </c>
    </row>
    <row r="14" spans="1:34" x14ac:dyDescent="0.25">
      <c r="A14" s="177" t="s">
        <v>602</v>
      </c>
      <c r="B14" s="125" t="s">
        <v>340</v>
      </c>
      <c r="C14" s="31">
        <f>(C10*10^9)*(C6*C6*6+72*C6)/(C13*10^9)</f>
        <v>4.5696000000000003</v>
      </c>
      <c r="D14" s="31">
        <f t="shared" ref="D14:F14" si="32">(D10*10^9)*(D6*D6*6+72*D6)/(D13*10^9)</f>
        <v>4.5696000000000003</v>
      </c>
      <c r="E14" s="31">
        <f t="shared" si="32"/>
        <v>4.5696000000000003</v>
      </c>
      <c r="F14" s="31">
        <f t="shared" si="32"/>
        <v>4.5696000000000003</v>
      </c>
      <c r="G14" s="31" t="s">
        <v>20</v>
      </c>
      <c r="H14" s="31" t="s">
        <v>20</v>
      </c>
      <c r="I14" s="31" t="s">
        <v>20</v>
      </c>
      <c r="J14" s="31" t="s">
        <v>20</v>
      </c>
      <c r="K14" s="31" t="s">
        <v>20</v>
      </c>
      <c r="L14" s="31" t="s">
        <v>20</v>
      </c>
      <c r="M14" s="31" t="s">
        <v>20</v>
      </c>
      <c r="N14" s="31" t="s">
        <v>20</v>
      </c>
      <c r="O14" s="31" t="s">
        <v>20</v>
      </c>
      <c r="P14" s="31" t="s">
        <v>20</v>
      </c>
      <c r="Q14" s="31" t="s">
        <v>20</v>
      </c>
      <c r="R14" s="31" t="s">
        <v>20</v>
      </c>
      <c r="S14" s="31" t="s">
        <v>20</v>
      </c>
      <c r="T14" s="31" t="s">
        <v>20</v>
      </c>
      <c r="U14" s="31" t="s">
        <v>20</v>
      </c>
      <c r="V14" s="31" t="s">
        <v>20</v>
      </c>
      <c r="W14" s="31" t="s">
        <v>20</v>
      </c>
      <c r="X14" s="31" t="s">
        <v>20</v>
      </c>
      <c r="Y14" s="31" t="s">
        <v>20</v>
      </c>
      <c r="Z14" s="31" t="s">
        <v>20</v>
      </c>
      <c r="AA14" s="31" t="s">
        <v>20</v>
      </c>
      <c r="AB14" s="31" t="s">
        <v>20</v>
      </c>
      <c r="AC14" s="31" t="s">
        <v>20</v>
      </c>
      <c r="AD14" s="31" t="s">
        <v>20</v>
      </c>
      <c r="AE14" s="31" t="s">
        <v>20</v>
      </c>
      <c r="AF14" s="31" t="s">
        <v>20</v>
      </c>
      <c r="AG14" s="31" t="s">
        <v>20</v>
      </c>
      <c r="AH14" s="31" t="s">
        <v>20</v>
      </c>
    </row>
    <row r="15" spans="1:34" hidden="1" x14ac:dyDescent="0.25">
      <c r="A15" s="59" t="s">
        <v>409</v>
      </c>
      <c r="B15" s="33" t="s">
        <v>366</v>
      </c>
      <c r="C15" s="25" t="s">
        <v>20</v>
      </c>
      <c r="D15" s="25" t="s">
        <v>20</v>
      </c>
      <c r="E15" s="25" t="s">
        <v>20</v>
      </c>
      <c r="F15" s="25" t="s">
        <v>20</v>
      </c>
      <c r="G15" s="35">
        <f>(G10*10^9)*(G6*G3*6+72*G3)/(G12*10^9)</f>
        <v>62.769230769230766</v>
      </c>
      <c r="H15" s="35">
        <f t="shared" ref="H15:AH15" si="33">(H10*10^9)*(H6*H3*6+72*H3)/(H12*10^9)</f>
        <v>62.769230769230766</v>
      </c>
      <c r="I15" s="35">
        <f t="shared" si="33"/>
        <v>62.769230769230766</v>
      </c>
      <c r="J15" s="35">
        <f t="shared" si="33"/>
        <v>62.769230769230766</v>
      </c>
      <c r="K15" s="35">
        <f>(K10*10^9)*(K6*K3*6+72*K3)/(K12*10^9)</f>
        <v>175.75384615384615</v>
      </c>
      <c r="L15" s="35">
        <f>(L10*10^9)*(L6*L3*6+72*L3)/(L12*10^9)</f>
        <v>175.75384615384615</v>
      </c>
      <c r="M15" s="35">
        <f t="shared" ref="M15:N15" si="34">(M10*10^9)*(M6*M3*6+72*M3)/(M12*10^9)</f>
        <v>175.75384615384615</v>
      </c>
      <c r="N15" s="35">
        <f t="shared" si="34"/>
        <v>175.75384615384615</v>
      </c>
      <c r="O15" s="35">
        <f>(O10*10^9)*(O6*O3*6+72*O3)/(O12*10^9)</f>
        <v>552.36923076923074</v>
      </c>
      <c r="P15" s="35">
        <f>(P10*10^9)*(P6*P3*6+72*P3)/(P12*10^9)</f>
        <v>552.36923076923074</v>
      </c>
      <c r="Q15" s="35">
        <f t="shared" si="33"/>
        <v>552.36923076923074</v>
      </c>
      <c r="R15" s="35">
        <f t="shared" si="33"/>
        <v>552.36923076923074</v>
      </c>
      <c r="S15" s="35">
        <f t="shared" si="33"/>
        <v>10.984615384615385</v>
      </c>
      <c r="T15" s="35">
        <f t="shared" si="33"/>
        <v>10.984615384615385</v>
      </c>
      <c r="U15" s="35">
        <f t="shared" si="33"/>
        <v>10.984615384615385</v>
      </c>
      <c r="V15" s="35">
        <f t="shared" si="33"/>
        <v>10.984615384615385</v>
      </c>
      <c r="W15" s="35">
        <f t="shared" ref="W15:Z15" si="35">(W10*10^9)*(W6*W3*6+72*W3)/(W12*10^9)</f>
        <v>25.107692307692307</v>
      </c>
      <c r="X15" s="35">
        <f t="shared" si="35"/>
        <v>25.107692307692307</v>
      </c>
      <c r="Y15" s="35">
        <f t="shared" si="35"/>
        <v>25.107692307692307</v>
      </c>
      <c r="Z15" s="35">
        <f t="shared" si="35"/>
        <v>25.107692307692307</v>
      </c>
      <c r="AA15" s="35">
        <f t="shared" ref="AA15" si="36">(AA10*10^9)*(AA6*AA3*6+72*AA3)/(AA12*10^9)</f>
        <v>62.769230769230766</v>
      </c>
      <c r="AB15" s="35">
        <f t="shared" ref="AB15:AD15" si="37">(AB10*10^9)*(AB6*AB3*6+72*AB3)/(AB12*10^9)</f>
        <v>62.769230769230766</v>
      </c>
      <c r="AC15" s="35">
        <f t="shared" si="37"/>
        <v>62.769230769230766</v>
      </c>
      <c r="AD15" s="35">
        <f t="shared" si="37"/>
        <v>62.769230769230766</v>
      </c>
      <c r="AE15" s="35">
        <f>0</f>
        <v>0</v>
      </c>
      <c r="AF15" s="35">
        <f>0</f>
        <v>0</v>
      </c>
      <c r="AG15" s="35">
        <f>0</f>
        <v>0</v>
      </c>
      <c r="AH15" s="35">
        <f>0</f>
        <v>0</v>
      </c>
    </row>
    <row r="16" spans="1:34" hidden="1" x14ac:dyDescent="0.25">
      <c r="A16" s="124" t="s">
        <v>490</v>
      </c>
      <c r="B16" s="125" t="s">
        <v>341</v>
      </c>
      <c r="C16" s="122" t="s">
        <v>20</v>
      </c>
      <c r="D16" s="122" t="s">
        <v>20</v>
      </c>
      <c r="E16" s="122" t="s">
        <v>20</v>
      </c>
      <c r="F16" s="31" t="s">
        <v>20</v>
      </c>
      <c r="G16" s="45">
        <f>10</f>
        <v>10</v>
      </c>
      <c r="H16" s="45">
        <f>10</f>
        <v>10</v>
      </c>
      <c r="I16" s="45">
        <f>10</f>
        <v>10</v>
      </c>
      <c r="J16" s="45">
        <f>10</f>
        <v>10</v>
      </c>
      <c r="K16" s="45">
        <f>10</f>
        <v>10</v>
      </c>
      <c r="L16" s="45">
        <f>10</f>
        <v>10</v>
      </c>
      <c r="M16" s="45">
        <f>10</f>
        <v>10</v>
      </c>
      <c r="N16" s="45">
        <f>10</f>
        <v>10</v>
      </c>
      <c r="O16" s="45">
        <f>10</f>
        <v>10</v>
      </c>
      <c r="P16" s="45">
        <f>10</f>
        <v>10</v>
      </c>
      <c r="Q16" s="45">
        <f>10</f>
        <v>10</v>
      </c>
      <c r="R16" s="45">
        <f>10</f>
        <v>10</v>
      </c>
      <c r="S16" s="45">
        <f>10</f>
        <v>10</v>
      </c>
      <c r="T16" s="45">
        <f>10</f>
        <v>10</v>
      </c>
      <c r="U16" s="45">
        <f>10</f>
        <v>10</v>
      </c>
      <c r="V16" s="45">
        <f>10</f>
        <v>10</v>
      </c>
      <c r="W16" s="45">
        <f>10</f>
        <v>10</v>
      </c>
      <c r="X16" s="45">
        <f>10</f>
        <v>10</v>
      </c>
      <c r="Y16" s="45">
        <f>10</f>
        <v>10</v>
      </c>
      <c r="Z16" s="45">
        <f>10</f>
        <v>10</v>
      </c>
      <c r="AA16" s="45">
        <f>10</f>
        <v>10</v>
      </c>
      <c r="AB16" s="45">
        <f>10</f>
        <v>10</v>
      </c>
      <c r="AC16" s="45">
        <f>10</f>
        <v>10</v>
      </c>
      <c r="AD16" s="45">
        <f>10</f>
        <v>10</v>
      </c>
      <c r="AE16" s="45">
        <f>10</f>
        <v>10</v>
      </c>
      <c r="AF16" s="45">
        <f>10</f>
        <v>10</v>
      </c>
      <c r="AG16" s="45">
        <f>10</f>
        <v>10</v>
      </c>
      <c r="AH16" s="45">
        <f>10</f>
        <v>10</v>
      </c>
    </row>
    <row r="17" spans="1:34" x14ac:dyDescent="0.25">
      <c r="A17" s="59" t="s">
        <v>374</v>
      </c>
      <c r="B17" s="33" t="s">
        <v>340</v>
      </c>
      <c r="C17" s="147">
        <v>0</v>
      </c>
      <c r="D17" s="147">
        <v>0</v>
      </c>
      <c r="E17" s="147">
        <v>0</v>
      </c>
      <c r="F17" s="147">
        <v>0</v>
      </c>
      <c r="G17" s="25" t="s">
        <v>20</v>
      </c>
      <c r="H17" s="25" t="s">
        <v>20</v>
      </c>
      <c r="I17" s="25" t="s">
        <v>20</v>
      </c>
      <c r="J17" s="42" t="s">
        <v>20</v>
      </c>
      <c r="K17" s="42" t="s">
        <v>20</v>
      </c>
      <c r="L17" s="42" t="s">
        <v>20</v>
      </c>
      <c r="M17" s="42" t="s">
        <v>20</v>
      </c>
      <c r="N17" s="42" t="s">
        <v>20</v>
      </c>
      <c r="O17" s="42" t="s">
        <v>20</v>
      </c>
      <c r="P17" s="42" t="s">
        <v>20</v>
      </c>
      <c r="Q17" s="42" t="s">
        <v>20</v>
      </c>
      <c r="R17" s="42" t="s">
        <v>20</v>
      </c>
      <c r="S17" s="31" t="s">
        <v>20</v>
      </c>
      <c r="T17" s="31" t="s">
        <v>20</v>
      </c>
      <c r="U17" s="31" t="s">
        <v>20</v>
      </c>
      <c r="V17" s="31" t="s">
        <v>20</v>
      </c>
      <c r="W17" s="31" t="s">
        <v>20</v>
      </c>
      <c r="X17" s="31" t="s">
        <v>20</v>
      </c>
      <c r="Y17" s="31" t="s">
        <v>20</v>
      </c>
      <c r="Z17" s="31" t="s">
        <v>20</v>
      </c>
      <c r="AA17" s="31" t="s">
        <v>20</v>
      </c>
      <c r="AB17" s="31" t="s">
        <v>20</v>
      </c>
      <c r="AC17" s="31" t="s">
        <v>20</v>
      </c>
      <c r="AD17" s="31" t="s">
        <v>20</v>
      </c>
      <c r="AE17" s="31" t="s">
        <v>20</v>
      </c>
      <c r="AF17" s="31" t="s">
        <v>20</v>
      </c>
      <c r="AG17" s="31" t="s">
        <v>20</v>
      </c>
      <c r="AH17" s="31" t="s">
        <v>20</v>
      </c>
    </row>
    <row r="18" spans="1:34" hidden="1" x14ac:dyDescent="0.25">
      <c r="A18" s="59" t="s">
        <v>410</v>
      </c>
      <c r="B18" s="33" t="s">
        <v>366</v>
      </c>
      <c r="C18" s="25" t="s">
        <v>20</v>
      </c>
      <c r="D18" s="25" t="s">
        <v>20</v>
      </c>
      <c r="E18" s="25" t="s">
        <v>20</v>
      </c>
      <c r="F18" s="25" t="s">
        <v>20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</row>
    <row r="19" spans="1:34" hidden="1" x14ac:dyDescent="0.25">
      <c r="A19" s="68" t="s">
        <v>272</v>
      </c>
      <c r="B19" s="40" t="s">
        <v>339</v>
      </c>
      <c r="C19" s="44">
        <v>0.05</v>
      </c>
      <c r="D19" s="44">
        <v>0.05</v>
      </c>
      <c r="E19" s="44">
        <v>0.05</v>
      </c>
      <c r="F19" s="44">
        <v>0.05</v>
      </c>
      <c r="G19" s="31" t="s">
        <v>20</v>
      </c>
      <c r="H19" s="31" t="s">
        <v>20</v>
      </c>
      <c r="I19" s="31" t="s">
        <v>20</v>
      </c>
      <c r="J19" s="31" t="s">
        <v>20</v>
      </c>
      <c r="K19" s="31" t="s">
        <v>20</v>
      </c>
      <c r="L19" s="31" t="s">
        <v>20</v>
      </c>
      <c r="M19" s="31" t="s">
        <v>20</v>
      </c>
      <c r="N19" s="31" t="s">
        <v>20</v>
      </c>
      <c r="O19" s="31" t="s">
        <v>20</v>
      </c>
      <c r="P19" s="31" t="s">
        <v>20</v>
      </c>
      <c r="Q19" s="31" t="s">
        <v>20</v>
      </c>
      <c r="R19" s="31" t="s">
        <v>20</v>
      </c>
      <c r="S19" s="31" t="s">
        <v>20</v>
      </c>
      <c r="T19" s="31" t="s">
        <v>20</v>
      </c>
      <c r="U19" s="31" t="s">
        <v>20</v>
      </c>
      <c r="V19" s="31" t="s">
        <v>20</v>
      </c>
      <c r="W19" s="31" t="s">
        <v>20</v>
      </c>
      <c r="X19" s="31" t="s">
        <v>20</v>
      </c>
      <c r="Y19" s="31" t="s">
        <v>20</v>
      </c>
      <c r="Z19" s="31" t="s">
        <v>20</v>
      </c>
      <c r="AA19" s="31" t="s">
        <v>20</v>
      </c>
      <c r="AB19" s="31" t="s">
        <v>20</v>
      </c>
      <c r="AC19" s="31" t="s">
        <v>20</v>
      </c>
      <c r="AD19" s="31" t="s">
        <v>20</v>
      </c>
      <c r="AE19" s="31" t="s">
        <v>20</v>
      </c>
      <c r="AF19" s="31" t="s">
        <v>20</v>
      </c>
      <c r="AG19" s="31" t="s">
        <v>20</v>
      </c>
      <c r="AH19" s="31" t="s">
        <v>20</v>
      </c>
    </row>
    <row r="20" spans="1:34" hidden="1" x14ac:dyDescent="0.25">
      <c r="A20" s="68" t="s">
        <v>189</v>
      </c>
      <c r="B20" s="40" t="s">
        <v>337</v>
      </c>
      <c r="C20" s="31" t="s">
        <v>20</v>
      </c>
      <c r="D20" s="31" t="s">
        <v>20</v>
      </c>
      <c r="E20" s="31" t="s">
        <v>20</v>
      </c>
      <c r="F20" s="31" t="s">
        <v>20</v>
      </c>
      <c r="G20" s="31">
        <f>G22*2^G9*G8+10</f>
        <v>40.347277726079199</v>
      </c>
      <c r="H20" s="31">
        <f t="shared" ref="H20:AH20" si="38">H22*2^H9*H8+10</f>
        <v>39.552573445678696</v>
      </c>
      <c r="I20" s="31">
        <f t="shared" si="38"/>
        <v>39.2837950216135</v>
      </c>
      <c r="J20" s="31">
        <f t="shared" si="38"/>
        <v>39.146724419062949</v>
      </c>
      <c r="K20" s="31">
        <f t="shared" si="38"/>
        <v>21.379736255416951</v>
      </c>
      <c r="L20" s="31">
        <f t="shared" ref="L20:N20" si="39">L22*2^L9*L8+10</f>
        <v>19.361751965467498</v>
      </c>
      <c r="M20" s="31">
        <f t="shared" si="39"/>
        <v>18.427833825035375</v>
      </c>
      <c r="N20" s="31">
        <f t="shared" si="39"/>
        <v>18.169874782107989</v>
      </c>
      <c r="O20" s="31">
        <f t="shared" si="38"/>
        <v>16.438294440250942</v>
      </c>
      <c r="P20" s="31">
        <f t="shared" ref="P20:R20" si="40">P22*2^P9*P8+10</f>
        <v>14.885124112339295</v>
      </c>
      <c r="Q20" s="31">
        <f t="shared" si="40"/>
        <v>14.218641644862714</v>
      </c>
      <c r="R20" s="31">
        <f t="shared" si="40"/>
        <v>13.98228729985615</v>
      </c>
      <c r="S20" s="31">
        <f t="shared" si="38"/>
        <v>14.53315011809276</v>
      </c>
      <c r="T20" s="31">
        <f t="shared" si="38"/>
        <v>14.527595792992916</v>
      </c>
      <c r="U20" s="31">
        <f t="shared" si="38"/>
        <v>14.540645052012966</v>
      </c>
      <c r="V20" s="31">
        <f t="shared" si="38"/>
        <v>14.543471906189115</v>
      </c>
      <c r="W20" s="31">
        <f t="shared" si="38"/>
        <v>12.530572740920373</v>
      </c>
      <c r="X20" s="31">
        <f t="shared" si="38"/>
        <v>12.529224627855207</v>
      </c>
      <c r="Y20" s="31">
        <f t="shared" si="38"/>
        <v>12.523653670080202</v>
      </c>
      <c r="Z20" s="31">
        <f t="shared" si="38"/>
        <v>12.520561517259779</v>
      </c>
      <c r="AA20" s="31">
        <f t="shared" si="38"/>
        <v>12.176</v>
      </c>
      <c r="AB20" s="31">
        <f t="shared" ref="AB20" si="41">AB22*2^AB9*AB8+10</f>
        <v>12.176</v>
      </c>
      <c r="AC20" s="31">
        <f t="shared" si="38"/>
        <v>12.176</v>
      </c>
      <c r="AD20" s="31">
        <f t="shared" si="38"/>
        <v>12.176</v>
      </c>
      <c r="AE20" s="31">
        <f t="shared" si="38"/>
        <v>143.02595315783617</v>
      </c>
      <c r="AF20" s="31">
        <f t="shared" si="38"/>
        <v>143.01653867954047</v>
      </c>
      <c r="AG20" s="31">
        <f t="shared" si="38"/>
        <v>143.18433463718165</v>
      </c>
      <c r="AH20" s="31">
        <f t="shared" si="38"/>
        <v>143.17490894995291</v>
      </c>
    </row>
    <row r="21" spans="1:34" x14ac:dyDescent="0.25">
      <c r="A21" s="68" t="s">
        <v>273</v>
      </c>
      <c r="B21" s="40" t="s">
        <v>340</v>
      </c>
      <c r="C21" s="31">
        <f>C19*C3</f>
        <v>0.4</v>
      </c>
      <c r="D21" s="31">
        <f>D19*D3</f>
        <v>0.4</v>
      </c>
      <c r="E21" s="31">
        <f>E19*E3</f>
        <v>0.4</v>
      </c>
      <c r="F21" s="31">
        <f>F19*F3</f>
        <v>0.4</v>
      </c>
      <c r="G21" s="31" t="s">
        <v>20</v>
      </c>
      <c r="H21" s="31" t="s">
        <v>20</v>
      </c>
      <c r="I21" s="31" t="s">
        <v>20</v>
      </c>
      <c r="J21" s="31" t="s">
        <v>20</v>
      </c>
      <c r="K21" s="31" t="s">
        <v>20</v>
      </c>
      <c r="L21" s="31" t="s">
        <v>20</v>
      </c>
      <c r="M21" s="31" t="s">
        <v>20</v>
      </c>
      <c r="N21" s="31" t="s">
        <v>20</v>
      </c>
      <c r="O21" s="31" t="s">
        <v>20</v>
      </c>
      <c r="P21" s="31" t="s">
        <v>20</v>
      </c>
      <c r="Q21" s="31" t="s">
        <v>20</v>
      </c>
      <c r="R21" s="31" t="s">
        <v>20</v>
      </c>
      <c r="S21" s="31" t="s">
        <v>20</v>
      </c>
      <c r="T21" s="31" t="s">
        <v>20</v>
      </c>
      <c r="U21" s="31" t="s">
        <v>20</v>
      </c>
      <c r="V21" s="31" t="s">
        <v>20</v>
      </c>
      <c r="W21" s="31" t="s">
        <v>20</v>
      </c>
      <c r="X21" s="31" t="s">
        <v>20</v>
      </c>
      <c r="Y21" s="31" t="s">
        <v>20</v>
      </c>
      <c r="Z21" s="31" t="s">
        <v>20</v>
      </c>
      <c r="AA21" s="31" t="s">
        <v>20</v>
      </c>
      <c r="AB21" s="31" t="s">
        <v>20</v>
      </c>
      <c r="AC21" s="31" t="s">
        <v>20</v>
      </c>
      <c r="AD21" s="31" t="s">
        <v>20</v>
      </c>
      <c r="AE21" s="31" t="s">
        <v>20</v>
      </c>
      <c r="AF21" s="31" t="s">
        <v>20</v>
      </c>
      <c r="AG21" s="31" t="s">
        <v>20</v>
      </c>
      <c r="AH21" s="31" t="s">
        <v>20</v>
      </c>
    </row>
    <row r="22" spans="1:34" hidden="1" x14ac:dyDescent="0.25">
      <c r="A22" s="68" t="s">
        <v>267</v>
      </c>
      <c r="B22" s="40" t="s">
        <v>341</v>
      </c>
      <c r="C22" s="31" t="s">
        <v>20</v>
      </c>
      <c r="D22" s="31" t="s">
        <v>20</v>
      </c>
      <c r="E22" s="31" t="s">
        <v>20</v>
      </c>
      <c r="F22" s="31" t="s">
        <v>20</v>
      </c>
      <c r="G22" s="44">
        <v>0.08</v>
      </c>
      <c r="H22" s="44">
        <v>0.08</v>
      </c>
      <c r="I22" s="44">
        <v>0.08</v>
      </c>
      <c r="J22" s="31">
        <v>0.08</v>
      </c>
      <c r="K22" s="31">
        <v>0.08</v>
      </c>
      <c r="L22" s="31">
        <v>0.08</v>
      </c>
      <c r="M22" s="31">
        <v>0.08</v>
      </c>
      <c r="N22" s="31">
        <v>0.08</v>
      </c>
      <c r="O22" s="31">
        <v>0.08</v>
      </c>
      <c r="P22" s="31">
        <v>0.08</v>
      </c>
      <c r="Q22" s="31">
        <v>0.08</v>
      </c>
      <c r="R22" s="31">
        <v>0.08</v>
      </c>
      <c r="S22" s="31">
        <v>0.08</v>
      </c>
      <c r="T22" s="31">
        <v>0.08</v>
      </c>
      <c r="U22" s="31">
        <v>0.08</v>
      </c>
      <c r="V22" s="31">
        <v>0.08</v>
      </c>
      <c r="W22" s="31">
        <v>0.08</v>
      </c>
      <c r="X22" s="31">
        <v>0.08</v>
      </c>
      <c r="Y22" s="31">
        <v>0.08</v>
      </c>
      <c r="Z22" s="31">
        <v>0.08</v>
      </c>
      <c r="AA22" s="31">
        <v>0.08</v>
      </c>
      <c r="AB22" s="31">
        <v>0.08</v>
      </c>
      <c r="AC22" s="31">
        <v>0.08</v>
      </c>
      <c r="AD22" s="31">
        <v>0.08</v>
      </c>
      <c r="AE22" s="31">
        <v>0.08</v>
      </c>
      <c r="AF22" s="31">
        <v>0.08</v>
      </c>
      <c r="AG22" s="31">
        <v>0.08</v>
      </c>
      <c r="AH22" s="31">
        <v>0.08</v>
      </c>
    </row>
    <row r="23" spans="1:34" hidden="1" x14ac:dyDescent="0.25">
      <c r="A23" s="68" t="s">
        <v>411</v>
      </c>
      <c r="B23" s="33" t="s">
        <v>366</v>
      </c>
      <c r="C23" s="31" t="s">
        <v>20</v>
      </c>
      <c r="D23" s="31" t="s">
        <v>20</v>
      </c>
      <c r="E23" s="31" t="s">
        <v>20</v>
      </c>
      <c r="F23" s="31" t="s">
        <v>20</v>
      </c>
      <c r="G23" s="31">
        <f t="shared" ref="G23:AH23" si="42">G20*G7</f>
        <v>322.77822180863359</v>
      </c>
      <c r="H23" s="31">
        <f t="shared" si="42"/>
        <v>316.42058756542957</v>
      </c>
      <c r="I23" s="31">
        <f t="shared" si="42"/>
        <v>314.270360172908</v>
      </c>
      <c r="J23" s="31">
        <f t="shared" si="42"/>
        <v>313.17379535250359</v>
      </c>
      <c r="K23" s="31">
        <f t="shared" ref="K23" si="43">K20*K7</f>
        <v>342.07578008667122</v>
      </c>
      <c r="L23" s="31">
        <f t="shared" ref="L23:O23" si="44">L20*L7</f>
        <v>309.78803144747997</v>
      </c>
      <c r="M23" s="31">
        <f t="shared" si="44"/>
        <v>294.845341200566</v>
      </c>
      <c r="N23" s="31">
        <f t="shared" si="44"/>
        <v>290.71799651372783</v>
      </c>
      <c r="O23" s="31">
        <f t="shared" si="44"/>
        <v>526.02542208803015</v>
      </c>
      <c r="P23" s="31">
        <f t="shared" si="42"/>
        <v>476.32397159485743</v>
      </c>
      <c r="Q23" s="31">
        <f t="shared" si="42"/>
        <v>454.99653263560685</v>
      </c>
      <c r="R23" s="31">
        <f t="shared" si="42"/>
        <v>447.4331935953968</v>
      </c>
      <c r="S23" s="31">
        <f t="shared" si="42"/>
        <v>29.066300236185519</v>
      </c>
      <c r="T23" s="31">
        <f t="shared" si="42"/>
        <v>29.055191585985831</v>
      </c>
      <c r="U23" s="31">
        <f t="shared" si="42"/>
        <v>29.081290104025932</v>
      </c>
      <c r="V23" s="31">
        <f t="shared" si="42"/>
        <v>29.08694381237823</v>
      </c>
      <c r="W23" s="31">
        <f t="shared" ref="W23:Z23" si="45">W20*W7</f>
        <v>50.122290963681493</v>
      </c>
      <c r="X23" s="31">
        <f t="shared" si="45"/>
        <v>50.116898511420828</v>
      </c>
      <c r="Y23" s="31">
        <f t="shared" si="45"/>
        <v>50.094614680320809</v>
      </c>
      <c r="Z23" s="31">
        <f t="shared" si="45"/>
        <v>50.082246069039115</v>
      </c>
      <c r="AA23" s="31">
        <f t="shared" ref="AA23" si="46">AA20*AA7</f>
        <v>97.408000000000001</v>
      </c>
      <c r="AB23" s="31">
        <f t="shared" ref="AB23:AD23" si="47">AB20*AB7</f>
        <v>97.408000000000001</v>
      </c>
      <c r="AC23" s="31">
        <f t="shared" si="47"/>
        <v>97.408000000000001</v>
      </c>
      <c r="AD23" s="31">
        <f t="shared" si="47"/>
        <v>97.408000000000001</v>
      </c>
      <c r="AE23" s="31">
        <f t="shared" si="42"/>
        <v>143.02595315783617</v>
      </c>
      <c r="AF23" s="31">
        <f t="shared" si="42"/>
        <v>143.01653867954047</v>
      </c>
      <c r="AG23" s="31">
        <f t="shared" si="42"/>
        <v>143.18433463718165</v>
      </c>
      <c r="AH23" s="31">
        <f t="shared" si="42"/>
        <v>143.17490894995291</v>
      </c>
    </row>
    <row r="24" spans="1:34" hidden="1" x14ac:dyDescent="0.25">
      <c r="A24" s="69" t="s">
        <v>312</v>
      </c>
      <c r="B24" s="40" t="s">
        <v>337</v>
      </c>
      <c r="C24" s="31" t="s">
        <v>20</v>
      </c>
      <c r="D24" s="31" t="s">
        <v>20</v>
      </c>
      <c r="E24" s="31" t="s">
        <v>20</v>
      </c>
      <c r="F24" s="31" t="s">
        <v>20</v>
      </c>
      <c r="G24" s="31">
        <v>10</v>
      </c>
      <c r="H24" s="31">
        <v>10</v>
      </c>
      <c r="I24" s="31">
        <v>10</v>
      </c>
      <c r="J24" s="31">
        <v>10</v>
      </c>
      <c r="K24" s="31">
        <v>10</v>
      </c>
      <c r="L24" s="31">
        <v>10</v>
      </c>
      <c r="M24" s="31">
        <v>10</v>
      </c>
      <c r="N24" s="31">
        <v>10</v>
      </c>
      <c r="O24" s="31">
        <v>10</v>
      </c>
      <c r="P24" s="31">
        <v>10</v>
      </c>
      <c r="Q24" s="31">
        <v>10</v>
      </c>
      <c r="R24" s="31">
        <v>10</v>
      </c>
      <c r="S24" s="31">
        <v>10</v>
      </c>
      <c r="T24" s="31">
        <v>10</v>
      </c>
      <c r="U24" s="31">
        <v>10</v>
      </c>
      <c r="V24" s="31">
        <v>10</v>
      </c>
      <c r="W24" s="31">
        <v>10</v>
      </c>
      <c r="X24" s="31">
        <v>10</v>
      </c>
      <c r="Y24" s="31">
        <v>10</v>
      </c>
      <c r="Z24" s="31">
        <v>10</v>
      </c>
      <c r="AA24" s="31">
        <v>10</v>
      </c>
      <c r="AB24" s="31">
        <v>10</v>
      </c>
      <c r="AC24" s="31">
        <v>10</v>
      </c>
      <c r="AD24" s="31">
        <v>10</v>
      </c>
      <c r="AE24" s="31">
        <v>10</v>
      </c>
      <c r="AF24" s="31">
        <v>10</v>
      </c>
      <c r="AG24" s="31">
        <v>10</v>
      </c>
      <c r="AH24" s="31">
        <v>10</v>
      </c>
    </row>
    <row r="25" spans="1:34" hidden="1" x14ac:dyDescent="0.25">
      <c r="A25" s="69" t="s">
        <v>412</v>
      </c>
      <c r="B25" s="33" t="s">
        <v>366</v>
      </c>
      <c r="C25" s="42" t="s">
        <v>20</v>
      </c>
      <c r="D25" s="42" t="s">
        <v>20</v>
      </c>
      <c r="E25" s="42" t="s">
        <v>20</v>
      </c>
      <c r="F25" s="42" t="s">
        <v>20</v>
      </c>
      <c r="G25" s="42">
        <f t="shared" ref="G25:AH25" si="48">G24*G3</f>
        <v>80</v>
      </c>
      <c r="H25" s="42">
        <f t="shared" si="48"/>
        <v>80</v>
      </c>
      <c r="I25" s="42">
        <f t="shared" si="48"/>
        <v>80</v>
      </c>
      <c r="J25" s="42">
        <f t="shared" si="48"/>
        <v>80</v>
      </c>
      <c r="K25" s="42">
        <f t="shared" ref="K25" si="49">K24*K3</f>
        <v>160</v>
      </c>
      <c r="L25" s="42">
        <f t="shared" ref="L25:O25" si="50">L24*L3</f>
        <v>160</v>
      </c>
      <c r="M25" s="42">
        <f t="shared" si="50"/>
        <v>160</v>
      </c>
      <c r="N25" s="42">
        <f t="shared" si="50"/>
        <v>160</v>
      </c>
      <c r="O25" s="42">
        <f t="shared" si="50"/>
        <v>320</v>
      </c>
      <c r="P25" s="42">
        <f t="shared" si="48"/>
        <v>320</v>
      </c>
      <c r="Q25" s="42">
        <f t="shared" si="48"/>
        <v>320</v>
      </c>
      <c r="R25" s="42">
        <f t="shared" si="48"/>
        <v>320</v>
      </c>
      <c r="S25" s="31">
        <f t="shared" si="48"/>
        <v>20</v>
      </c>
      <c r="T25" s="31">
        <f t="shared" si="48"/>
        <v>20</v>
      </c>
      <c r="U25" s="31">
        <f t="shared" si="48"/>
        <v>20</v>
      </c>
      <c r="V25" s="31">
        <f t="shared" si="48"/>
        <v>20</v>
      </c>
      <c r="W25" s="31">
        <f t="shared" ref="W25:Z25" si="51">W24*W3</f>
        <v>40</v>
      </c>
      <c r="X25" s="31">
        <f t="shared" si="51"/>
        <v>40</v>
      </c>
      <c r="Y25" s="31">
        <f t="shared" si="51"/>
        <v>40</v>
      </c>
      <c r="Z25" s="31">
        <f t="shared" si="51"/>
        <v>40</v>
      </c>
      <c r="AA25" s="31">
        <f t="shared" ref="AA25" si="52">AA24*AA3</f>
        <v>80</v>
      </c>
      <c r="AB25" s="31">
        <f t="shared" ref="AB25:AD25" si="53">AB24*AB3</f>
        <v>80</v>
      </c>
      <c r="AC25" s="31">
        <f t="shared" si="53"/>
        <v>80</v>
      </c>
      <c r="AD25" s="31">
        <f t="shared" si="53"/>
        <v>80</v>
      </c>
      <c r="AE25" s="31">
        <f t="shared" si="48"/>
        <v>10</v>
      </c>
      <c r="AF25" s="31">
        <f t="shared" si="48"/>
        <v>10</v>
      </c>
      <c r="AG25" s="31">
        <f t="shared" si="48"/>
        <v>10</v>
      </c>
      <c r="AH25" s="31">
        <f t="shared" si="48"/>
        <v>10</v>
      </c>
    </row>
    <row r="26" spans="1:34" hidden="1" x14ac:dyDescent="0.25">
      <c r="A26" s="69" t="s">
        <v>313</v>
      </c>
      <c r="B26" s="40" t="s">
        <v>339</v>
      </c>
      <c r="C26" s="44">
        <v>0</v>
      </c>
      <c r="D26" s="44">
        <v>0</v>
      </c>
      <c r="E26" s="44">
        <v>0</v>
      </c>
      <c r="F26" s="44">
        <v>0</v>
      </c>
      <c r="G26" s="31" t="s">
        <v>20</v>
      </c>
      <c r="H26" s="31" t="s">
        <v>20</v>
      </c>
      <c r="I26" s="31" t="s">
        <v>20</v>
      </c>
      <c r="J26" s="31" t="s">
        <v>20</v>
      </c>
      <c r="K26" s="31" t="s">
        <v>20</v>
      </c>
      <c r="L26" s="31" t="s">
        <v>20</v>
      </c>
      <c r="M26" s="31" t="s">
        <v>20</v>
      </c>
      <c r="N26" s="31" t="s">
        <v>20</v>
      </c>
      <c r="O26" s="31" t="s">
        <v>20</v>
      </c>
      <c r="P26" s="31" t="s">
        <v>20</v>
      </c>
      <c r="Q26" s="31" t="s">
        <v>20</v>
      </c>
      <c r="R26" s="31" t="s">
        <v>20</v>
      </c>
      <c r="S26" s="31" t="s">
        <v>20</v>
      </c>
      <c r="T26" s="31" t="s">
        <v>20</v>
      </c>
      <c r="U26" s="31" t="s">
        <v>20</v>
      </c>
      <c r="V26" s="31" t="s">
        <v>20</v>
      </c>
      <c r="W26" s="31" t="s">
        <v>20</v>
      </c>
      <c r="X26" s="31" t="s">
        <v>20</v>
      </c>
      <c r="Y26" s="31" t="s">
        <v>20</v>
      </c>
      <c r="Z26" s="31" t="s">
        <v>20</v>
      </c>
      <c r="AA26" s="31" t="s">
        <v>20</v>
      </c>
      <c r="AB26" s="31" t="s">
        <v>20</v>
      </c>
      <c r="AC26" s="31" t="s">
        <v>20</v>
      </c>
      <c r="AD26" s="31" t="s">
        <v>20</v>
      </c>
      <c r="AE26" s="31" t="s">
        <v>20</v>
      </c>
      <c r="AF26" s="31" t="s">
        <v>20</v>
      </c>
      <c r="AG26" s="31" t="s">
        <v>20</v>
      </c>
      <c r="AH26" s="31" t="s">
        <v>20</v>
      </c>
    </row>
    <row r="27" spans="1:34" x14ac:dyDescent="0.25">
      <c r="A27" s="69" t="s">
        <v>336</v>
      </c>
      <c r="B27" s="41" t="s">
        <v>340</v>
      </c>
      <c r="C27" s="42">
        <f>C26*C3</f>
        <v>0</v>
      </c>
      <c r="D27" s="42">
        <f>D26*D3</f>
        <v>0</v>
      </c>
      <c r="E27" s="42">
        <f>E26*E3</f>
        <v>0</v>
      </c>
      <c r="F27" s="42">
        <f>F26*F3</f>
        <v>0</v>
      </c>
      <c r="G27" s="42" t="s">
        <v>20</v>
      </c>
      <c r="H27" s="42" t="s">
        <v>20</v>
      </c>
      <c r="I27" s="42" t="s">
        <v>20</v>
      </c>
      <c r="J27" s="42" t="s">
        <v>20</v>
      </c>
      <c r="K27" s="42" t="s">
        <v>20</v>
      </c>
      <c r="L27" s="42" t="s">
        <v>20</v>
      </c>
      <c r="M27" s="42" t="s">
        <v>20</v>
      </c>
      <c r="N27" s="42" t="s">
        <v>20</v>
      </c>
      <c r="O27" s="42" t="s">
        <v>20</v>
      </c>
      <c r="P27" s="42" t="s">
        <v>20</v>
      </c>
      <c r="Q27" s="42" t="s">
        <v>20</v>
      </c>
      <c r="R27" s="42" t="s">
        <v>20</v>
      </c>
      <c r="S27" s="31" t="s">
        <v>20</v>
      </c>
      <c r="T27" s="31" t="s">
        <v>20</v>
      </c>
      <c r="U27" s="31" t="s">
        <v>20</v>
      </c>
      <c r="V27" s="31" t="s">
        <v>20</v>
      </c>
      <c r="W27" s="31" t="s">
        <v>20</v>
      </c>
      <c r="X27" s="31" t="s">
        <v>20</v>
      </c>
      <c r="Y27" s="31" t="s">
        <v>20</v>
      </c>
      <c r="Z27" s="31" t="s">
        <v>20</v>
      </c>
      <c r="AA27" s="31" t="s">
        <v>20</v>
      </c>
      <c r="AB27" s="31" t="s">
        <v>20</v>
      </c>
      <c r="AC27" s="31" t="s">
        <v>20</v>
      </c>
      <c r="AD27" s="31" t="s">
        <v>20</v>
      </c>
      <c r="AE27" s="31" t="s">
        <v>20</v>
      </c>
      <c r="AF27" s="31" t="s">
        <v>20</v>
      </c>
      <c r="AG27" s="31" t="s">
        <v>20</v>
      </c>
      <c r="AH27" s="31" t="s">
        <v>20</v>
      </c>
    </row>
    <row r="28" spans="1:34" hidden="1" x14ac:dyDescent="0.25">
      <c r="A28" s="66" t="s">
        <v>416</v>
      </c>
      <c r="B28" s="152" t="s">
        <v>337</v>
      </c>
      <c r="C28" s="25" t="s">
        <v>20</v>
      </c>
      <c r="D28" s="25" t="s">
        <v>20</v>
      </c>
      <c r="E28" s="25" t="s">
        <v>20</v>
      </c>
      <c r="F28" s="25" t="s">
        <v>20</v>
      </c>
      <c r="G28" s="25">
        <v>60</v>
      </c>
      <c r="H28" s="25">
        <v>60</v>
      </c>
      <c r="I28" s="25">
        <v>60</v>
      </c>
      <c r="J28" s="42">
        <v>60</v>
      </c>
      <c r="K28" s="42">
        <v>60</v>
      </c>
      <c r="L28" s="42">
        <v>60</v>
      </c>
      <c r="M28" s="42">
        <v>60</v>
      </c>
      <c r="N28" s="42">
        <v>60</v>
      </c>
      <c r="O28" s="42">
        <v>60</v>
      </c>
      <c r="P28" s="42">
        <v>60</v>
      </c>
      <c r="Q28" s="42">
        <v>60</v>
      </c>
      <c r="R28" s="42">
        <v>60</v>
      </c>
      <c r="S28" s="31">
        <v>60</v>
      </c>
      <c r="T28" s="31">
        <v>60</v>
      </c>
      <c r="U28" s="31">
        <v>60</v>
      </c>
      <c r="V28" s="31">
        <v>60</v>
      </c>
      <c r="W28" s="31">
        <v>60</v>
      </c>
      <c r="X28" s="31">
        <v>60</v>
      </c>
      <c r="Y28" s="31">
        <v>60</v>
      </c>
      <c r="Z28" s="31">
        <v>60</v>
      </c>
      <c r="AA28" s="31">
        <v>60</v>
      </c>
      <c r="AB28" s="31">
        <v>60</v>
      </c>
      <c r="AC28" s="31">
        <v>60</v>
      </c>
      <c r="AD28" s="31">
        <v>60</v>
      </c>
      <c r="AE28" s="31">
        <v>60</v>
      </c>
      <c r="AF28" s="31">
        <v>60</v>
      </c>
      <c r="AG28" s="31">
        <v>60</v>
      </c>
      <c r="AH28" s="31">
        <v>60</v>
      </c>
    </row>
    <row r="29" spans="1:34" hidden="1" x14ac:dyDescent="0.25">
      <c r="A29" s="66" t="s">
        <v>417</v>
      </c>
      <c r="B29" s="33" t="s">
        <v>339</v>
      </c>
      <c r="C29" s="145">
        <v>0.18</v>
      </c>
      <c r="D29" s="145">
        <v>0.18</v>
      </c>
      <c r="E29" s="145">
        <v>0.18</v>
      </c>
      <c r="F29" s="145">
        <v>0.18</v>
      </c>
      <c r="G29" s="25" t="s">
        <v>20</v>
      </c>
      <c r="H29" s="25" t="s">
        <v>20</v>
      </c>
      <c r="I29" s="25" t="s">
        <v>20</v>
      </c>
      <c r="J29" s="42" t="s">
        <v>20</v>
      </c>
      <c r="K29" s="42" t="s">
        <v>20</v>
      </c>
      <c r="L29" s="42" t="s">
        <v>20</v>
      </c>
      <c r="M29" s="42" t="s">
        <v>20</v>
      </c>
      <c r="N29" s="42" t="s">
        <v>20</v>
      </c>
      <c r="O29" s="42" t="s">
        <v>20</v>
      </c>
      <c r="P29" s="42" t="s">
        <v>20</v>
      </c>
      <c r="Q29" s="42" t="s">
        <v>20</v>
      </c>
      <c r="R29" s="42" t="s">
        <v>20</v>
      </c>
      <c r="S29" s="31" t="s">
        <v>20</v>
      </c>
      <c r="T29" s="31" t="s">
        <v>20</v>
      </c>
      <c r="U29" s="31" t="s">
        <v>20</v>
      </c>
      <c r="V29" s="31" t="s">
        <v>20</v>
      </c>
      <c r="W29" s="31" t="s">
        <v>20</v>
      </c>
      <c r="X29" s="31" t="s">
        <v>20</v>
      </c>
      <c r="Y29" s="31" t="s">
        <v>20</v>
      </c>
      <c r="Z29" s="31" t="s">
        <v>20</v>
      </c>
      <c r="AA29" s="31" t="s">
        <v>20</v>
      </c>
      <c r="AB29" s="31" t="s">
        <v>20</v>
      </c>
      <c r="AC29" s="31" t="s">
        <v>20</v>
      </c>
      <c r="AD29" s="31" t="s">
        <v>20</v>
      </c>
      <c r="AE29" s="31" t="s">
        <v>20</v>
      </c>
      <c r="AF29" s="31" t="s">
        <v>20</v>
      </c>
      <c r="AG29" s="31" t="s">
        <v>20</v>
      </c>
      <c r="AH29" s="31" t="s">
        <v>20</v>
      </c>
    </row>
    <row r="30" spans="1:34" hidden="1" x14ac:dyDescent="0.25">
      <c r="A30" s="66" t="s">
        <v>420</v>
      </c>
      <c r="B30" s="33" t="s">
        <v>366</v>
      </c>
      <c r="C30" s="25" t="s">
        <v>20</v>
      </c>
      <c r="D30" s="25" t="s">
        <v>20</v>
      </c>
      <c r="E30" s="25" t="s">
        <v>20</v>
      </c>
      <c r="F30" s="25" t="s">
        <v>20</v>
      </c>
      <c r="G30" s="25">
        <f t="shared" ref="G30:AH30" si="54">G28*G3</f>
        <v>480</v>
      </c>
      <c r="H30" s="25">
        <f t="shared" si="54"/>
        <v>480</v>
      </c>
      <c r="I30" s="25">
        <f t="shared" si="54"/>
        <v>480</v>
      </c>
      <c r="J30" s="42">
        <f t="shared" si="54"/>
        <v>480</v>
      </c>
      <c r="K30" s="42">
        <f t="shared" ref="K30" si="55">K28*K3</f>
        <v>960</v>
      </c>
      <c r="L30" s="42">
        <f t="shared" ref="L30:O30" si="56">L28*L3</f>
        <v>960</v>
      </c>
      <c r="M30" s="42">
        <f t="shared" si="56"/>
        <v>960</v>
      </c>
      <c r="N30" s="42">
        <f t="shared" si="56"/>
        <v>960</v>
      </c>
      <c r="O30" s="42">
        <f t="shared" si="56"/>
        <v>1920</v>
      </c>
      <c r="P30" s="42">
        <f t="shared" si="54"/>
        <v>1920</v>
      </c>
      <c r="Q30" s="42">
        <f t="shared" si="54"/>
        <v>1920</v>
      </c>
      <c r="R30" s="42">
        <f t="shared" si="54"/>
        <v>1920</v>
      </c>
      <c r="S30" s="31">
        <f t="shared" si="54"/>
        <v>120</v>
      </c>
      <c r="T30" s="31">
        <f t="shared" si="54"/>
        <v>120</v>
      </c>
      <c r="U30" s="31">
        <f t="shared" si="54"/>
        <v>120</v>
      </c>
      <c r="V30" s="31">
        <f t="shared" si="54"/>
        <v>120</v>
      </c>
      <c r="W30" s="31">
        <f t="shared" ref="W30:Z30" si="57">W28*W3</f>
        <v>240</v>
      </c>
      <c r="X30" s="31">
        <f t="shared" si="57"/>
        <v>240</v>
      </c>
      <c r="Y30" s="31">
        <f t="shared" si="57"/>
        <v>240</v>
      </c>
      <c r="Z30" s="31">
        <f t="shared" si="57"/>
        <v>240</v>
      </c>
      <c r="AA30" s="31">
        <f t="shared" ref="AA30" si="58">AA28*AA3</f>
        <v>480</v>
      </c>
      <c r="AB30" s="31">
        <f t="shared" ref="AB30:AD30" si="59">AB28*AB3</f>
        <v>480</v>
      </c>
      <c r="AC30" s="31">
        <f t="shared" si="59"/>
        <v>480</v>
      </c>
      <c r="AD30" s="31">
        <f t="shared" si="59"/>
        <v>480</v>
      </c>
      <c r="AE30" s="31">
        <f t="shared" si="54"/>
        <v>60</v>
      </c>
      <c r="AF30" s="31">
        <f t="shared" si="54"/>
        <v>60</v>
      </c>
      <c r="AG30" s="31">
        <f t="shared" si="54"/>
        <v>60</v>
      </c>
      <c r="AH30" s="31">
        <f t="shared" si="54"/>
        <v>60</v>
      </c>
    </row>
    <row r="31" spans="1:34" x14ac:dyDescent="0.25">
      <c r="A31" s="66" t="s">
        <v>418</v>
      </c>
      <c r="B31" s="33" t="s">
        <v>340</v>
      </c>
      <c r="C31" s="25">
        <f>C29*C3</f>
        <v>1.44</v>
      </c>
      <c r="D31" s="25">
        <f>D29*D3</f>
        <v>1.44</v>
      </c>
      <c r="E31" s="25">
        <f>E29*E3</f>
        <v>1.44</v>
      </c>
      <c r="F31" s="25">
        <f>F29*F3</f>
        <v>1.44</v>
      </c>
      <c r="G31" s="25" t="s">
        <v>20</v>
      </c>
      <c r="H31" s="25" t="s">
        <v>20</v>
      </c>
      <c r="I31" s="25" t="s">
        <v>20</v>
      </c>
      <c r="J31" s="42" t="s">
        <v>20</v>
      </c>
      <c r="K31" s="42" t="s">
        <v>20</v>
      </c>
      <c r="L31" s="42" t="s">
        <v>20</v>
      </c>
      <c r="M31" s="42" t="s">
        <v>20</v>
      </c>
      <c r="N31" s="42" t="s">
        <v>20</v>
      </c>
      <c r="O31" s="42" t="s">
        <v>20</v>
      </c>
      <c r="P31" s="42" t="s">
        <v>20</v>
      </c>
      <c r="Q31" s="42" t="s">
        <v>20</v>
      </c>
      <c r="R31" s="42" t="s">
        <v>20</v>
      </c>
      <c r="S31" s="31" t="s">
        <v>20</v>
      </c>
      <c r="T31" s="31" t="s">
        <v>20</v>
      </c>
      <c r="U31" s="31" t="s">
        <v>20</v>
      </c>
      <c r="V31" s="31" t="s">
        <v>20</v>
      </c>
      <c r="W31" s="31" t="s">
        <v>20</v>
      </c>
      <c r="X31" s="31" t="s">
        <v>20</v>
      </c>
      <c r="Y31" s="31" t="s">
        <v>20</v>
      </c>
      <c r="Z31" s="31" t="s">
        <v>20</v>
      </c>
      <c r="AA31" s="31" t="s">
        <v>20</v>
      </c>
      <c r="AB31" s="31" t="s">
        <v>20</v>
      </c>
      <c r="AC31" s="31" t="s">
        <v>20</v>
      </c>
      <c r="AD31" s="31" t="s">
        <v>20</v>
      </c>
      <c r="AE31" s="31" t="s">
        <v>20</v>
      </c>
      <c r="AF31" s="31" t="s">
        <v>20</v>
      </c>
      <c r="AG31" s="31" t="s">
        <v>20</v>
      </c>
      <c r="AH31" s="31" t="s">
        <v>20</v>
      </c>
    </row>
    <row r="32" spans="1:34" hidden="1" x14ac:dyDescent="0.25">
      <c r="A32" s="84" t="s">
        <v>316</v>
      </c>
      <c r="B32" s="33" t="s">
        <v>339</v>
      </c>
      <c r="C32" s="31">
        <v>0</v>
      </c>
      <c r="D32" s="31">
        <v>0</v>
      </c>
      <c r="E32" s="31">
        <v>0</v>
      </c>
      <c r="F32" s="31">
        <v>0</v>
      </c>
      <c r="G32" s="31" t="s">
        <v>20</v>
      </c>
      <c r="H32" s="31" t="s">
        <v>20</v>
      </c>
      <c r="I32" s="31" t="s">
        <v>20</v>
      </c>
      <c r="J32" s="31" t="s">
        <v>20</v>
      </c>
      <c r="K32" s="31" t="s">
        <v>20</v>
      </c>
      <c r="L32" s="31" t="s">
        <v>20</v>
      </c>
      <c r="M32" s="31" t="s">
        <v>20</v>
      </c>
      <c r="N32" s="31" t="s">
        <v>20</v>
      </c>
      <c r="O32" s="31" t="s">
        <v>20</v>
      </c>
      <c r="P32" s="31" t="s">
        <v>20</v>
      </c>
      <c r="Q32" s="31" t="s">
        <v>20</v>
      </c>
      <c r="R32" s="31" t="s">
        <v>20</v>
      </c>
      <c r="S32" s="31" t="s">
        <v>20</v>
      </c>
      <c r="T32" s="31" t="s">
        <v>20</v>
      </c>
      <c r="U32" s="31" t="s">
        <v>20</v>
      </c>
      <c r="V32" s="31" t="s">
        <v>20</v>
      </c>
      <c r="W32" s="31" t="s">
        <v>20</v>
      </c>
      <c r="X32" s="31" t="s">
        <v>20</v>
      </c>
      <c r="Y32" s="31" t="s">
        <v>20</v>
      </c>
      <c r="Z32" s="31" t="s">
        <v>20</v>
      </c>
      <c r="AA32" s="31" t="s">
        <v>20</v>
      </c>
      <c r="AB32" s="31" t="s">
        <v>20</v>
      </c>
      <c r="AC32" s="31" t="s">
        <v>20</v>
      </c>
      <c r="AD32" s="31" t="s">
        <v>20</v>
      </c>
      <c r="AE32" s="31" t="s">
        <v>20</v>
      </c>
      <c r="AF32" s="31" t="s">
        <v>20</v>
      </c>
      <c r="AG32" s="31" t="s">
        <v>20</v>
      </c>
      <c r="AH32" s="31" t="s">
        <v>20</v>
      </c>
    </row>
    <row r="33" spans="1:34" hidden="1" x14ac:dyDescent="0.25">
      <c r="A33" s="70" t="s">
        <v>265</v>
      </c>
      <c r="B33" s="40" t="s">
        <v>337</v>
      </c>
      <c r="C33" s="31" t="s">
        <v>20</v>
      </c>
      <c r="D33" s="31" t="s">
        <v>20</v>
      </c>
      <c r="E33" s="31" t="s">
        <v>20</v>
      </c>
      <c r="F33" s="31" t="s">
        <v>20</v>
      </c>
      <c r="G33" s="31">
        <f t="shared" ref="G33:O33" si="60">G37+G38</f>
        <v>10</v>
      </c>
      <c r="H33" s="31">
        <f t="shared" si="60"/>
        <v>10</v>
      </c>
      <c r="I33" s="31">
        <f t="shared" si="60"/>
        <v>10</v>
      </c>
      <c r="J33" s="31">
        <f t="shared" si="60"/>
        <v>10</v>
      </c>
      <c r="K33" s="31">
        <f t="shared" si="60"/>
        <v>10</v>
      </c>
      <c r="L33" s="31">
        <f t="shared" ref="L33:N33" si="61">L37+L38</f>
        <v>10</v>
      </c>
      <c r="M33" s="31">
        <f t="shared" si="61"/>
        <v>10</v>
      </c>
      <c r="N33" s="31">
        <f t="shared" si="61"/>
        <v>10</v>
      </c>
      <c r="O33" s="31">
        <f t="shared" si="60"/>
        <v>10</v>
      </c>
      <c r="P33" s="31">
        <f t="shared" ref="P33:V33" si="62">P37+P38</f>
        <v>10</v>
      </c>
      <c r="Q33" s="31">
        <f t="shared" si="62"/>
        <v>10</v>
      </c>
      <c r="R33" s="31">
        <f t="shared" si="62"/>
        <v>10</v>
      </c>
      <c r="S33" s="31">
        <f t="shared" si="62"/>
        <v>10</v>
      </c>
      <c r="T33" s="31">
        <f t="shared" si="62"/>
        <v>10</v>
      </c>
      <c r="U33" s="31">
        <f t="shared" si="62"/>
        <v>10</v>
      </c>
      <c r="V33" s="31">
        <f t="shared" si="62"/>
        <v>10</v>
      </c>
      <c r="W33" s="31">
        <f t="shared" ref="W33:Z33" si="63">W37+W38</f>
        <v>10</v>
      </c>
      <c r="X33" s="31">
        <f t="shared" si="63"/>
        <v>10</v>
      </c>
      <c r="Y33" s="31">
        <f t="shared" si="63"/>
        <v>10</v>
      </c>
      <c r="Z33" s="31">
        <f t="shared" si="63"/>
        <v>10</v>
      </c>
      <c r="AA33" s="31">
        <f t="shared" ref="AA33" si="64">AA37+AA38</f>
        <v>10</v>
      </c>
      <c r="AB33" s="31">
        <f t="shared" ref="AB33:AD33" si="65">AB37+AB38</f>
        <v>10</v>
      </c>
      <c r="AC33" s="31">
        <f t="shared" si="65"/>
        <v>10</v>
      </c>
      <c r="AD33" s="31">
        <f t="shared" si="65"/>
        <v>10</v>
      </c>
      <c r="AE33" s="31">
        <f>AE37+AE38</f>
        <v>10</v>
      </c>
      <c r="AF33" s="31">
        <f>AF37+AF38</f>
        <v>10</v>
      </c>
      <c r="AG33" s="31">
        <f>AG37+AG38</f>
        <v>10</v>
      </c>
      <c r="AH33" s="31">
        <f>AH37+AH38</f>
        <v>10</v>
      </c>
    </row>
    <row r="34" spans="1:34" hidden="1" x14ac:dyDescent="0.25">
      <c r="A34" s="70" t="s">
        <v>266</v>
      </c>
      <c r="B34" s="40" t="s">
        <v>338</v>
      </c>
      <c r="C34" s="31" t="s">
        <v>20</v>
      </c>
      <c r="D34" s="31" t="s">
        <v>20</v>
      </c>
      <c r="E34" s="31" t="s">
        <v>20</v>
      </c>
      <c r="F34" s="31" t="s">
        <v>20</v>
      </c>
      <c r="G34" s="31">
        <f t="shared" ref="G34:AH34" si="66">G33*G5</f>
        <v>5120</v>
      </c>
      <c r="H34" s="31">
        <f t="shared" si="66"/>
        <v>10240</v>
      </c>
      <c r="I34" s="31">
        <f t="shared" si="66"/>
        <v>15360</v>
      </c>
      <c r="J34" s="31">
        <f t="shared" si="66"/>
        <v>20480</v>
      </c>
      <c r="K34" s="31">
        <f t="shared" ref="K34" si="67">K33*K5</f>
        <v>5120</v>
      </c>
      <c r="L34" s="31">
        <f t="shared" ref="L34:O34" si="68">L33*L5</f>
        <v>10240</v>
      </c>
      <c r="M34" s="31">
        <f t="shared" si="68"/>
        <v>20480</v>
      </c>
      <c r="N34" s="31">
        <f t="shared" si="68"/>
        <v>30720</v>
      </c>
      <c r="O34" s="31">
        <f t="shared" si="68"/>
        <v>10240</v>
      </c>
      <c r="P34" s="31">
        <f t="shared" si="66"/>
        <v>20480</v>
      </c>
      <c r="Q34" s="31">
        <f t="shared" si="66"/>
        <v>40960</v>
      </c>
      <c r="R34" s="31">
        <f t="shared" si="66"/>
        <v>61440</v>
      </c>
      <c r="S34" s="31">
        <f t="shared" si="66"/>
        <v>7680</v>
      </c>
      <c r="T34" s="31">
        <f t="shared" si="66"/>
        <v>10240</v>
      </c>
      <c r="U34" s="31">
        <f t="shared" si="66"/>
        <v>15360</v>
      </c>
      <c r="V34" s="31">
        <f t="shared" si="66"/>
        <v>20480</v>
      </c>
      <c r="W34" s="31">
        <f t="shared" ref="W34:Z34" si="69">W33*W5</f>
        <v>15360</v>
      </c>
      <c r="X34" s="31">
        <f t="shared" si="69"/>
        <v>20480</v>
      </c>
      <c r="Y34" s="31">
        <f t="shared" si="69"/>
        <v>30720</v>
      </c>
      <c r="Z34" s="31">
        <f t="shared" si="69"/>
        <v>40960</v>
      </c>
      <c r="AA34" s="31">
        <f t="shared" ref="AA34" si="70">AA33*AA5</f>
        <v>15360</v>
      </c>
      <c r="AB34" s="31">
        <f t="shared" ref="AB34:AD34" si="71">AB33*AB5</f>
        <v>20480</v>
      </c>
      <c r="AC34" s="31">
        <f t="shared" si="71"/>
        <v>30720</v>
      </c>
      <c r="AD34" s="31">
        <f t="shared" si="71"/>
        <v>40960</v>
      </c>
      <c r="AE34" s="31">
        <f t="shared" si="66"/>
        <v>3840</v>
      </c>
      <c r="AF34" s="31">
        <f t="shared" si="66"/>
        <v>5120</v>
      </c>
      <c r="AG34" s="31">
        <f t="shared" si="66"/>
        <v>7680</v>
      </c>
      <c r="AH34" s="31">
        <f t="shared" si="66"/>
        <v>10240</v>
      </c>
    </row>
    <row r="35" spans="1:34" hidden="1" x14ac:dyDescent="0.25">
      <c r="A35" s="70" t="s">
        <v>280</v>
      </c>
      <c r="B35" s="40" t="s">
        <v>330</v>
      </c>
      <c r="C35" s="39">
        <f>(C4-1)*C3</f>
        <v>1016</v>
      </c>
      <c r="D35" s="39">
        <f>(D4-1)*D3</f>
        <v>2040</v>
      </c>
      <c r="E35" s="39">
        <f>(E4-1)*E3</f>
        <v>3064</v>
      </c>
      <c r="F35" s="39">
        <f>(F4-1)*F3</f>
        <v>4088</v>
      </c>
      <c r="G35" s="31" t="s">
        <v>20</v>
      </c>
      <c r="H35" s="31" t="s">
        <v>20</v>
      </c>
      <c r="I35" s="31" t="s">
        <v>20</v>
      </c>
      <c r="J35" s="31" t="s">
        <v>20</v>
      </c>
      <c r="K35" s="31" t="s">
        <v>20</v>
      </c>
      <c r="L35" s="31" t="s">
        <v>20</v>
      </c>
      <c r="M35" s="31" t="s">
        <v>20</v>
      </c>
      <c r="N35" s="31" t="s">
        <v>20</v>
      </c>
      <c r="O35" s="31" t="s">
        <v>20</v>
      </c>
      <c r="P35" s="31" t="s">
        <v>20</v>
      </c>
      <c r="Q35" s="31" t="s">
        <v>20</v>
      </c>
      <c r="R35" s="31" t="s">
        <v>20</v>
      </c>
      <c r="S35" s="31" t="s">
        <v>20</v>
      </c>
      <c r="T35" s="31" t="s">
        <v>20</v>
      </c>
      <c r="U35" s="31" t="s">
        <v>20</v>
      </c>
      <c r="V35" s="31" t="s">
        <v>20</v>
      </c>
      <c r="W35" s="31" t="s">
        <v>20</v>
      </c>
      <c r="X35" s="31" t="s">
        <v>20</v>
      </c>
      <c r="Y35" s="31" t="s">
        <v>20</v>
      </c>
      <c r="Z35" s="31" t="s">
        <v>20</v>
      </c>
      <c r="AA35" s="31" t="s">
        <v>20</v>
      </c>
      <c r="AB35" s="31" t="s">
        <v>20</v>
      </c>
      <c r="AC35" s="31" t="s">
        <v>20</v>
      </c>
      <c r="AD35" s="31" t="s">
        <v>20</v>
      </c>
      <c r="AE35" s="31" t="s">
        <v>20</v>
      </c>
      <c r="AF35" s="31" t="s">
        <v>20</v>
      </c>
      <c r="AG35" s="31" t="s">
        <v>20</v>
      </c>
      <c r="AH35" s="31" t="s">
        <v>20</v>
      </c>
    </row>
    <row r="36" spans="1:34" hidden="1" x14ac:dyDescent="0.25">
      <c r="A36" s="70" t="s">
        <v>279</v>
      </c>
      <c r="B36" s="40" t="s">
        <v>339</v>
      </c>
      <c r="C36" s="31">
        <f>C44*C35</f>
        <v>40.64</v>
      </c>
      <c r="D36" s="31">
        <f>D44*D35</f>
        <v>81.600000000000009</v>
      </c>
      <c r="E36" s="31">
        <f>E44*E35</f>
        <v>122.56</v>
      </c>
      <c r="F36" s="31">
        <f>F44*F35</f>
        <v>163.52000000000001</v>
      </c>
      <c r="G36" s="31" t="s">
        <v>20</v>
      </c>
      <c r="H36" s="31" t="s">
        <v>20</v>
      </c>
      <c r="I36" s="31" t="s">
        <v>20</v>
      </c>
      <c r="J36" s="31" t="s">
        <v>20</v>
      </c>
      <c r="K36" s="31" t="s">
        <v>20</v>
      </c>
      <c r="L36" s="31" t="s">
        <v>20</v>
      </c>
      <c r="M36" s="31" t="s">
        <v>20</v>
      </c>
      <c r="N36" s="31" t="s">
        <v>20</v>
      </c>
      <c r="O36" s="31" t="s">
        <v>20</v>
      </c>
      <c r="P36" s="31" t="s">
        <v>20</v>
      </c>
      <c r="Q36" s="31" t="s">
        <v>20</v>
      </c>
      <c r="R36" s="31" t="s">
        <v>20</v>
      </c>
      <c r="S36" s="31" t="s">
        <v>20</v>
      </c>
      <c r="T36" s="31" t="s">
        <v>20</v>
      </c>
      <c r="U36" s="31" t="s">
        <v>20</v>
      </c>
      <c r="V36" s="31" t="s">
        <v>20</v>
      </c>
      <c r="W36" s="31" t="s">
        <v>20</v>
      </c>
      <c r="X36" s="31" t="s">
        <v>20</v>
      </c>
      <c r="Y36" s="31" t="s">
        <v>20</v>
      </c>
      <c r="Z36" s="31" t="s">
        <v>20</v>
      </c>
      <c r="AA36" s="31" t="s">
        <v>20</v>
      </c>
      <c r="AB36" s="31" t="s">
        <v>20</v>
      </c>
      <c r="AC36" s="31" t="s">
        <v>20</v>
      </c>
      <c r="AD36" s="31" t="s">
        <v>20</v>
      </c>
      <c r="AE36" s="31" t="s">
        <v>20</v>
      </c>
      <c r="AF36" s="31" t="s">
        <v>20</v>
      </c>
      <c r="AG36" s="31" t="s">
        <v>20</v>
      </c>
      <c r="AH36" s="31" t="s">
        <v>20</v>
      </c>
    </row>
    <row r="37" spans="1:34" hidden="1" x14ac:dyDescent="0.25">
      <c r="A37" s="70" t="s">
        <v>329</v>
      </c>
      <c r="B37" s="40" t="s">
        <v>337</v>
      </c>
      <c r="C37" s="31" t="s">
        <v>20</v>
      </c>
      <c r="D37" s="31" t="s">
        <v>20</v>
      </c>
      <c r="E37" s="31" t="s">
        <v>20</v>
      </c>
      <c r="F37" s="31" t="s">
        <v>20</v>
      </c>
      <c r="G37" s="31">
        <v>10</v>
      </c>
      <c r="H37" s="31">
        <v>10</v>
      </c>
      <c r="I37" s="31">
        <v>10</v>
      </c>
      <c r="J37" s="31">
        <v>10</v>
      </c>
      <c r="K37" s="31">
        <v>10</v>
      </c>
      <c r="L37" s="31">
        <v>10</v>
      </c>
      <c r="M37" s="31">
        <v>10</v>
      </c>
      <c r="N37" s="31">
        <v>10</v>
      </c>
      <c r="O37" s="31">
        <v>10</v>
      </c>
      <c r="P37" s="31">
        <v>10</v>
      </c>
      <c r="Q37" s="31">
        <v>10</v>
      </c>
      <c r="R37" s="31">
        <v>10</v>
      </c>
      <c r="S37" s="31">
        <v>10</v>
      </c>
      <c r="T37" s="31">
        <v>10</v>
      </c>
      <c r="U37" s="31">
        <v>10</v>
      </c>
      <c r="V37" s="31">
        <v>10</v>
      </c>
      <c r="W37" s="31">
        <v>10</v>
      </c>
      <c r="X37" s="31">
        <v>10</v>
      </c>
      <c r="Y37" s="31">
        <v>10</v>
      </c>
      <c r="Z37" s="31">
        <v>10</v>
      </c>
      <c r="AA37" s="31">
        <v>10</v>
      </c>
      <c r="AB37" s="31">
        <v>10</v>
      </c>
      <c r="AC37" s="31">
        <v>10</v>
      </c>
      <c r="AD37" s="31">
        <v>10</v>
      </c>
      <c r="AE37" s="31">
        <v>10</v>
      </c>
      <c r="AF37" s="31">
        <v>10</v>
      </c>
      <c r="AG37" s="31">
        <v>10</v>
      </c>
      <c r="AH37" s="31">
        <v>10</v>
      </c>
    </row>
    <row r="38" spans="1:34" hidden="1" x14ac:dyDescent="0.25">
      <c r="A38" s="70" t="s">
        <v>314</v>
      </c>
      <c r="B38" s="40" t="s">
        <v>337</v>
      </c>
      <c r="C38" s="45" t="s">
        <v>20</v>
      </c>
      <c r="D38" s="45" t="s">
        <v>20</v>
      </c>
      <c r="E38" s="45" t="s">
        <v>20</v>
      </c>
      <c r="F38" s="45" t="s">
        <v>20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45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  <c r="AH38" s="31">
        <v>0</v>
      </c>
    </row>
    <row r="39" spans="1:34" hidden="1" x14ac:dyDescent="0.25">
      <c r="A39" s="70" t="s">
        <v>275</v>
      </c>
      <c r="B39" s="40" t="s">
        <v>339</v>
      </c>
      <c r="C39" s="44">
        <v>0.08</v>
      </c>
      <c r="D39" s="44">
        <v>0.08</v>
      </c>
      <c r="E39" s="44">
        <v>0.08</v>
      </c>
      <c r="F39" s="44">
        <v>0.08</v>
      </c>
      <c r="G39" s="31" t="s">
        <v>20</v>
      </c>
      <c r="H39" s="31" t="s">
        <v>20</v>
      </c>
      <c r="I39" s="31" t="s">
        <v>20</v>
      </c>
      <c r="J39" s="31" t="s">
        <v>20</v>
      </c>
      <c r="K39" s="31" t="s">
        <v>20</v>
      </c>
      <c r="L39" s="31" t="s">
        <v>20</v>
      </c>
      <c r="M39" s="31" t="s">
        <v>20</v>
      </c>
      <c r="N39" s="31" t="s">
        <v>20</v>
      </c>
      <c r="O39" s="31" t="s">
        <v>20</v>
      </c>
      <c r="P39" s="31" t="s">
        <v>20</v>
      </c>
      <c r="Q39" s="31" t="s">
        <v>20</v>
      </c>
      <c r="R39" s="31" t="s">
        <v>20</v>
      </c>
      <c r="S39" s="31" t="s">
        <v>20</v>
      </c>
      <c r="T39" s="31" t="s">
        <v>20</v>
      </c>
      <c r="U39" s="31" t="s">
        <v>20</v>
      </c>
      <c r="V39" s="31" t="s">
        <v>20</v>
      </c>
      <c r="W39" s="31" t="s">
        <v>20</v>
      </c>
      <c r="X39" s="31" t="s">
        <v>20</v>
      </c>
      <c r="Y39" s="31" t="s">
        <v>20</v>
      </c>
      <c r="Z39" s="31" t="s">
        <v>20</v>
      </c>
      <c r="AA39" s="31" t="s">
        <v>20</v>
      </c>
      <c r="AB39" s="31" t="s">
        <v>20</v>
      </c>
      <c r="AC39" s="31" t="s">
        <v>20</v>
      </c>
      <c r="AD39" s="31" t="s">
        <v>20</v>
      </c>
      <c r="AE39" s="31" t="s">
        <v>20</v>
      </c>
      <c r="AF39" s="31" t="s">
        <v>20</v>
      </c>
      <c r="AG39" s="31" t="s">
        <v>20</v>
      </c>
      <c r="AH39" s="31" t="s">
        <v>20</v>
      </c>
    </row>
    <row r="40" spans="1:34" hidden="1" x14ac:dyDescent="0.25">
      <c r="A40" s="70" t="s">
        <v>276</v>
      </c>
      <c r="B40" s="40" t="s">
        <v>339</v>
      </c>
      <c r="C40" s="82">
        <v>0</v>
      </c>
      <c r="D40" s="82">
        <v>0</v>
      </c>
      <c r="E40" s="82">
        <v>0</v>
      </c>
      <c r="F40" s="82">
        <v>0</v>
      </c>
      <c r="G40" s="31" t="s">
        <v>20</v>
      </c>
      <c r="H40" s="31" t="s">
        <v>20</v>
      </c>
      <c r="I40" s="31" t="s">
        <v>20</v>
      </c>
      <c r="J40" s="31" t="s">
        <v>20</v>
      </c>
      <c r="K40" s="31" t="s">
        <v>20</v>
      </c>
      <c r="L40" s="31" t="s">
        <v>20</v>
      </c>
      <c r="M40" s="31" t="s">
        <v>20</v>
      </c>
      <c r="N40" s="31" t="s">
        <v>20</v>
      </c>
      <c r="O40" s="31" t="s">
        <v>20</v>
      </c>
      <c r="P40" s="31" t="s">
        <v>20</v>
      </c>
      <c r="Q40" s="31" t="s">
        <v>20</v>
      </c>
      <c r="R40" s="31" t="s">
        <v>20</v>
      </c>
      <c r="S40" s="31" t="s">
        <v>20</v>
      </c>
      <c r="T40" s="31" t="s">
        <v>20</v>
      </c>
      <c r="U40" s="31" t="s">
        <v>20</v>
      </c>
      <c r="V40" s="31" t="s">
        <v>20</v>
      </c>
      <c r="W40" s="31" t="s">
        <v>20</v>
      </c>
      <c r="X40" s="31" t="s">
        <v>20</v>
      </c>
      <c r="Y40" s="31" t="s">
        <v>20</v>
      </c>
      <c r="Z40" s="31" t="s">
        <v>20</v>
      </c>
      <c r="AA40" s="31" t="s">
        <v>20</v>
      </c>
      <c r="AB40" s="31" t="s">
        <v>20</v>
      </c>
      <c r="AC40" s="31" t="s">
        <v>20</v>
      </c>
      <c r="AD40" s="31" t="s">
        <v>20</v>
      </c>
      <c r="AE40" s="31" t="s">
        <v>20</v>
      </c>
      <c r="AF40" s="31" t="s">
        <v>20</v>
      </c>
      <c r="AG40" s="31" t="s">
        <v>20</v>
      </c>
      <c r="AH40" s="31" t="s">
        <v>20</v>
      </c>
    </row>
    <row r="41" spans="1:34" hidden="1" x14ac:dyDescent="0.25">
      <c r="A41" s="70" t="s">
        <v>277</v>
      </c>
      <c r="B41" s="40" t="s">
        <v>339</v>
      </c>
      <c r="C41" s="46">
        <f>C39+C40</f>
        <v>0.08</v>
      </c>
      <c r="D41" s="46">
        <f>D39+D40</f>
        <v>0.08</v>
      </c>
      <c r="E41" s="46">
        <f>E39+E40</f>
        <v>0.08</v>
      </c>
      <c r="F41" s="46">
        <f>F39+F40</f>
        <v>0.08</v>
      </c>
      <c r="G41" s="31" t="s">
        <v>20</v>
      </c>
      <c r="H41" s="31" t="s">
        <v>20</v>
      </c>
      <c r="I41" s="31" t="s">
        <v>20</v>
      </c>
      <c r="J41" s="31" t="s">
        <v>20</v>
      </c>
      <c r="K41" s="31" t="s">
        <v>20</v>
      </c>
      <c r="L41" s="31" t="s">
        <v>20</v>
      </c>
      <c r="M41" s="31" t="s">
        <v>20</v>
      </c>
      <c r="N41" s="31" t="s">
        <v>20</v>
      </c>
      <c r="O41" s="31" t="s">
        <v>20</v>
      </c>
      <c r="P41" s="31" t="s">
        <v>20</v>
      </c>
      <c r="Q41" s="31" t="s">
        <v>20</v>
      </c>
      <c r="R41" s="31" t="s">
        <v>20</v>
      </c>
      <c r="S41" s="31" t="s">
        <v>20</v>
      </c>
      <c r="T41" s="31" t="s">
        <v>20</v>
      </c>
      <c r="U41" s="31" t="s">
        <v>20</v>
      </c>
      <c r="V41" s="31" t="s">
        <v>20</v>
      </c>
      <c r="W41" s="31" t="s">
        <v>20</v>
      </c>
      <c r="X41" s="31" t="s">
        <v>20</v>
      </c>
      <c r="Y41" s="31" t="s">
        <v>20</v>
      </c>
      <c r="Z41" s="31" t="s">
        <v>20</v>
      </c>
      <c r="AA41" s="31" t="s">
        <v>20</v>
      </c>
      <c r="AB41" s="31" t="s">
        <v>20</v>
      </c>
      <c r="AC41" s="31" t="s">
        <v>20</v>
      </c>
      <c r="AD41" s="31" t="s">
        <v>20</v>
      </c>
      <c r="AE41" s="31" t="s">
        <v>20</v>
      </c>
      <c r="AF41" s="31" t="s">
        <v>20</v>
      </c>
      <c r="AG41" s="31" t="s">
        <v>20</v>
      </c>
      <c r="AH41" s="31" t="s">
        <v>20</v>
      </c>
    </row>
    <row r="42" spans="1:34" x14ac:dyDescent="0.25">
      <c r="A42" s="70" t="s">
        <v>274</v>
      </c>
      <c r="B42" s="40" t="s">
        <v>340</v>
      </c>
      <c r="C42" s="31">
        <f>C41*C4*C3</f>
        <v>81.92</v>
      </c>
      <c r="D42" s="31">
        <f>D41*D4*D3</f>
        <v>163.84</v>
      </c>
      <c r="E42" s="31">
        <f>E41*E4*E3</f>
        <v>245.76</v>
      </c>
      <c r="F42" s="31">
        <f>F41*F4*F3</f>
        <v>327.68</v>
      </c>
      <c r="G42" s="31" t="s">
        <v>20</v>
      </c>
      <c r="H42" s="31" t="s">
        <v>20</v>
      </c>
      <c r="I42" s="31" t="s">
        <v>20</v>
      </c>
      <c r="J42" s="31" t="s">
        <v>20</v>
      </c>
      <c r="K42" s="31" t="s">
        <v>20</v>
      </c>
      <c r="L42" s="31" t="s">
        <v>20</v>
      </c>
      <c r="M42" s="31" t="s">
        <v>20</v>
      </c>
      <c r="N42" s="31" t="s">
        <v>20</v>
      </c>
      <c r="O42" s="31" t="s">
        <v>20</v>
      </c>
      <c r="P42" s="31" t="s">
        <v>20</v>
      </c>
      <c r="Q42" s="31" t="s">
        <v>20</v>
      </c>
      <c r="R42" s="31" t="s">
        <v>20</v>
      </c>
      <c r="S42" s="31" t="s">
        <v>20</v>
      </c>
      <c r="T42" s="31" t="s">
        <v>20</v>
      </c>
      <c r="U42" s="31" t="s">
        <v>20</v>
      </c>
      <c r="V42" s="31" t="s">
        <v>20</v>
      </c>
      <c r="W42" s="31" t="s">
        <v>20</v>
      </c>
      <c r="X42" s="31" t="s">
        <v>20</v>
      </c>
      <c r="Y42" s="31" t="s">
        <v>20</v>
      </c>
      <c r="Z42" s="31" t="s">
        <v>20</v>
      </c>
      <c r="AA42" s="31" t="s">
        <v>20</v>
      </c>
      <c r="AB42" s="31" t="s">
        <v>20</v>
      </c>
      <c r="AC42" s="31" t="s">
        <v>20</v>
      </c>
      <c r="AD42" s="31" t="s">
        <v>20</v>
      </c>
      <c r="AE42" s="31" t="s">
        <v>20</v>
      </c>
      <c r="AF42" s="31" t="s">
        <v>20</v>
      </c>
      <c r="AG42" s="31" t="s">
        <v>20</v>
      </c>
      <c r="AH42" s="31" t="s">
        <v>20</v>
      </c>
    </row>
    <row r="43" spans="1:34" hidden="1" x14ac:dyDescent="0.25">
      <c r="A43" s="70" t="s">
        <v>469</v>
      </c>
      <c r="B43" s="40" t="s">
        <v>366</v>
      </c>
      <c r="C43" s="31" t="s">
        <v>20</v>
      </c>
      <c r="D43" s="31" t="s">
        <v>20</v>
      </c>
      <c r="E43" s="31" t="s">
        <v>20</v>
      </c>
      <c r="F43" s="31" t="s">
        <v>20</v>
      </c>
      <c r="G43" s="31">
        <f t="shared" ref="G43:AH43" si="72">G37*G5</f>
        <v>5120</v>
      </c>
      <c r="H43" s="31">
        <f t="shared" si="72"/>
        <v>10240</v>
      </c>
      <c r="I43" s="31">
        <f t="shared" si="72"/>
        <v>15360</v>
      </c>
      <c r="J43" s="31">
        <f t="shared" si="72"/>
        <v>20480</v>
      </c>
      <c r="K43" s="31">
        <f t="shared" ref="K43" si="73">K37*K5</f>
        <v>5120</v>
      </c>
      <c r="L43" s="31">
        <f t="shared" ref="L43:O43" si="74">L37*L5</f>
        <v>10240</v>
      </c>
      <c r="M43" s="31">
        <f t="shared" si="74"/>
        <v>20480</v>
      </c>
      <c r="N43" s="31">
        <f t="shared" si="74"/>
        <v>30720</v>
      </c>
      <c r="O43" s="31">
        <f t="shared" si="74"/>
        <v>10240</v>
      </c>
      <c r="P43" s="31">
        <f t="shared" si="72"/>
        <v>20480</v>
      </c>
      <c r="Q43" s="31">
        <f t="shared" si="72"/>
        <v>40960</v>
      </c>
      <c r="R43" s="31">
        <f t="shared" si="72"/>
        <v>61440</v>
      </c>
      <c r="S43" s="31">
        <f t="shared" si="72"/>
        <v>7680</v>
      </c>
      <c r="T43" s="31">
        <f t="shared" si="72"/>
        <v>10240</v>
      </c>
      <c r="U43" s="31">
        <f t="shared" si="72"/>
        <v>15360</v>
      </c>
      <c r="V43" s="31">
        <f t="shared" si="72"/>
        <v>20480</v>
      </c>
      <c r="W43" s="31">
        <f t="shared" ref="W43:Z43" si="75">W37*W5</f>
        <v>15360</v>
      </c>
      <c r="X43" s="31">
        <f t="shared" si="75"/>
        <v>20480</v>
      </c>
      <c r="Y43" s="31">
        <f t="shared" si="75"/>
        <v>30720</v>
      </c>
      <c r="Z43" s="31">
        <f t="shared" si="75"/>
        <v>40960</v>
      </c>
      <c r="AA43" s="31">
        <f t="shared" ref="AA43" si="76">AA37*AA5</f>
        <v>15360</v>
      </c>
      <c r="AB43" s="31">
        <f t="shared" ref="AB43:AD43" si="77">AB37*AB5</f>
        <v>20480</v>
      </c>
      <c r="AC43" s="31">
        <f t="shared" si="77"/>
        <v>30720</v>
      </c>
      <c r="AD43" s="31">
        <f t="shared" si="77"/>
        <v>40960</v>
      </c>
      <c r="AE43" s="31">
        <f t="shared" si="72"/>
        <v>3840</v>
      </c>
      <c r="AF43" s="31">
        <f t="shared" si="72"/>
        <v>5120</v>
      </c>
      <c r="AG43" s="31">
        <f t="shared" si="72"/>
        <v>7680</v>
      </c>
      <c r="AH43" s="31">
        <f t="shared" si="72"/>
        <v>10240</v>
      </c>
    </row>
    <row r="44" spans="1:34" hidden="1" x14ac:dyDescent="0.25">
      <c r="A44" s="70" t="s">
        <v>278</v>
      </c>
      <c r="B44" s="40" t="s">
        <v>339</v>
      </c>
      <c r="C44" s="44">
        <v>0.04</v>
      </c>
      <c r="D44" s="44">
        <v>0.04</v>
      </c>
      <c r="E44" s="44">
        <v>0.04</v>
      </c>
      <c r="F44" s="44">
        <v>0.04</v>
      </c>
      <c r="G44" s="31" t="s">
        <v>20</v>
      </c>
      <c r="H44" s="31" t="s">
        <v>20</v>
      </c>
      <c r="I44" s="31" t="s">
        <v>20</v>
      </c>
      <c r="J44" s="31" t="s">
        <v>20</v>
      </c>
      <c r="K44" s="31" t="s">
        <v>20</v>
      </c>
      <c r="L44" s="31" t="s">
        <v>20</v>
      </c>
      <c r="M44" s="31" t="s">
        <v>20</v>
      </c>
      <c r="N44" s="31" t="s">
        <v>20</v>
      </c>
      <c r="O44" s="31" t="s">
        <v>20</v>
      </c>
      <c r="P44" s="31" t="s">
        <v>20</v>
      </c>
      <c r="Q44" s="31" t="s">
        <v>20</v>
      </c>
      <c r="R44" s="31" t="s">
        <v>20</v>
      </c>
      <c r="S44" s="31" t="s">
        <v>20</v>
      </c>
      <c r="T44" s="31" t="s">
        <v>20</v>
      </c>
      <c r="U44" s="31" t="s">
        <v>20</v>
      </c>
      <c r="V44" s="31" t="s">
        <v>20</v>
      </c>
      <c r="W44" s="31" t="s">
        <v>20</v>
      </c>
      <c r="X44" s="31" t="s">
        <v>20</v>
      </c>
      <c r="Y44" s="31" t="s">
        <v>20</v>
      </c>
      <c r="Z44" s="31" t="s">
        <v>20</v>
      </c>
      <c r="AA44" s="31" t="s">
        <v>20</v>
      </c>
      <c r="AB44" s="31" t="s">
        <v>20</v>
      </c>
      <c r="AC44" s="31" t="s">
        <v>20</v>
      </c>
      <c r="AD44" s="31" t="s">
        <v>20</v>
      </c>
      <c r="AE44" s="31" t="s">
        <v>20</v>
      </c>
      <c r="AF44" s="31" t="s">
        <v>20</v>
      </c>
      <c r="AG44" s="31" t="s">
        <v>20</v>
      </c>
      <c r="AH44" s="31" t="s">
        <v>20</v>
      </c>
    </row>
    <row r="45" spans="1:34" hidden="1" x14ac:dyDescent="0.25">
      <c r="A45" s="70" t="s">
        <v>332</v>
      </c>
      <c r="B45" s="40" t="s">
        <v>339</v>
      </c>
      <c r="C45" s="44">
        <f>C44</f>
        <v>0.04</v>
      </c>
      <c r="D45" s="44">
        <f>D44</f>
        <v>0.04</v>
      </c>
      <c r="E45" s="44">
        <f>E44</f>
        <v>0.04</v>
      </c>
      <c r="F45" s="44">
        <f>F44</f>
        <v>0.04</v>
      </c>
      <c r="G45" s="31" t="s">
        <v>20</v>
      </c>
      <c r="H45" s="31" t="s">
        <v>20</v>
      </c>
      <c r="I45" s="31" t="s">
        <v>20</v>
      </c>
      <c r="J45" s="31" t="s">
        <v>20</v>
      </c>
      <c r="K45" s="31" t="s">
        <v>20</v>
      </c>
      <c r="L45" s="31" t="s">
        <v>20</v>
      </c>
      <c r="M45" s="31" t="s">
        <v>20</v>
      </c>
      <c r="N45" s="31" t="s">
        <v>20</v>
      </c>
      <c r="O45" s="31" t="s">
        <v>20</v>
      </c>
      <c r="P45" s="31" t="s">
        <v>20</v>
      </c>
      <c r="Q45" s="31" t="s">
        <v>20</v>
      </c>
      <c r="R45" s="31" t="s">
        <v>20</v>
      </c>
      <c r="S45" s="31" t="s">
        <v>20</v>
      </c>
      <c r="T45" s="31" t="s">
        <v>20</v>
      </c>
      <c r="U45" s="31" t="s">
        <v>20</v>
      </c>
      <c r="V45" s="31" t="s">
        <v>20</v>
      </c>
      <c r="W45" s="31" t="s">
        <v>20</v>
      </c>
      <c r="X45" s="31" t="s">
        <v>20</v>
      </c>
      <c r="Y45" s="31" t="s">
        <v>20</v>
      </c>
      <c r="Z45" s="31" t="s">
        <v>20</v>
      </c>
      <c r="AA45" s="31" t="s">
        <v>20</v>
      </c>
      <c r="AB45" s="31" t="s">
        <v>20</v>
      </c>
      <c r="AC45" s="31" t="s">
        <v>20</v>
      </c>
      <c r="AD45" s="31" t="s">
        <v>20</v>
      </c>
      <c r="AE45" s="31" t="s">
        <v>20</v>
      </c>
      <c r="AF45" s="31" t="s">
        <v>20</v>
      </c>
      <c r="AG45" s="31" t="s">
        <v>20</v>
      </c>
      <c r="AH45" s="31" t="s">
        <v>20</v>
      </c>
    </row>
    <row r="46" spans="1:34" x14ac:dyDescent="0.25">
      <c r="A46" s="70" t="s">
        <v>486</v>
      </c>
      <c r="B46" s="40" t="s">
        <v>340</v>
      </c>
      <c r="C46" s="31">
        <f>C45*(C47+C35)</f>
        <v>76.48</v>
      </c>
      <c r="D46" s="31">
        <f t="shared" ref="D46:F46" si="78">D45*(D47+D35)</f>
        <v>153.28</v>
      </c>
      <c r="E46" s="31">
        <f t="shared" si="78"/>
        <v>230.08</v>
      </c>
      <c r="F46" s="31">
        <f t="shared" si="78"/>
        <v>306.88</v>
      </c>
      <c r="G46" s="31" t="s">
        <v>20</v>
      </c>
      <c r="H46" s="31" t="s">
        <v>20</v>
      </c>
      <c r="I46" s="31" t="s">
        <v>20</v>
      </c>
      <c r="J46" s="31" t="s">
        <v>20</v>
      </c>
      <c r="K46" s="31" t="s">
        <v>20</v>
      </c>
      <c r="L46" s="31" t="s">
        <v>20</v>
      </c>
      <c r="M46" s="31" t="s">
        <v>20</v>
      </c>
      <c r="N46" s="31" t="s">
        <v>20</v>
      </c>
      <c r="O46" s="31" t="s">
        <v>20</v>
      </c>
      <c r="P46" s="31" t="s">
        <v>20</v>
      </c>
      <c r="Q46" s="31" t="s">
        <v>20</v>
      </c>
      <c r="R46" s="31" t="s">
        <v>20</v>
      </c>
      <c r="S46" s="31" t="s">
        <v>20</v>
      </c>
      <c r="T46" s="31" t="s">
        <v>20</v>
      </c>
      <c r="U46" s="31" t="s">
        <v>20</v>
      </c>
      <c r="V46" s="31" t="s">
        <v>20</v>
      </c>
      <c r="W46" s="31" t="s">
        <v>20</v>
      </c>
      <c r="X46" s="31" t="s">
        <v>20</v>
      </c>
      <c r="Y46" s="31" t="s">
        <v>20</v>
      </c>
      <c r="Z46" s="31" t="s">
        <v>20</v>
      </c>
      <c r="AA46" s="31" t="s">
        <v>20</v>
      </c>
      <c r="AB46" s="31" t="s">
        <v>20</v>
      </c>
      <c r="AC46" s="31" t="s">
        <v>20</v>
      </c>
      <c r="AD46" s="31" t="s">
        <v>20</v>
      </c>
      <c r="AE46" s="31" t="s">
        <v>20</v>
      </c>
      <c r="AF46" s="31" t="s">
        <v>20</v>
      </c>
      <c r="AG46" s="31" t="s">
        <v>20</v>
      </c>
      <c r="AH46" s="31" t="s">
        <v>20</v>
      </c>
    </row>
    <row r="47" spans="1:34" hidden="1" x14ac:dyDescent="0.25">
      <c r="A47" s="70" t="s">
        <v>333</v>
      </c>
      <c r="B47" s="40" t="s">
        <v>330</v>
      </c>
      <c r="C47" s="39">
        <f>(C3-1)*C2</f>
        <v>896</v>
      </c>
      <c r="D47" s="39">
        <f>(D3-1)*D2</f>
        <v>1792</v>
      </c>
      <c r="E47" s="39">
        <f>(E3-1)*E2</f>
        <v>2688</v>
      </c>
      <c r="F47" s="39">
        <f>(F3-1)*F2</f>
        <v>3584</v>
      </c>
      <c r="G47" s="31">
        <f>Table919[[#This Row],[HW Area4]]</f>
        <v>3584</v>
      </c>
      <c r="H47" s="31">
        <f>Table919[[#This Row],[HW Area4]]</f>
        <v>3584</v>
      </c>
      <c r="I47" s="31">
        <f>Table919[[#This Row],[HW Area4]]</f>
        <v>3584</v>
      </c>
      <c r="J47" s="31">
        <f>Table919[[#This Row],[HW Area4]]</f>
        <v>3584</v>
      </c>
      <c r="K47" s="31">
        <f>Table919[[#This Row],[HW Area4]]</f>
        <v>3584</v>
      </c>
      <c r="L47" s="31">
        <f>Table919[[#This Row],[HW Area4]]</f>
        <v>3584</v>
      </c>
      <c r="M47" s="31">
        <f>Table919[[#This Row],[HW Area4]]</f>
        <v>3584</v>
      </c>
      <c r="N47" s="31">
        <f>Table919[[#This Row],[HW Area4]]</f>
        <v>3584</v>
      </c>
      <c r="O47" s="31">
        <f>Table919[[#This Row],[HW Area4]]</f>
        <v>3584</v>
      </c>
      <c r="P47" s="31">
        <f>Table919[[#This Row],[HW Area4]]</f>
        <v>3584</v>
      </c>
      <c r="Q47" s="31">
        <f>Table919[[#This Row],[HW Area4]]</f>
        <v>3584</v>
      </c>
      <c r="R47" s="31">
        <f>Table919[[#This Row],[HW Area4]]</f>
        <v>3584</v>
      </c>
      <c r="S47" s="31">
        <f>Table919[[#This Row],[Case 1a]]</f>
        <v>3584</v>
      </c>
      <c r="T47" s="31">
        <f>Table919[[#This Row],[Case 1a]]</f>
        <v>3584</v>
      </c>
      <c r="U47" s="31">
        <f>Table919[[#This Row],[Case 1a]]</f>
        <v>3584</v>
      </c>
      <c r="V47" s="31">
        <f>Table919[[#This Row],[Case 1a]]</f>
        <v>3584</v>
      </c>
      <c r="W47" s="31">
        <f>Table919[[#This Row],[Case 1a]]</f>
        <v>3584</v>
      </c>
      <c r="X47" s="31">
        <f>Table919[[#This Row],[Case 1a]]</f>
        <v>3584</v>
      </c>
      <c r="Y47" s="31">
        <f>Table919[[#This Row],[Case 1a]]</f>
        <v>3584</v>
      </c>
      <c r="Z47" s="31">
        <f>Table919[[#This Row],[Case 1a]]</f>
        <v>3584</v>
      </c>
      <c r="AA47" s="31">
        <f>Table919[[#This Row],[Case 1a]]</f>
        <v>3584</v>
      </c>
      <c r="AB47" s="31">
        <f>Table919[[#This Row],[Case 1a]]</f>
        <v>3584</v>
      </c>
      <c r="AC47" s="31">
        <f>Table919[[#This Row],[Case 1a]]</f>
        <v>3584</v>
      </c>
      <c r="AD47" s="31">
        <f>Table919[[#This Row],[Case 1a]]</f>
        <v>3584</v>
      </c>
      <c r="AE47" s="31">
        <f>Table919[[#This Row],[Case 1b]]</f>
        <v>3584</v>
      </c>
      <c r="AF47" s="31">
        <f>Table919[[#This Row],[Case 1b]]</f>
        <v>3584</v>
      </c>
      <c r="AG47" s="31">
        <f>Table919[[#This Row],[Case 1b]]</f>
        <v>3584</v>
      </c>
      <c r="AH47" s="31">
        <f>Table919[[#This Row],[Case 1b]]</f>
        <v>3584</v>
      </c>
    </row>
    <row r="48" spans="1:34" hidden="1" x14ac:dyDescent="0.25">
      <c r="A48" s="71" t="s">
        <v>353</v>
      </c>
      <c r="B48" s="40" t="s">
        <v>337</v>
      </c>
      <c r="C48" s="31" t="s">
        <v>20</v>
      </c>
      <c r="D48" s="31" t="s">
        <v>20</v>
      </c>
      <c r="E48" s="31" t="s">
        <v>20</v>
      </c>
      <c r="F48" s="31" t="s">
        <v>20</v>
      </c>
      <c r="G48" s="31">
        <v>40</v>
      </c>
      <c r="H48" s="31">
        <v>40</v>
      </c>
      <c r="I48" s="31">
        <v>40</v>
      </c>
      <c r="J48" s="31">
        <v>40</v>
      </c>
      <c r="K48" s="31">
        <v>40</v>
      </c>
      <c r="L48" s="31">
        <v>40</v>
      </c>
      <c r="M48" s="31">
        <v>40</v>
      </c>
      <c r="N48" s="31">
        <v>40</v>
      </c>
      <c r="O48" s="31">
        <v>40</v>
      </c>
      <c r="P48" s="31">
        <v>40</v>
      </c>
      <c r="Q48" s="31">
        <v>40</v>
      </c>
      <c r="R48" s="31">
        <v>40</v>
      </c>
      <c r="S48" s="31">
        <v>40</v>
      </c>
      <c r="T48" s="31">
        <v>40</v>
      </c>
      <c r="U48" s="31">
        <v>40</v>
      </c>
      <c r="V48" s="31">
        <v>40</v>
      </c>
      <c r="W48" s="31">
        <v>40</v>
      </c>
      <c r="X48" s="31">
        <v>40</v>
      </c>
      <c r="Y48" s="31">
        <v>40</v>
      </c>
      <c r="Z48" s="31">
        <v>40</v>
      </c>
      <c r="AA48" s="31">
        <v>40</v>
      </c>
      <c r="AB48" s="31">
        <v>40</v>
      </c>
      <c r="AC48" s="31">
        <v>40</v>
      </c>
      <c r="AD48" s="31">
        <v>40</v>
      </c>
      <c r="AE48" s="31">
        <v>40</v>
      </c>
      <c r="AF48" s="31">
        <v>40</v>
      </c>
      <c r="AG48" s="31">
        <v>40</v>
      </c>
      <c r="AH48" s="31">
        <v>40</v>
      </c>
    </row>
    <row r="49" spans="1:34" hidden="1" x14ac:dyDescent="0.25">
      <c r="A49" s="71" t="s">
        <v>482</v>
      </c>
      <c r="B49" s="40" t="s">
        <v>330</v>
      </c>
      <c r="C49" s="31">
        <f t="shared" ref="C49:AH49" si="79">(2*C3*C2/3)+C2</f>
        <v>810.66666666666663</v>
      </c>
      <c r="D49" s="31">
        <f t="shared" si="79"/>
        <v>1621.3333333333333</v>
      </c>
      <c r="E49" s="31">
        <f t="shared" si="79"/>
        <v>2432</v>
      </c>
      <c r="F49" s="31">
        <f t="shared" si="79"/>
        <v>3242.6666666666665</v>
      </c>
      <c r="G49" s="31">
        <f t="shared" si="79"/>
        <v>405.33333333333331</v>
      </c>
      <c r="H49" s="31">
        <f t="shared" si="79"/>
        <v>810.66666666666663</v>
      </c>
      <c r="I49" s="31">
        <f t="shared" si="79"/>
        <v>1216</v>
      </c>
      <c r="J49" s="31">
        <f t="shared" si="79"/>
        <v>1621.3333333333333</v>
      </c>
      <c r="K49" s="31">
        <f t="shared" ref="K49" si="80">(2*K3*K2/3)+K2</f>
        <v>373.33333333333331</v>
      </c>
      <c r="L49" s="31">
        <f t="shared" ref="L49:O49" si="81">(2*L3*L2/3)+L2</f>
        <v>746.66666666666663</v>
      </c>
      <c r="M49" s="31">
        <f t="shared" si="81"/>
        <v>1493.3333333333333</v>
      </c>
      <c r="N49" s="31">
        <f t="shared" si="81"/>
        <v>2240</v>
      </c>
      <c r="O49" s="31">
        <f t="shared" si="81"/>
        <v>714.66666666666663</v>
      </c>
      <c r="P49" s="31">
        <f t="shared" si="79"/>
        <v>1429.3333333333333</v>
      </c>
      <c r="Q49" s="31">
        <f t="shared" si="79"/>
        <v>2858.6666666666665</v>
      </c>
      <c r="R49" s="31">
        <f t="shared" si="79"/>
        <v>4288</v>
      </c>
      <c r="S49" s="31">
        <f t="shared" si="79"/>
        <v>896</v>
      </c>
      <c r="T49" s="31">
        <f t="shared" si="79"/>
        <v>1194.6666666666665</v>
      </c>
      <c r="U49" s="31">
        <f t="shared" si="79"/>
        <v>1792</v>
      </c>
      <c r="V49" s="31">
        <f t="shared" si="79"/>
        <v>2389.333333333333</v>
      </c>
      <c r="W49" s="31">
        <f t="shared" ref="W49:Z49" si="82">(2*W3*W2/3)+W2</f>
        <v>1408</v>
      </c>
      <c r="X49" s="31">
        <f t="shared" si="82"/>
        <v>1877.3333333333333</v>
      </c>
      <c r="Y49" s="31">
        <f t="shared" si="82"/>
        <v>2816</v>
      </c>
      <c r="Z49" s="31">
        <f t="shared" si="82"/>
        <v>3754.6666666666665</v>
      </c>
      <c r="AA49" s="31">
        <f t="shared" ref="AA49" si="83">(2*AA3*AA2/3)+AA2</f>
        <v>1216</v>
      </c>
      <c r="AB49" s="31">
        <f t="shared" ref="AB49:AD49" si="84">(2*AB3*AB2/3)+AB2</f>
        <v>1621.3333333333333</v>
      </c>
      <c r="AC49" s="31">
        <f t="shared" si="84"/>
        <v>2432</v>
      </c>
      <c r="AD49" s="31">
        <f t="shared" si="84"/>
        <v>3242.6666666666665</v>
      </c>
      <c r="AE49" s="31">
        <f t="shared" si="79"/>
        <v>640</v>
      </c>
      <c r="AF49" s="31">
        <f t="shared" si="79"/>
        <v>853.33333333333326</v>
      </c>
      <c r="AG49" s="31">
        <f t="shared" si="79"/>
        <v>1280</v>
      </c>
      <c r="AH49" s="31">
        <f t="shared" si="79"/>
        <v>1706.6666666666665</v>
      </c>
    </row>
    <row r="50" spans="1:34" hidden="1" x14ac:dyDescent="0.25">
      <c r="A50" s="71" t="s">
        <v>414</v>
      </c>
      <c r="B50" s="33" t="s">
        <v>366</v>
      </c>
      <c r="C50" s="42" t="s">
        <v>20</v>
      </c>
      <c r="D50" s="42" t="s">
        <v>20</v>
      </c>
      <c r="E50" s="42" t="s">
        <v>20</v>
      </c>
      <c r="F50" s="42" t="s">
        <v>20</v>
      </c>
      <c r="G50" s="42">
        <f t="shared" ref="G50:AH50" si="85">G48*(2*G3*G2/3)+G53*G2</f>
        <v>16213.333333333332</v>
      </c>
      <c r="H50" s="42">
        <f t="shared" si="85"/>
        <v>32426.666666666664</v>
      </c>
      <c r="I50" s="42">
        <f t="shared" si="85"/>
        <v>48640</v>
      </c>
      <c r="J50" s="42">
        <f t="shared" si="85"/>
        <v>64853.333333333328</v>
      </c>
      <c r="K50" s="42">
        <f t="shared" ref="K50" si="86">K48*(2*K3*K2/3)+K53*K2</f>
        <v>14933.333333333332</v>
      </c>
      <c r="L50" s="42">
        <f t="shared" ref="L50:O50" si="87">L48*(2*L3*L2/3)+L53*L2</f>
        <v>29866.666666666664</v>
      </c>
      <c r="M50" s="42">
        <f t="shared" si="87"/>
        <v>59733.333333333328</v>
      </c>
      <c r="N50" s="42">
        <f t="shared" si="87"/>
        <v>89600</v>
      </c>
      <c r="O50" s="42">
        <f t="shared" si="87"/>
        <v>28586.666666666664</v>
      </c>
      <c r="P50" s="42">
        <f t="shared" si="85"/>
        <v>57173.333333333328</v>
      </c>
      <c r="Q50" s="42">
        <f t="shared" si="85"/>
        <v>114346.66666666666</v>
      </c>
      <c r="R50" s="42">
        <f t="shared" si="85"/>
        <v>171520</v>
      </c>
      <c r="S50" s="42">
        <f t="shared" si="85"/>
        <v>35840</v>
      </c>
      <c r="T50" s="42">
        <f t="shared" si="85"/>
        <v>47786.666666666664</v>
      </c>
      <c r="U50" s="42">
        <f t="shared" si="85"/>
        <v>71680</v>
      </c>
      <c r="V50" s="42">
        <f t="shared" si="85"/>
        <v>95573.333333333328</v>
      </c>
      <c r="W50" s="42">
        <f t="shared" ref="W50:Z50" si="88">W48*(2*W3*W2/3)+W53*W2</f>
        <v>56320</v>
      </c>
      <c r="X50" s="42">
        <f t="shared" si="88"/>
        <v>75093.333333333328</v>
      </c>
      <c r="Y50" s="42">
        <f t="shared" si="88"/>
        <v>112640</v>
      </c>
      <c r="Z50" s="42">
        <f t="shared" si="88"/>
        <v>150186.66666666666</v>
      </c>
      <c r="AA50" s="42">
        <f t="shared" ref="AA50" si="89">AA48*(2*AA3*AA2/3)+AA53*AA2</f>
        <v>48640</v>
      </c>
      <c r="AB50" s="42">
        <f t="shared" ref="AB50:AD50" si="90">AB48*(2*AB3*AB2/3)+AB53*AB2</f>
        <v>64853.333333333328</v>
      </c>
      <c r="AC50" s="42">
        <f t="shared" si="90"/>
        <v>97280</v>
      </c>
      <c r="AD50" s="42">
        <f t="shared" si="90"/>
        <v>129706.66666666666</v>
      </c>
      <c r="AE50" s="42">
        <f t="shared" si="85"/>
        <v>25600</v>
      </c>
      <c r="AF50" s="42">
        <f t="shared" si="85"/>
        <v>34133.333333333328</v>
      </c>
      <c r="AG50" s="42">
        <f t="shared" si="85"/>
        <v>51200</v>
      </c>
      <c r="AH50" s="42">
        <f t="shared" si="85"/>
        <v>68266.666666666657</v>
      </c>
    </row>
    <row r="51" spans="1:34" hidden="1" x14ac:dyDescent="0.25">
      <c r="A51" s="71" t="s">
        <v>354</v>
      </c>
      <c r="B51" s="40" t="s">
        <v>339</v>
      </c>
      <c r="C51" s="146">
        <v>2.5000000000000001E-2</v>
      </c>
      <c r="D51" s="146">
        <v>2.5000000000000001E-2</v>
      </c>
      <c r="E51" s="146">
        <v>2.5000000000000001E-2</v>
      </c>
      <c r="F51" s="146">
        <v>2.5000000000000001E-2</v>
      </c>
      <c r="G51" s="31" t="s">
        <v>20</v>
      </c>
      <c r="H51" s="31" t="s">
        <v>20</v>
      </c>
      <c r="I51" s="31" t="s">
        <v>20</v>
      </c>
      <c r="J51" s="31" t="s">
        <v>20</v>
      </c>
      <c r="K51" s="31" t="s">
        <v>20</v>
      </c>
      <c r="L51" s="31" t="s">
        <v>20</v>
      </c>
      <c r="M51" s="31" t="s">
        <v>20</v>
      </c>
      <c r="N51" s="31" t="s">
        <v>20</v>
      </c>
      <c r="O51" s="31" t="s">
        <v>20</v>
      </c>
      <c r="P51" s="31" t="s">
        <v>20</v>
      </c>
      <c r="Q51" s="31" t="s">
        <v>20</v>
      </c>
      <c r="R51" s="31" t="s">
        <v>20</v>
      </c>
      <c r="S51" s="31" t="s">
        <v>20</v>
      </c>
      <c r="T51" s="31" t="s">
        <v>20</v>
      </c>
      <c r="U51" s="31" t="s">
        <v>20</v>
      </c>
      <c r="V51" s="31" t="s">
        <v>20</v>
      </c>
      <c r="W51" s="31" t="s">
        <v>20</v>
      </c>
      <c r="X51" s="31" t="s">
        <v>20</v>
      </c>
      <c r="Y51" s="31" t="s">
        <v>20</v>
      </c>
      <c r="Z51" s="31" t="s">
        <v>20</v>
      </c>
      <c r="AA51" s="31" t="s">
        <v>20</v>
      </c>
      <c r="AB51" s="31" t="s">
        <v>20</v>
      </c>
      <c r="AC51" s="31" t="s">
        <v>20</v>
      </c>
      <c r="AD51" s="31" t="s">
        <v>20</v>
      </c>
      <c r="AE51" s="31" t="s">
        <v>20</v>
      </c>
      <c r="AF51" s="31" t="s">
        <v>20</v>
      </c>
      <c r="AG51" s="31" t="s">
        <v>20</v>
      </c>
      <c r="AH51" s="31" t="s">
        <v>20</v>
      </c>
    </row>
    <row r="52" spans="1:34" x14ac:dyDescent="0.25">
      <c r="A52" s="71" t="s">
        <v>484</v>
      </c>
      <c r="B52" s="41" t="s">
        <v>340</v>
      </c>
      <c r="C52" s="42">
        <f>C51*C49</f>
        <v>20.266666666666666</v>
      </c>
      <c r="D52" s="42">
        <f t="shared" ref="D52:F52" si="91">D51*D49</f>
        <v>40.533333333333331</v>
      </c>
      <c r="E52" s="42">
        <f t="shared" si="91"/>
        <v>60.800000000000004</v>
      </c>
      <c r="F52" s="42">
        <f t="shared" si="91"/>
        <v>81.066666666666663</v>
      </c>
      <c r="G52" s="42" t="s">
        <v>20</v>
      </c>
      <c r="H52" s="42" t="s">
        <v>20</v>
      </c>
      <c r="I52" s="42" t="s">
        <v>20</v>
      </c>
      <c r="J52" s="42" t="s">
        <v>20</v>
      </c>
      <c r="K52" s="42" t="s">
        <v>20</v>
      </c>
      <c r="L52" s="42" t="s">
        <v>20</v>
      </c>
      <c r="M52" s="42" t="s">
        <v>20</v>
      </c>
      <c r="N52" s="42" t="s">
        <v>20</v>
      </c>
      <c r="O52" s="42" t="s">
        <v>20</v>
      </c>
      <c r="P52" s="42" t="s">
        <v>20</v>
      </c>
      <c r="Q52" s="42" t="s">
        <v>20</v>
      </c>
      <c r="R52" s="42" t="s">
        <v>20</v>
      </c>
      <c r="S52" s="31" t="s">
        <v>20</v>
      </c>
      <c r="T52" s="31" t="s">
        <v>20</v>
      </c>
      <c r="U52" s="31" t="s">
        <v>20</v>
      </c>
      <c r="V52" s="31" t="s">
        <v>20</v>
      </c>
      <c r="W52" s="31" t="s">
        <v>20</v>
      </c>
      <c r="X52" s="31" t="s">
        <v>20</v>
      </c>
      <c r="Y52" s="31" t="s">
        <v>20</v>
      </c>
      <c r="Z52" s="31" t="s">
        <v>20</v>
      </c>
      <c r="AA52" s="31" t="s">
        <v>20</v>
      </c>
      <c r="AB52" s="31" t="s">
        <v>20</v>
      </c>
      <c r="AC52" s="31" t="s">
        <v>20</v>
      </c>
      <c r="AD52" s="31" t="s">
        <v>20</v>
      </c>
      <c r="AE52" s="31" t="s">
        <v>20</v>
      </c>
      <c r="AF52" s="31" t="s">
        <v>20</v>
      </c>
      <c r="AG52" s="31" t="s">
        <v>20</v>
      </c>
      <c r="AH52" s="31" t="s">
        <v>20</v>
      </c>
    </row>
    <row r="53" spans="1:34" hidden="1" x14ac:dyDescent="0.25">
      <c r="A53" s="71" t="s">
        <v>350</v>
      </c>
      <c r="B53" s="40" t="s">
        <v>337</v>
      </c>
      <c r="C53" s="31" t="s">
        <v>20</v>
      </c>
      <c r="D53" s="31" t="s">
        <v>20</v>
      </c>
      <c r="E53" s="31" t="s">
        <v>20</v>
      </c>
      <c r="F53" s="31" t="s">
        <v>20</v>
      </c>
      <c r="G53" s="31">
        <v>40</v>
      </c>
      <c r="H53" s="31">
        <v>40</v>
      </c>
      <c r="I53" s="31">
        <v>40</v>
      </c>
      <c r="J53" s="31">
        <v>40</v>
      </c>
      <c r="K53" s="31">
        <v>40</v>
      </c>
      <c r="L53" s="31">
        <v>40</v>
      </c>
      <c r="M53" s="31">
        <v>40</v>
      </c>
      <c r="N53" s="31">
        <v>40</v>
      </c>
      <c r="O53" s="31">
        <v>40</v>
      </c>
      <c r="P53" s="31">
        <v>40</v>
      </c>
      <c r="Q53" s="31">
        <v>40</v>
      </c>
      <c r="R53" s="31">
        <v>40</v>
      </c>
      <c r="S53" s="31">
        <v>40</v>
      </c>
      <c r="T53" s="31">
        <v>40</v>
      </c>
      <c r="U53" s="31">
        <v>40</v>
      </c>
      <c r="V53" s="31">
        <v>40</v>
      </c>
      <c r="W53" s="31">
        <v>40</v>
      </c>
      <c r="X53" s="31">
        <v>40</v>
      </c>
      <c r="Y53" s="31">
        <v>40</v>
      </c>
      <c r="Z53" s="31">
        <v>40</v>
      </c>
      <c r="AA53" s="31">
        <v>40</v>
      </c>
      <c r="AB53" s="31">
        <v>40</v>
      </c>
      <c r="AC53" s="31">
        <v>40</v>
      </c>
      <c r="AD53" s="31">
        <v>40</v>
      </c>
      <c r="AE53" s="31">
        <v>40</v>
      </c>
      <c r="AF53" s="31">
        <v>40</v>
      </c>
      <c r="AG53" s="31">
        <v>40</v>
      </c>
      <c r="AH53" s="31">
        <v>40</v>
      </c>
    </row>
    <row r="54" spans="1:34" hidden="1" x14ac:dyDescent="0.25">
      <c r="A54" s="71" t="s">
        <v>351</v>
      </c>
      <c r="B54" s="40" t="s">
        <v>339</v>
      </c>
      <c r="C54" s="146">
        <v>2.5000000000000001E-2</v>
      </c>
      <c r="D54" s="146">
        <v>2.5000000000000001E-2</v>
      </c>
      <c r="E54" s="146">
        <v>2.5000000000000001E-2</v>
      </c>
      <c r="F54" s="146">
        <v>2.5000000000000001E-2</v>
      </c>
      <c r="G54" s="31" t="s">
        <v>20</v>
      </c>
      <c r="H54" s="31" t="s">
        <v>20</v>
      </c>
      <c r="I54" s="31" t="s">
        <v>20</v>
      </c>
      <c r="J54" s="31" t="s">
        <v>20</v>
      </c>
      <c r="K54" s="31" t="s">
        <v>20</v>
      </c>
      <c r="L54" s="31" t="s">
        <v>20</v>
      </c>
      <c r="M54" s="31" t="s">
        <v>20</v>
      </c>
      <c r="N54" s="31" t="s">
        <v>20</v>
      </c>
      <c r="O54" s="31" t="s">
        <v>20</v>
      </c>
      <c r="P54" s="31" t="s">
        <v>20</v>
      </c>
      <c r="Q54" s="31" t="s">
        <v>20</v>
      </c>
      <c r="R54" s="31" t="s">
        <v>20</v>
      </c>
      <c r="S54" s="31" t="s">
        <v>20</v>
      </c>
      <c r="T54" s="31" t="s">
        <v>20</v>
      </c>
      <c r="U54" s="31" t="s">
        <v>20</v>
      </c>
      <c r="V54" s="31" t="s">
        <v>20</v>
      </c>
      <c r="W54" s="31" t="s">
        <v>20</v>
      </c>
      <c r="X54" s="31" t="s">
        <v>20</v>
      </c>
      <c r="Y54" s="31" t="s">
        <v>20</v>
      </c>
      <c r="Z54" s="31" t="s">
        <v>20</v>
      </c>
      <c r="AA54" s="31" t="s">
        <v>20</v>
      </c>
      <c r="AB54" s="31" t="s">
        <v>20</v>
      </c>
      <c r="AC54" s="31" t="s">
        <v>20</v>
      </c>
      <c r="AD54" s="31" t="s">
        <v>20</v>
      </c>
      <c r="AE54" s="31" t="s">
        <v>20</v>
      </c>
      <c r="AF54" s="31" t="s">
        <v>20</v>
      </c>
      <c r="AG54" s="31" t="s">
        <v>20</v>
      </c>
      <c r="AH54" s="31" t="s">
        <v>20</v>
      </c>
    </row>
    <row r="55" spans="1:34" hidden="1" x14ac:dyDescent="0.25">
      <c r="A55" s="71" t="s">
        <v>352</v>
      </c>
      <c r="B55" s="41" t="s">
        <v>339</v>
      </c>
      <c r="C55" s="42">
        <f>C54*C2</f>
        <v>3.2</v>
      </c>
      <c r="D55" s="42">
        <f>D54*D2</f>
        <v>6.4</v>
      </c>
      <c r="E55" s="42">
        <f>E54*E2</f>
        <v>9.6000000000000014</v>
      </c>
      <c r="F55" s="42">
        <f>F54*F2</f>
        <v>12.8</v>
      </c>
      <c r="G55" s="42" t="s">
        <v>20</v>
      </c>
      <c r="H55" s="42" t="s">
        <v>20</v>
      </c>
      <c r="I55" s="42" t="s">
        <v>20</v>
      </c>
      <c r="J55" s="42" t="s">
        <v>20</v>
      </c>
      <c r="K55" s="42" t="s">
        <v>20</v>
      </c>
      <c r="L55" s="42" t="s">
        <v>20</v>
      </c>
      <c r="M55" s="42" t="s">
        <v>20</v>
      </c>
      <c r="N55" s="42" t="s">
        <v>20</v>
      </c>
      <c r="O55" s="42" t="s">
        <v>20</v>
      </c>
      <c r="P55" s="42" t="s">
        <v>20</v>
      </c>
      <c r="Q55" s="42" t="s">
        <v>20</v>
      </c>
      <c r="R55" s="42" t="s">
        <v>20</v>
      </c>
      <c r="S55" s="31" t="s">
        <v>20</v>
      </c>
      <c r="T55" s="31" t="s">
        <v>20</v>
      </c>
      <c r="U55" s="31" t="s">
        <v>20</v>
      </c>
      <c r="V55" s="31" t="s">
        <v>20</v>
      </c>
      <c r="W55" s="31" t="s">
        <v>20</v>
      </c>
      <c r="X55" s="31" t="s">
        <v>20</v>
      </c>
      <c r="Y55" s="31" t="s">
        <v>20</v>
      </c>
      <c r="Z55" s="31" t="s">
        <v>20</v>
      </c>
      <c r="AA55" s="31" t="s">
        <v>20</v>
      </c>
      <c r="AB55" s="31" t="s">
        <v>20</v>
      </c>
      <c r="AC55" s="31" t="s">
        <v>20</v>
      </c>
      <c r="AD55" s="31" t="s">
        <v>20</v>
      </c>
      <c r="AE55" s="31" t="s">
        <v>20</v>
      </c>
      <c r="AF55" s="31" t="s">
        <v>20</v>
      </c>
      <c r="AG55" s="31" t="s">
        <v>20</v>
      </c>
      <c r="AH55" s="31" t="s">
        <v>20</v>
      </c>
    </row>
    <row r="56" spans="1:34" hidden="1" x14ac:dyDescent="0.25">
      <c r="A56" s="72" t="s">
        <v>521</v>
      </c>
      <c r="B56" s="33" t="s">
        <v>342</v>
      </c>
      <c r="C56" s="25" t="s">
        <v>20</v>
      </c>
      <c r="D56" s="25" t="s">
        <v>20</v>
      </c>
      <c r="E56" s="25" t="s">
        <v>20</v>
      </c>
      <c r="F56" s="25" t="s">
        <v>20</v>
      </c>
      <c r="G56" s="44">
        <v>-4.16</v>
      </c>
      <c r="H56" s="44">
        <v>-7.4</v>
      </c>
      <c r="I56" s="44">
        <v>-9.24</v>
      </c>
      <c r="J56" s="44">
        <v>-10.53</v>
      </c>
      <c r="K56" s="44">
        <v>-6.63</v>
      </c>
      <c r="L56" s="44">
        <v>-11.33</v>
      </c>
      <c r="M56" s="44">
        <v>-15.25</v>
      </c>
      <c r="N56" s="44">
        <v>-17.28</v>
      </c>
      <c r="O56" s="44">
        <v>-8.5500000000000007</v>
      </c>
      <c r="P56" s="44">
        <v>-13.95</v>
      </c>
      <c r="Q56" s="44">
        <v>-18.23</v>
      </c>
      <c r="R56" s="44">
        <v>-20.49</v>
      </c>
      <c r="S56" s="44">
        <v>-1.02</v>
      </c>
      <c r="T56" s="44">
        <v>-2.2799999999999998</v>
      </c>
      <c r="U56" s="44">
        <v>-4.016</v>
      </c>
      <c r="V56" s="44">
        <v>-5.26</v>
      </c>
      <c r="W56" s="44">
        <v>-3.056</v>
      </c>
      <c r="X56" s="44">
        <v>-4.3099999999999996</v>
      </c>
      <c r="Y56" s="44">
        <v>-6.09</v>
      </c>
      <c r="Z56" s="44">
        <v>-7.35</v>
      </c>
      <c r="AA56" s="44">
        <v>-1.06</v>
      </c>
      <c r="AB56" s="44">
        <v>-2.2999999999999998</v>
      </c>
      <c r="AC56" s="44">
        <v>-4.04</v>
      </c>
      <c r="AD56" s="44">
        <v>-5.28</v>
      </c>
      <c r="AE56" s="44">
        <v>-4.9800000000000004</v>
      </c>
      <c r="AF56" s="44">
        <v>-6.23</v>
      </c>
      <c r="AG56" s="44">
        <v>-7.98</v>
      </c>
      <c r="AH56" s="44">
        <v>-9.23</v>
      </c>
    </row>
    <row r="57" spans="1:34" hidden="1" x14ac:dyDescent="0.25">
      <c r="A57" s="72" t="s">
        <v>446</v>
      </c>
      <c r="B57" s="33" t="s">
        <v>342</v>
      </c>
      <c r="C57" s="25" t="s">
        <v>20</v>
      </c>
      <c r="D57" s="25" t="s">
        <v>20</v>
      </c>
      <c r="E57" s="25" t="s">
        <v>20</v>
      </c>
      <c r="F57" s="25" t="s">
        <v>20</v>
      </c>
      <c r="G57" s="44">
        <f t="shared" ref="G57:AH57" si="92">46+G56</f>
        <v>41.84</v>
      </c>
      <c r="H57" s="44">
        <f t="shared" si="92"/>
        <v>38.6</v>
      </c>
      <c r="I57" s="44">
        <f t="shared" si="92"/>
        <v>36.76</v>
      </c>
      <c r="J57" s="44">
        <f t="shared" si="92"/>
        <v>35.47</v>
      </c>
      <c r="K57" s="44">
        <f t="shared" ref="K57" si="93">46+K56</f>
        <v>39.369999999999997</v>
      </c>
      <c r="L57" s="44">
        <f t="shared" ref="L57:O57" si="94">46+L56</f>
        <v>34.67</v>
      </c>
      <c r="M57" s="44">
        <f t="shared" si="94"/>
        <v>30.75</v>
      </c>
      <c r="N57" s="44">
        <f t="shared" si="94"/>
        <v>28.72</v>
      </c>
      <c r="O57" s="44">
        <f t="shared" si="94"/>
        <v>37.450000000000003</v>
      </c>
      <c r="P57" s="44">
        <f t="shared" si="92"/>
        <v>32.049999999999997</v>
      </c>
      <c r="Q57" s="44">
        <f t="shared" si="92"/>
        <v>27.77</v>
      </c>
      <c r="R57" s="44">
        <f t="shared" si="92"/>
        <v>25.51</v>
      </c>
      <c r="S57" s="44">
        <f t="shared" si="92"/>
        <v>44.98</v>
      </c>
      <c r="T57" s="44">
        <f t="shared" si="92"/>
        <v>43.72</v>
      </c>
      <c r="U57" s="44">
        <f t="shared" si="92"/>
        <v>41.984000000000002</v>
      </c>
      <c r="V57" s="44">
        <f t="shared" si="92"/>
        <v>40.74</v>
      </c>
      <c r="W57" s="44">
        <f t="shared" ref="W57:Z57" si="95">46+W56</f>
        <v>42.944000000000003</v>
      </c>
      <c r="X57" s="44">
        <f t="shared" si="95"/>
        <v>41.69</v>
      </c>
      <c r="Y57" s="44">
        <f t="shared" si="95"/>
        <v>39.909999999999997</v>
      </c>
      <c r="Z57" s="44">
        <f t="shared" si="95"/>
        <v>38.65</v>
      </c>
      <c r="AA57" s="44">
        <f t="shared" ref="AA57" si="96">46+AA56</f>
        <v>44.94</v>
      </c>
      <c r="AB57" s="44">
        <f t="shared" ref="AB57:AD57" si="97">46+AB56</f>
        <v>43.7</v>
      </c>
      <c r="AC57" s="44">
        <f t="shared" si="97"/>
        <v>41.96</v>
      </c>
      <c r="AD57" s="44">
        <f t="shared" si="97"/>
        <v>40.72</v>
      </c>
      <c r="AE57" s="44">
        <f t="shared" si="92"/>
        <v>41.019999999999996</v>
      </c>
      <c r="AF57" s="44">
        <f t="shared" si="92"/>
        <v>39.769999999999996</v>
      </c>
      <c r="AG57" s="44">
        <f t="shared" si="92"/>
        <v>38.019999999999996</v>
      </c>
      <c r="AH57" s="44">
        <f t="shared" si="92"/>
        <v>36.769999999999996</v>
      </c>
    </row>
    <row r="58" spans="1:34" hidden="1" x14ac:dyDescent="0.25">
      <c r="A58" s="72" t="s">
        <v>447</v>
      </c>
      <c r="B58" s="33" t="s">
        <v>337</v>
      </c>
      <c r="C58" s="25" t="s">
        <v>20</v>
      </c>
      <c r="D58" s="25" t="s">
        <v>20</v>
      </c>
      <c r="E58" s="25" t="s">
        <v>20</v>
      </c>
      <c r="F58" s="25" t="s">
        <v>20</v>
      </c>
      <c r="G58" s="31">
        <f t="shared" ref="G58:O58" si="98">10*LOG10(G59)</f>
        <v>23.778200260161135</v>
      </c>
      <c r="H58" s="31">
        <f t="shared" si="98"/>
        <v>17.527900303521328</v>
      </c>
      <c r="I58" s="31">
        <f t="shared" si="98"/>
        <v>13.926987712964502</v>
      </c>
      <c r="J58" s="31">
        <f t="shared" si="98"/>
        <v>11.387600346881504</v>
      </c>
      <c r="K58" s="31">
        <f t="shared" si="98"/>
        <v>24.318500216800945</v>
      </c>
      <c r="L58" s="31">
        <f t="shared" ref="L58" si="99">10*LOG10(L59)</f>
        <v>16.608200260161134</v>
      </c>
      <c r="M58" s="31">
        <f t="shared" ref="M58" si="100">10*LOG10(M59)</f>
        <v>9.6779003035213194</v>
      </c>
      <c r="N58" s="31">
        <f t="shared" ref="N58" si="101">10*LOG10(N59)</f>
        <v>5.8869877129645065</v>
      </c>
      <c r="O58" s="31">
        <f t="shared" si="98"/>
        <v>22.398500216800947</v>
      </c>
      <c r="P58" s="31">
        <f t="shared" ref="P58" si="102">10*LOG10(P59)</f>
        <v>13.988200260161125</v>
      </c>
      <c r="Q58" s="31">
        <f t="shared" ref="Q58" si="103">10*LOG10(Q59)</f>
        <v>6.6979003035213189</v>
      </c>
      <c r="R58" s="31">
        <f t="shared" ref="R58" si="104">10*LOG10(R59)</f>
        <v>2.6769877129645092</v>
      </c>
      <c r="S58" s="31">
        <f t="shared" ref="S58:AD58" si="105">10*LOG10(S59)</f>
        <v>19.136687756324694</v>
      </c>
      <c r="T58" s="31">
        <f t="shared" si="105"/>
        <v>16.627300390241693</v>
      </c>
      <c r="U58" s="31">
        <f t="shared" si="105"/>
        <v>13.130387799684886</v>
      </c>
      <c r="V58" s="31">
        <f t="shared" si="105"/>
        <v>10.637000433601887</v>
      </c>
      <c r="W58" s="31">
        <f t="shared" si="105"/>
        <v>17.100687756324696</v>
      </c>
      <c r="X58" s="31">
        <f t="shared" si="105"/>
        <v>14.597300390241694</v>
      </c>
      <c r="Y58" s="31">
        <f t="shared" si="105"/>
        <v>11.056387799684879</v>
      </c>
      <c r="Z58" s="31">
        <f t="shared" si="105"/>
        <v>8.5470004336018821</v>
      </c>
      <c r="AA58" s="31">
        <f t="shared" si="105"/>
        <v>22.106987712964504</v>
      </c>
      <c r="AB58" s="31">
        <f t="shared" si="105"/>
        <v>19.617600346881506</v>
      </c>
      <c r="AC58" s="31">
        <f t="shared" si="105"/>
        <v>16.116687756324691</v>
      </c>
      <c r="AD58" s="31">
        <f t="shared" si="105"/>
        <v>13.627300390241698</v>
      </c>
      <c r="AE58" s="31">
        <f>10*LOG10(AE59)</f>
        <v>15.176687756324689</v>
      </c>
      <c r="AF58" s="31">
        <f>10*LOG10(AF59)</f>
        <v>12.677300390241689</v>
      </c>
      <c r="AG58" s="31">
        <f>10*LOG10(AG59)</f>
        <v>9.1663877996848839</v>
      </c>
      <c r="AH58" s="31">
        <f>10*LOG10(AH59)</f>
        <v>6.6670004336018804</v>
      </c>
    </row>
    <row r="59" spans="1:34" hidden="1" x14ac:dyDescent="0.25">
      <c r="A59" s="73" t="s">
        <v>319</v>
      </c>
      <c r="B59" s="40" t="s">
        <v>337</v>
      </c>
      <c r="C59" s="31" t="s">
        <v>20</v>
      </c>
      <c r="D59" s="31" t="s">
        <v>20</v>
      </c>
      <c r="E59" s="31" t="s">
        <v>20</v>
      </c>
      <c r="F59" s="31" t="s">
        <v>20</v>
      </c>
      <c r="G59" s="31">
        <f t="shared" ref="G59:AH59" si="106">10^(G57/10)/G2</f>
        <v>238.68219659969932</v>
      </c>
      <c r="H59" s="31">
        <f t="shared" si="106"/>
        <v>56.596559380858722</v>
      </c>
      <c r="I59" s="31">
        <f t="shared" si="106"/>
        <v>24.700103398971063</v>
      </c>
      <c r="J59" s="31">
        <f t="shared" si="106"/>
        <v>13.764487150097148</v>
      </c>
      <c r="K59" s="31">
        <f t="shared" ref="K59" si="107">10^(K57/10)/K2</f>
        <v>270.30247461740447</v>
      </c>
      <c r="L59" s="31">
        <f t="shared" ref="L59:O59" si="108">10^(L57/10)/L2</f>
        <v>45.795206957036314</v>
      </c>
      <c r="M59" s="31">
        <f t="shared" si="108"/>
        <v>9.2851736518517143</v>
      </c>
      <c r="N59" s="31">
        <f t="shared" si="108"/>
        <v>3.8788123640936956</v>
      </c>
      <c r="O59" s="31">
        <f t="shared" si="108"/>
        <v>173.7200803970014</v>
      </c>
      <c r="P59" s="31">
        <f t="shared" si="106"/>
        <v>25.050709229531886</v>
      </c>
      <c r="Q59" s="31">
        <f t="shared" si="106"/>
        <v>4.6750905864087509</v>
      </c>
      <c r="R59" s="31">
        <f t="shared" si="106"/>
        <v>1.8522464508801342</v>
      </c>
      <c r="S59" s="31">
        <f t="shared" si="106"/>
        <v>81.972612346388431</v>
      </c>
      <c r="T59" s="31">
        <f t="shared" si="106"/>
        <v>45.997056326093961</v>
      </c>
      <c r="U59" s="31">
        <f t="shared" si="106"/>
        <v>20.560741832401437</v>
      </c>
      <c r="V59" s="31">
        <f t="shared" si="106"/>
        <v>11.579772931319937</v>
      </c>
      <c r="W59" s="31">
        <f t="shared" ref="W59:Z59" si="109">10^(W57/10)/W2</f>
        <v>51.294260804685564</v>
      </c>
      <c r="X59" s="31">
        <f t="shared" si="109"/>
        <v>28.822393228044824</v>
      </c>
      <c r="Y59" s="31">
        <f t="shared" si="109"/>
        <v>12.753775851675764</v>
      </c>
      <c r="Z59" s="31">
        <f t="shared" si="109"/>
        <v>7.156489581434613</v>
      </c>
      <c r="AA59" s="31">
        <f t="shared" ref="AA59" si="110">10^(AA57/10)/AA2</f>
        <v>162.442165838226</v>
      </c>
      <c r="AB59" s="31">
        <f t="shared" ref="AB59:AD59" si="111">10^(AB57/10)/AB2</f>
        <v>91.571438098434541</v>
      </c>
      <c r="AC59" s="31">
        <f t="shared" si="111"/>
        <v>40.894864696186254</v>
      </c>
      <c r="AD59" s="31">
        <f t="shared" si="111"/>
        <v>23.053137415072882</v>
      </c>
      <c r="AE59" s="31">
        <f t="shared" si="106"/>
        <v>32.935842382061217</v>
      </c>
      <c r="AF59" s="31">
        <f t="shared" si="106"/>
        <v>18.523798111345627</v>
      </c>
      <c r="AG59" s="31">
        <f t="shared" si="106"/>
        <v>8.2535118653245743</v>
      </c>
      <c r="AH59" s="31">
        <f t="shared" si="106"/>
        <v>4.641945565847708</v>
      </c>
    </row>
    <row r="60" spans="1:34" hidden="1" x14ac:dyDescent="0.25">
      <c r="A60" s="73" t="s">
        <v>320</v>
      </c>
      <c r="B60" s="40" t="s">
        <v>341</v>
      </c>
      <c r="C60" s="31" t="s">
        <v>20</v>
      </c>
      <c r="D60" s="31" t="s">
        <v>20</v>
      </c>
      <c r="E60" s="31" t="s">
        <v>20</v>
      </c>
      <c r="F60" s="31" t="s">
        <v>20</v>
      </c>
      <c r="G60" s="121">
        <v>0.185</v>
      </c>
      <c r="H60" s="121">
        <v>0.185</v>
      </c>
      <c r="I60" s="121">
        <v>0.185</v>
      </c>
      <c r="J60" s="121">
        <v>0.185</v>
      </c>
      <c r="K60" s="121">
        <v>0.185</v>
      </c>
      <c r="L60" s="121">
        <v>0.185</v>
      </c>
      <c r="M60" s="121">
        <v>0.185</v>
      </c>
      <c r="N60" s="121">
        <v>0.185</v>
      </c>
      <c r="O60" s="121">
        <v>0.185</v>
      </c>
      <c r="P60" s="121">
        <v>0.185</v>
      </c>
      <c r="Q60" s="121">
        <v>0.185</v>
      </c>
      <c r="R60" s="121">
        <v>0.185</v>
      </c>
      <c r="S60" s="121">
        <v>0.185</v>
      </c>
      <c r="T60" s="121">
        <v>0.185</v>
      </c>
      <c r="U60" s="121">
        <v>0.185</v>
      </c>
      <c r="V60" s="121">
        <v>0.185</v>
      </c>
      <c r="W60" s="121">
        <v>0.185</v>
      </c>
      <c r="X60" s="121">
        <v>0.185</v>
      </c>
      <c r="Y60" s="121">
        <v>0.185</v>
      </c>
      <c r="Z60" s="121">
        <v>0.185</v>
      </c>
      <c r="AA60" s="121">
        <v>0.185</v>
      </c>
      <c r="AB60" s="121">
        <v>0.185</v>
      </c>
      <c r="AC60" s="121">
        <v>0.185</v>
      </c>
      <c r="AD60" s="121">
        <v>0.185</v>
      </c>
      <c r="AE60" s="121">
        <v>0.185</v>
      </c>
      <c r="AF60" s="121">
        <v>0.185</v>
      </c>
      <c r="AG60" s="121">
        <v>0.185</v>
      </c>
      <c r="AH60" s="121">
        <v>0.185</v>
      </c>
    </row>
    <row r="61" spans="1:34" hidden="1" x14ac:dyDescent="0.25">
      <c r="A61" s="73" t="s">
        <v>321</v>
      </c>
      <c r="B61" s="40" t="s">
        <v>337</v>
      </c>
      <c r="C61" s="31" t="s">
        <v>20</v>
      </c>
      <c r="D61" s="31" t="s">
        <v>20</v>
      </c>
      <c r="E61" s="31" t="s">
        <v>20</v>
      </c>
      <c r="F61" s="31" t="s">
        <v>20</v>
      </c>
      <c r="G61" s="31">
        <f t="shared" ref="G61:O61" si="112">G59/G60</f>
        <v>1290.1740356740504</v>
      </c>
      <c r="H61" s="31">
        <f t="shared" si="112"/>
        <v>305.92734800464171</v>
      </c>
      <c r="I61" s="31">
        <f t="shared" si="112"/>
        <v>133.5140724268706</v>
      </c>
      <c r="J61" s="31">
        <f t="shared" si="112"/>
        <v>74.402633243768364</v>
      </c>
      <c r="K61" s="31">
        <f t="shared" si="112"/>
        <v>1461.0944573913755</v>
      </c>
      <c r="L61" s="31">
        <f t="shared" ref="L61" si="113">L59/L60</f>
        <v>247.54165922722331</v>
      </c>
      <c r="M61" s="31">
        <f t="shared" ref="M61" si="114">M59/M60</f>
        <v>50.190127847847101</v>
      </c>
      <c r="N61" s="31">
        <f t="shared" ref="N61" si="115">N59/N60</f>
        <v>20.966553319425383</v>
      </c>
      <c r="O61" s="31">
        <f t="shared" si="112"/>
        <v>939.02746160541301</v>
      </c>
      <c r="P61" s="31">
        <f t="shared" ref="P61" si="116">P59/P60</f>
        <v>135.40923907855074</v>
      </c>
      <c r="Q61" s="31">
        <f t="shared" ref="Q61" si="117">Q59/Q60</f>
        <v>25.270759926533788</v>
      </c>
      <c r="R61" s="31">
        <f t="shared" ref="R61" si="118">R59/R60</f>
        <v>10.012142977730456</v>
      </c>
      <c r="S61" s="31">
        <f t="shared" ref="S61:V61" si="119">S59/S60</f>
        <v>443.0952018723699</v>
      </c>
      <c r="T61" s="31">
        <f t="shared" si="119"/>
        <v>248.63273689780519</v>
      </c>
      <c r="U61" s="31">
        <f t="shared" si="119"/>
        <v>111.13914504000776</v>
      </c>
      <c r="V61" s="31">
        <f t="shared" si="119"/>
        <v>62.593367196323982</v>
      </c>
      <c r="W61" s="31">
        <f t="shared" ref="W61:Z61" si="120">W59/W60</f>
        <v>277.26627461992194</v>
      </c>
      <c r="X61" s="31">
        <f t="shared" si="120"/>
        <v>155.79672015159363</v>
      </c>
      <c r="Y61" s="31">
        <f t="shared" si="120"/>
        <v>68.939328927977101</v>
      </c>
      <c r="Z61" s="31">
        <f t="shared" si="120"/>
        <v>38.683727467214126</v>
      </c>
      <c r="AA61" s="31">
        <f t="shared" ref="AA61" si="121">AA59/AA60</f>
        <v>878.06576128770814</v>
      </c>
      <c r="AB61" s="31">
        <f t="shared" ref="AB61:AD61" si="122">AB59/AB60</f>
        <v>494.98074647802457</v>
      </c>
      <c r="AC61" s="31">
        <f t="shared" si="122"/>
        <v>221.05332268208787</v>
      </c>
      <c r="AD61" s="31">
        <f t="shared" si="122"/>
        <v>124.61155359498855</v>
      </c>
      <c r="AE61" s="31">
        <f>AE59/AE60</f>
        <v>178.03158044357414</v>
      </c>
      <c r="AF61" s="31">
        <f>AF59/AF60</f>
        <v>100.12863843970609</v>
      </c>
      <c r="AG61" s="31">
        <f>AG59/AG60</f>
        <v>44.613577650403101</v>
      </c>
      <c r="AH61" s="31">
        <f>AH59/AH60</f>
        <v>25.091597653230853</v>
      </c>
    </row>
    <row r="62" spans="1:34" hidden="1" x14ac:dyDescent="0.25">
      <c r="A62" s="73" t="s">
        <v>474</v>
      </c>
      <c r="B62" s="33" t="s">
        <v>366</v>
      </c>
      <c r="C62" s="31" t="s">
        <v>20</v>
      </c>
      <c r="D62" s="31" t="s">
        <v>20</v>
      </c>
      <c r="E62" s="31" t="s">
        <v>20</v>
      </c>
      <c r="F62" s="31" t="s">
        <v>20</v>
      </c>
      <c r="G62" s="31">
        <f t="shared" ref="G62:AH62" si="123">G61*G2</f>
        <v>82571.138283139226</v>
      </c>
      <c r="H62" s="31">
        <f t="shared" si="123"/>
        <v>39158.70054459414</v>
      </c>
      <c r="I62" s="31">
        <f t="shared" si="123"/>
        <v>25634.701905959155</v>
      </c>
      <c r="J62" s="31">
        <f t="shared" si="123"/>
        <v>19047.074110404701</v>
      </c>
      <c r="K62" s="31">
        <f t="shared" ref="K62" si="124">K61*K2</f>
        <v>46755.022636524016</v>
      </c>
      <c r="L62" s="31">
        <f t="shared" ref="L62:O62" si="125">L61*L2</f>
        <v>15842.666190542292</v>
      </c>
      <c r="M62" s="31">
        <f t="shared" si="125"/>
        <v>6424.336364524429</v>
      </c>
      <c r="N62" s="31">
        <f t="shared" si="125"/>
        <v>4025.5782373296734</v>
      </c>
      <c r="O62" s="31">
        <f t="shared" si="125"/>
        <v>30048.878771373216</v>
      </c>
      <c r="P62" s="31">
        <f t="shared" si="123"/>
        <v>8666.1913010272474</v>
      </c>
      <c r="Q62" s="31">
        <f t="shared" si="123"/>
        <v>3234.6572705963249</v>
      </c>
      <c r="R62" s="31">
        <f t="shared" si="123"/>
        <v>1922.3314517242475</v>
      </c>
      <c r="S62" s="31">
        <f t="shared" si="123"/>
        <v>170148.55751899004</v>
      </c>
      <c r="T62" s="31">
        <f t="shared" si="123"/>
        <v>127299.96129167626</v>
      </c>
      <c r="U62" s="31">
        <f t="shared" si="123"/>
        <v>85354.863390725965</v>
      </c>
      <c r="V62" s="31">
        <f t="shared" si="123"/>
        <v>64095.608009035757</v>
      </c>
      <c r="W62" s="31">
        <f t="shared" ref="W62:Z62" si="126">W61*W2</f>
        <v>106470.24945405003</v>
      </c>
      <c r="X62" s="31">
        <f t="shared" si="126"/>
        <v>79767.92071761594</v>
      </c>
      <c r="Y62" s="31">
        <f t="shared" si="126"/>
        <v>52945.404616686414</v>
      </c>
      <c r="Z62" s="31">
        <f t="shared" si="126"/>
        <v>39612.136926427265</v>
      </c>
      <c r="AA62" s="31">
        <f t="shared" ref="AA62" si="127">AA61*AA2</f>
        <v>168588.62616723997</v>
      </c>
      <c r="AB62" s="31">
        <f t="shared" ref="AB62:AD62" si="128">AB61*AB2</f>
        <v>126715.07109837429</v>
      </c>
      <c r="AC62" s="31">
        <f t="shared" si="128"/>
        <v>84884.475909921748</v>
      </c>
      <c r="AD62" s="31">
        <f t="shared" si="128"/>
        <v>63801.115440634137</v>
      </c>
      <c r="AE62" s="31">
        <f t="shared" si="123"/>
        <v>68364.126890332467</v>
      </c>
      <c r="AF62" s="31">
        <f t="shared" si="123"/>
        <v>51265.86288112952</v>
      </c>
      <c r="AG62" s="31">
        <f t="shared" si="123"/>
        <v>34263.227635509582</v>
      </c>
      <c r="AH62" s="31">
        <f t="shared" si="123"/>
        <v>25693.795996908393</v>
      </c>
    </row>
    <row r="63" spans="1:34" hidden="1" x14ac:dyDescent="0.25">
      <c r="A63" s="77" t="s">
        <v>344</v>
      </c>
      <c r="B63" s="40" t="s">
        <v>338</v>
      </c>
      <c r="C63" s="31" t="s">
        <v>20</v>
      </c>
      <c r="D63" s="31" t="s">
        <v>20</v>
      </c>
      <c r="E63" s="31" t="s">
        <v>20</v>
      </c>
      <c r="F63" s="31" t="s">
        <v>20</v>
      </c>
      <c r="G63" s="31">
        <f t="shared" ref="G63:AH63" si="129">G15+G18+G43+G23+G25+G50+G30</f>
        <v>22278.880785911198</v>
      </c>
      <c r="H63" s="31">
        <f t="shared" si="129"/>
        <v>43605.856485001321</v>
      </c>
      <c r="I63" s="31">
        <f t="shared" si="129"/>
        <v>64937.039590942135</v>
      </c>
      <c r="J63" s="31">
        <f t="shared" si="129"/>
        <v>86269.276359455063</v>
      </c>
      <c r="K63" s="31">
        <f t="shared" ref="K63" si="130">K15+K18+K43+K23+K25+K50+K30</f>
        <v>21691.162959573849</v>
      </c>
      <c r="L63" s="31">
        <f t="shared" ref="L63:O63" si="131">L15+L18+L43+L23+L25+L50+L30</f>
        <v>41712.208544267989</v>
      </c>
      <c r="M63" s="31">
        <f t="shared" si="131"/>
        <v>81803.93252068774</v>
      </c>
      <c r="N63" s="31">
        <f t="shared" si="131"/>
        <v>121906.47184266758</v>
      </c>
      <c r="O63" s="31">
        <f t="shared" si="131"/>
        <v>42145.061319523928</v>
      </c>
      <c r="P63" s="31">
        <f t="shared" si="129"/>
        <v>80922.026535697412</v>
      </c>
      <c r="Q63" s="31">
        <f t="shared" si="129"/>
        <v>158554.0324300715</v>
      </c>
      <c r="R63" s="31">
        <f t="shared" si="129"/>
        <v>236199.80242436464</v>
      </c>
      <c r="S63" s="31">
        <f t="shared" si="129"/>
        <v>43700.050915620799</v>
      </c>
      <c r="T63" s="31">
        <f t="shared" si="129"/>
        <v>58206.706473637263</v>
      </c>
      <c r="U63" s="31">
        <f t="shared" si="129"/>
        <v>87220.065905488649</v>
      </c>
      <c r="V63" s="31">
        <f t="shared" si="129"/>
        <v>116233.40489253032</v>
      </c>
      <c r="W63" s="31">
        <f t="shared" ref="W63:Z63" si="132">W15+W18+W43+W23+W25+W50+W30</f>
        <v>72035.229983271376</v>
      </c>
      <c r="X63" s="31">
        <f t="shared" si="132"/>
        <v>95928.557924152439</v>
      </c>
      <c r="Y63" s="31">
        <f t="shared" si="132"/>
        <v>143715.20230698801</v>
      </c>
      <c r="Z63" s="31">
        <f t="shared" si="132"/>
        <v>191501.8566050434</v>
      </c>
      <c r="AA63" s="31">
        <f t="shared" ref="AA63" si="133">AA15+AA18+AA43+AA23+AA25+AA50+AA30</f>
        <v>64720.17723076923</v>
      </c>
      <c r="AB63" s="31">
        <f t="shared" ref="AB63:AD63" si="134">AB15+AB18+AB43+AB23+AB25+AB50+AB30</f>
        <v>86053.510564102558</v>
      </c>
      <c r="AC63" s="31">
        <f t="shared" si="134"/>
        <v>128720.17723076923</v>
      </c>
      <c r="AD63" s="31">
        <f t="shared" si="134"/>
        <v>171386.8438974359</v>
      </c>
      <c r="AE63" s="31">
        <f t="shared" si="129"/>
        <v>29653.025953157838</v>
      </c>
      <c r="AF63" s="31">
        <f t="shared" si="129"/>
        <v>39466.34987201287</v>
      </c>
      <c r="AG63" s="31">
        <f t="shared" si="129"/>
        <v>59093.184334637182</v>
      </c>
      <c r="AH63" s="31">
        <f t="shared" si="129"/>
        <v>78719.841575616607</v>
      </c>
    </row>
    <row r="64" spans="1:34" hidden="1" x14ac:dyDescent="0.25">
      <c r="A64" s="77" t="s">
        <v>345</v>
      </c>
      <c r="B64" s="40" t="s">
        <v>337</v>
      </c>
      <c r="C64" s="31" t="s">
        <v>20</v>
      </c>
      <c r="D64" s="31" t="s">
        <v>20</v>
      </c>
      <c r="E64" s="31" t="s">
        <v>20</v>
      </c>
      <c r="F64" s="31" t="s">
        <v>20</v>
      </c>
      <c r="G64" s="31">
        <f t="shared" ref="G64:AH64" si="135">G63/G2</f>
        <v>348.10751227986248</v>
      </c>
      <c r="H64" s="31">
        <f t="shared" si="135"/>
        <v>340.67075378907282</v>
      </c>
      <c r="I64" s="31">
        <f t="shared" si="135"/>
        <v>338.21374786949031</v>
      </c>
      <c r="J64" s="31">
        <f t="shared" si="135"/>
        <v>336.98936077912134</v>
      </c>
      <c r="K64" s="31">
        <f t="shared" ref="K64" si="136">K63/K2</f>
        <v>677.84884248668277</v>
      </c>
      <c r="L64" s="31">
        <f t="shared" ref="L64:O64" si="137">L63/L2</f>
        <v>651.75325850418733</v>
      </c>
      <c r="M64" s="31">
        <f t="shared" si="137"/>
        <v>639.09322281787297</v>
      </c>
      <c r="N64" s="31">
        <f t="shared" si="137"/>
        <v>634.92954084722703</v>
      </c>
      <c r="O64" s="31">
        <f t="shared" si="137"/>
        <v>1317.0331662351227</v>
      </c>
      <c r="P64" s="31">
        <f t="shared" si="135"/>
        <v>1264.4066646202721</v>
      </c>
      <c r="Q64" s="31">
        <f t="shared" si="135"/>
        <v>1238.7033783599336</v>
      </c>
      <c r="R64" s="31">
        <f t="shared" si="135"/>
        <v>1230.2073042935658</v>
      </c>
      <c r="S64" s="31">
        <f t="shared" si="135"/>
        <v>113.80221592609583</v>
      </c>
      <c r="T64" s="31">
        <f t="shared" si="135"/>
        <v>113.68497358132278</v>
      </c>
      <c r="U64" s="31">
        <f t="shared" si="135"/>
        <v>113.56779414777168</v>
      </c>
      <c r="V64" s="31">
        <f t="shared" si="135"/>
        <v>113.50918446536164</v>
      </c>
      <c r="W64" s="31">
        <f t="shared" ref="W64:Z64" si="138">W63/W2</f>
        <v>187.59174474810254</v>
      </c>
      <c r="X64" s="31">
        <f t="shared" si="138"/>
        <v>187.36046469561023</v>
      </c>
      <c r="Y64" s="31">
        <f t="shared" si="138"/>
        <v>187.1291696705573</v>
      </c>
      <c r="Z64" s="31">
        <f t="shared" si="138"/>
        <v>187.0135318408627</v>
      </c>
      <c r="AA64" s="31">
        <f t="shared" ref="AA64" si="139">AA63/AA2</f>
        <v>337.08425641025639</v>
      </c>
      <c r="AB64" s="31">
        <f t="shared" ref="AB64:AD64" si="140">AB63/AB2</f>
        <v>336.14652564102562</v>
      </c>
      <c r="AC64" s="31">
        <f t="shared" si="140"/>
        <v>335.20879487179485</v>
      </c>
      <c r="AD64" s="31">
        <f t="shared" si="140"/>
        <v>334.7399294871795</v>
      </c>
      <c r="AE64" s="31">
        <f t="shared" si="135"/>
        <v>77.221421753015207</v>
      </c>
      <c r="AF64" s="31">
        <f t="shared" si="135"/>
        <v>77.082714593775137</v>
      </c>
      <c r="AG64" s="31">
        <f t="shared" si="135"/>
        <v>76.944250435725493</v>
      </c>
      <c r="AH64" s="31">
        <f t="shared" si="135"/>
        <v>76.874845288688093</v>
      </c>
    </row>
    <row r="65" spans="1:34" hidden="1" x14ac:dyDescent="0.25">
      <c r="A65" s="77" t="s">
        <v>83</v>
      </c>
      <c r="B65" s="40" t="s">
        <v>338</v>
      </c>
      <c r="C65" s="31" t="s">
        <v>20</v>
      </c>
      <c r="D65" s="31" t="s">
        <v>20</v>
      </c>
      <c r="E65" s="31" t="s">
        <v>20</v>
      </c>
      <c r="F65" s="31" t="s">
        <v>20</v>
      </c>
      <c r="G65" s="31">
        <f t="shared" ref="G65:O65" si="141">G63+G62</f>
        <v>104850.01906905042</v>
      </c>
      <c r="H65" s="31">
        <f t="shared" si="141"/>
        <v>82764.557029595453</v>
      </c>
      <c r="I65" s="31">
        <f t="shared" si="141"/>
        <v>90571.74149690129</v>
      </c>
      <c r="J65" s="31">
        <f t="shared" si="141"/>
        <v>105316.35046985977</v>
      </c>
      <c r="K65" s="31">
        <f t="shared" si="141"/>
        <v>68446.185596097872</v>
      </c>
      <c r="L65" s="31">
        <f t="shared" ref="L65:N65" si="142">L63+L62</f>
        <v>57554.874734810277</v>
      </c>
      <c r="M65" s="31">
        <f t="shared" si="142"/>
        <v>88228.268885212165</v>
      </c>
      <c r="N65" s="31">
        <f t="shared" si="142"/>
        <v>125932.05007999725</v>
      </c>
      <c r="O65" s="31">
        <f t="shared" si="141"/>
        <v>72193.940090897144</v>
      </c>
      <c r="P65" s="31">
        <f t="shared" ref="P65:V65" si="143">P63+P62</f>
        <v>89588.217836724652</v>
      </c>
      <c r="Q65" s="31">
        <f t="shared" si="143"/>
        <v>161788.68970066783</v>
      </c>
      <c r="R65" s="31">
        <f t="shared" si="143"/>
        <v>238122.13387608889</v>
      </c>
      <c r="S65" s="31">
        <f t="shared" si="143"/>
        <v>213848.60843461083</v>
      </c>
      <c r="T65" s="31">
        <f t="shared" si="143"/>
        <v>185506.66776531353</v>
      </c>
      <c r="U65" s="31">
        <f t="shared" si="143"/>
        <v>172574.9292962146</v>
      </c>
      <c r="V65" s="31">
        <f t="shared" si="143"/>
        <v>180329.01290156608</v>
      </c>
      <c r="W65" s="31">
        <f t="shared" ref="W65:Z65" si="144">W63+W62</f>
        <v>178505.47943732142</v>
      </c>
      <c r="X65" s="31">
        <f t="shared" si="144"/>
        <v>175696.47864176839</v>
      </c>
      <c r="Y65" s="31">
        <f t="shared" si="144"/>
        <v>196660.60692367441</v>
      </c>
      <c r="Z65" s="31">
        <f t="shared" si="144"/>
        <v>231113.99353147065</v>
      </c>
      <c r="AA65" s="31">
        <f t="shared" ref="AA65" si="145">AA63+AA62</f>
        <v>233308.80339800922</v>
      </c>
      <c r="AB65" s="31">
        <f t="shared" ref="AB65:AD65" si="146">AB63+AB62</f>
        <v>212768.58166247685</v>
      </c>
      <c r="AC65" s="31">
        <f t="shared" si="146"/>
        <v>213604.65314069099</v>
      </c>
      <c r="AD65" s="31">
        <f t="shared" si="146"/>
        <v>235187.95933807004</v>
      </c>
      <c r="AE65" s="31">
        <f>AE63+AE62</f>
        <v>98017.152843490301</v>
      </c>
      <c r="AF65" s="31">
        <f>AF63+AF62</f>
        <v>90732.21275314239</v>
      </c>
      <c r="AG65" s="31">
        <f>AG63+AG62</f>
        <v>93356.411970146757</v>
      </c>
      <c r="AH65" s="31">
        <f>AH63+AH62</f>
        <v>104413.637572525</v>
      </c>
    </row>
    <row r="66" spans="1:34" x14ac:dyDescent="0.25">
      <c r="A66" s="77" t="s">
        <v>157</v>
      </c>
      <c r="B66" s="40" t="s">
        <v>340</v>
      </c>
      <c r="C66" s="31">
        <f>C17+C42+C21+C36+C46+C27+C52+C55+C31+C14</f>
        <v>228.91626666666664</v>
      </c>
      <c r="D66" s="31">
        <f t="shared" ref="D66:F66" si="147">D17+D42+D21+D36+D46+D27+D52+D55+D31+D14</f>
        <v>452.06293333333326</v>
      </c>
      <c r="E66" s="31">
        <f t="shared" si="147"/>
        <v>675.20960000000014</v>
      </c>
      <c r="F66" s="31">
        <f t="shared" si="147"/>
        <v>898.35626666666667</v>
      </c>
      <c r="G66" s="31" t="s">
        <v>20</v>
      </c>
      <c r="H66" s="31" t="s">
        <v>20</v>
      </c>
      <c r="I66" s="31" t="s">
        <v>20</v>
      </c>
      <c r="J66" s="31" t="s">
        <v>20</v>
      </c>
      <c r="K66" s="31" t="s">
        <v>20</v>
      </c>
      <c r="L66" s="31" t="s">
        <v>20</v>
      </c>
      <c r="M66" s="31" t="s">
        <v>20</v>
      </c>
      <c r="N66" s="31" t="s">
        <v>20</v>
      </c>
      <c r="O66" s="31" t="s">
        <v>20</v>
      </c>
      <c r="P66" s="31" t="s">
        <v>20</v>
      </c>
      <c r="Q66" s="31" t="s">
        <v>20</v>
      </c>
      <c r="R66" s="31" t="s">
        <v>20</v>
      </c>
      <c r="S66" s="31" t="s">
        <v>20</v>
      </c>
      <c r="T66" s="31" t="s">
        <v>20</v>
      </c>
      <c r="U66" s="31" t="s">
        <v>20</v>
      </c>
      <c r="V66" s="31" t="s">
        <v>20</v>
      </c>
      <c r="W66" s="31" t="s">
        <v>20</v>
      </c>
      <c r="X66" s="31" t="s">
        <v>20</v>
      </c>
      <c r="Y66" s="31" t="s">
        <v>20</v>
      </c>
      <c r="Z66" s="31" t="s">
        <v>20</v>
      </c>
      <c r="AA66" s="31" t="s">
        <v>20</v>
      </c>
      <c r="AB66" s="31" t="s">
        <v>20</v>
      </c>
      <c r="AC66" s="31" t="s">
        <v>20</v>
      </c>
      <c r="AD66" s="31" t="s">
        <v>20</v>
      </c>
      <c r="AE66" s="31" t="s">
        <v>20</v>
      </c>
      <c r="AF66" s="31" t="s">
        <v>20</v>
      </c>
      <c r="AG66" s="31" t="s">
        <v>20</v>
      </c>
      <c r="AH66" s="31" t="s">
        <v>20</v>
      </c>
    </row>
    <row r="70" spans="1:34" x14ac:dyDescent="0.25">
      <c r="A70" s="175" t="s">
        <v>573</v>
      </c>
      <c r="B70" s="175"/>
      <c r="C70" s="175"/>
      <c r="D70" s="175"/>
      <c r="E70" s="175"/>
      <c r="F70" s="175"/>
      <c r="G70" s="175"/>
      <c r="H70" s="175"/>
      <c r="J70" s="175" t="s">
        <v>574</v>
      </c>
      <c r="K70" s="175"/>
      <c r="L70" s="175"/>
      <c r="M70" s="175"/>
      <c r="N70" s="175"/>
      <c r="O70" s="2"/>
      <c r="P70" s="175" t="s">
        <v>575</v>
      </c>
      <c r="Q70" s="175"/>
      <c r="R70" s="175"/>
      <c r="S70" s="175"/>
      <c r="T70" s="175"/>
    </row>
    <row r="71" spans="1:34" x14ac:dyDescent="0.25">
      <c r="A71" s="1"/>
      <c r="B71" s="165">
        <f>G2</f>
        <v>64</v>
      </c>
      <c r="C71" s="165"/>
      <c r="D71" s="165"/>
      <c r="E71" s="165"/>
      <c r="F71" s="165">
        <f>H2</f>
        <v>128</v>
      </c>
      <c r="G71" s="165">
        <f>I2</f>
        <v>192</v>
      </c>
      <c r="H71" s="165">
        <f>J2</f>
        <v>256</v>
      </c>
      <c r="J71" s="1"/>
      <c r="K71" s="165">
        <f t="shared" ref="K71:N71" si="148">K2</f>
        <v>32</v>
      </c>
      <c r="L71" s="165">
        <f t="shared" si="148"/>
        <v>64</v>
      </c>
      <c r="M71" s="165">
        <f t="shared" si="148"/>
        <v>128</v>
      </c>
      <c r="N71" s="165">
        <f t="shared" si="148"/>
        <v>192</v>
      </c>
      <c r="O71" s="165"/>
      <c r="P71" s="165"/>
      <c r="Q71" s="165">
        <f t="shared" ref="Q71:T71" si="149">K71</f>
        <v>32</v>
      </c>
      <c r="R71" s="165">
        <f t="shared" si="149"/>
        <v>64</v>
      </c>
      <c r="S71" s="165">
        <f t="shared" si="149"/>
        <v>128</v>
      </c>
      <c r="T71" s="165">
        <f t="shared" si="149"/>
        <v>192</v>
      </c>
      <c r="U71" s="74"/>
      <c r="V71" s="74"/>
      <c r="W71" s="74"/>
      <c r="X71" s="74"/>
      <c r="Y71" s="74"/>
      <c r="Z71" s="74"/>
      <c r="AA71" s="74"/>
      <c r="AB71" s="74"/>
      <c r="AC71" s="74"/>
      <c r="AD71" s="74"/>
    </row>
    <row r="72" spans="1:34" x14ac:dyDescent="0.25">
      <c r="A72" s="1" t="str">
        <f>$A$15</f>
        <v>BB Precoding</v>
      </c>
      <c r="B72" s="78">
        <f>G15</f>
        <v>62.769230769230766</v>
      </c>
      <c r="C72" s="78"/>
      <c r="D72" s="78"/>
      <c r="E72" s="78"/>
      <c r="F72" s="78">
        <f>H15</f>
        <v>62.769230769230766</v>
      </c>
      <c r="G72" s="78">
        <f>I15</f>
        <v>62.769230769230766</v>
      </c>
      <c r="H72" s="78">
        <f>J15</f>
        <v>62.769230769230766</v>
      </c>
      <c r="J72" s="1" t="str">
        <f>$A$15</f>
        <v>BB Precoding</v>
      </c>
      <c r="K72" s="78">
        <f t="shared" ref="K72:N72" si="150">K15</f>
        <v>175.75384615384615</v>
      </c>
      <c r="L72" s="78">
        <f t="shared" si="150"/>
        <v>175.75384615384615</v>
      </c>
      <c r="M72" s="78">
        <f t="shared" si="150"/>
        <v>175.75384615384615</v>
      </c>
      <c r="N72" s="78">
        <f t="shared" si="150"/>
        <v>175.75384615384615</v>
      </c>
      <c r="O72" s="78"/>
      <c r="P72" s="78" t="str">
        <f t="shared" ref="P72:P79" si="151">J72</f>
        <v>BB Precoding</v>
      </c>
      <c r="Q72" s="78">
        <f t="shared" ref="Q72:T72" si="152">O15</f>
        <v>552.36923076923074</v>
      </c>
      <c r="R72" s="78">
        <f t="shared" si="152"/>
        <v>552.36923076923074</v>
      </c>
      <c r="S72" s="78">
        <f t="shared" si="152"/>
        <v>552.36923076923074</v>
      </c>
      <c r="T72" s="78">
        <f t="shared" si="152"/>
        <v>552.36923076923074</v>
      </c>
    </row>
    <row r="73" spans="1:34" x14ac:dyDescent="0.25">
      <c r="A73" s="1" t="str">
        <f>$A$18</f>
        <v>SERDES</v>
      </c>
      <c r="B73" s="78">
        <f>G18</f>
        <v>0</v>
      </c>
      <c r="C73" s="78"/>
      <c r="D73" s="78"/>
      <c r="E73" s="78"/>
      <c r="F73" s="78">
        <f t="shared" ref="F73:H73" si="153">H18</f>
        <v>0</v>
      </c>
      <c r="G73" s="78">
        <f t="shared" si="153"/>
        <v>0</v>
      </c>
      <c r="H73" s="78">
        <f t="shared" si="153"/>
        <v>0</v>
      </c>
      <c r="J73" s="1" t="str">
        <f>$A$18</f>
        <v>SERDES</v>
      </c>
      <c r="K73" s="78">
        <f t="shared" ref="K73:N73" si="154">K18</f>
        <v>0</v>
      </c>
      <c r="L73" s="78">
        <f t="shared" si="154"/>
        <v>0</v>
      </c>
      <c r="M73" s="78">
        <f t="shared" si="154"/>
        <v>0</v>
      </c>
      <c r="N73" s="78">
        <f t="shared" si="154"/>
        <v>0</v>
      </c>
      <c r="O73" s="78"/>
      <c r="P73" s="78" t="str">
        <f t="shared" si="151"/>
        <v>SERDES</v>
      </c>
      <c r="Q73" s="78">
        <f t="shared" ref="Q73:T73" si="155">O18</f>
        <v>0</v>
      </c>
      <c r="R73" s="78">
        <f t="shared" si="155"/>
        <v>0</v>
      </c>
      <c r="S73" s="78">
        <f t="shared" si="155"/>
        <v>0</v>
      </c>
      <c r="T73" s="78">
        <f t="shared" si="155"/>
        <v>0</v>
      </c>
    </row>
    <row r="74" spans="1:34" x14ac:dyDescent="0.25">
      <c r="A74" s="1" t="str">
        <f>$A$23</f>
        <v>DAC</v>
      </c>
      <c r="B74" s="78">
        <f>G23</f>
        <v>322.77822180863359</v>
      </c>
      <c r="C74" s="78"/>
      <c r="D74" s="78"/>
      <c r="E74" s="78"/>
      <c r="F74" s="78">
        <f t="shared" ref="F74:H74" si="156">H23</f>
        <v>316.42058756542957</v>
      </c>
      <c r="G74" s="78">
        <f t="shared" si="156"/>
        <v>314.270360172908</v>
      </c>
      <c r="H74" s="78">
        <f t="shared" si="156"/>
        <v>313.17379535250359</v>
      </c>
      <c r="J74" s="1" t="str">
        <f>$A$23</f>
        <v>DAC</v>
      </c>
      <c r="K74" s="78">
        <f t="shared" ref="K74:N74" si="157">K23</f>
        <v>342.07578008667122</v>
      </c>
      <c r="L74" s="78">
        <f t="shared" si="157"/>
        <v>309.78803144747997</v>
      </c>
      <c r="M74" s="78">
        <f t="shared" si="157"/>
        <v>294.845341200566</v>
      </c>
      <c r="N74" s="78">
        <f t="shared" si="157"/>
        <v>290.71799651372783</v>
      </c>
      <c r="O74" s="78"/>
      <c r="P74" s="78" t="str">
        <f t="shared" si="151"/>
        <v>DAC</v>
      </c>
      <c r="Q74" s="78">
        <f t="shared" ref="Q74:T74" si="158">O23</f>
        <v>526.02542208803015</v>
      </c>
      <c r="R74" s="78">
        <f t="shared" si="158"/>
        <v>476.32397159485743</v>
      </c>
      <c r="S74" s="78">
        <f t="shared" si="158"/>
        <v>454.99653263560685</v>
      </c>
      <c r="T74" s="78">
        <f t="shared" si="158"/>
        <v>447.4331935953968</v>
      </c>
    </row>
    <row r="75" spans="1:34" x14ac:dyDescent="0.25">
      <c r="A75" s="1" t="str">
        <f>$A$25</f>
        <v>Mixer</v>
      </c>
      <c r="B75" s="78">
        <f>G25</f>
        <v>80</v>
      </c>
      <c r="C75" s="78"/>
      <c r="D75" s="78"/>
      <c r="E75" s="78"/>
      <c r="F75" s="78">
        <f t="shared" ref="F75:H75" si="159">H25</f>
        <v>80</v>
      </c>
      <c r="G75" s="78">
        <f t="shared" si="159"/>
        <v>80</v>
      </c>
      <c r="H75" s="78">
        <f t="shared" si="159"/>
        <v>80</v>
      </c>
      <c r="J75" s="1" t="str">
        <f>$A$25</f>
        <v>Mixer</v>
      </c>
      <c r="K75" s="78">
        <f t="shared" ref="K75:N75" si="160">K25</f>
        <v>160</v>
      </c>
      <c r="L75" s="78">
        <f t="shared" si="160"/>
        <v>160</v>
      </c>
      <c r="M75" s="78">
        <f t="shared" si="160"/>
        <v>160</v>
      </c>
      <c r="N75" s="78">
        <f t="shared" si="160"/>
        <v>160</v>
      </c>
      <c r="O75" s="78"/>
      <c r="P75" s="78" t="str">
        <f t="shared" si="151"/>
        <v>Mixer</v>
      </c>
      <c r="Q75" s="78">
        <f t="shared" ref="Q75:T75" si="161">O25</f>
        <v>320</v>
      </c>
      <c r="R75" s="78">
        <f t="shared" si="161"/>
        <v>320</v>
      </c>
      <c r="S75" s="78">
        <f t="shared" si="161"/>
        <v>320</v>
      </c>
      <c r="T75" s="78">
        <f t="shared" si="161"/>
        <v>320</v>
      </c>
    </row>
    <row r="76" spans="1:34" x14ac:dyDescent="0.25">
      <c r="A76" s="1" t="str">
        <f>$A$30</f>
        <v>VCO</v>
      </c>
      <c r="B76" s="78">
        <f>G30</f>
        <v>480</v>
      </c>
      <c r="C76" s="78"/>
      <c r="D76" s="78"/>
      <c r="E76" s="78"/>
      <c r="F76" s="78">
        <f t="shared" ref="F76:H76" si="162">H30</f>
        <v>480</v>
      </c>
      <c r="G76" s="78">
        <f t="shared" si="162"/>
        <v>480</v>
      </c>
      <c r="H76" s="78">
        <f t="shared" si="162"/>
        <v>480</v>
      </c>
      <c r="J76" s="1" t="str">
        <f>$A$30</f>
        <v>VCO</v>
      </c>
      <c r="K76" s="78">
        <f t="shared" ref="K76:N76" si="163">K30</f>
        <v>960</v>
      </c>
      <c r="L76" s="78">
        <f t="shared" si="163"/>
        <v>960</v>
      </c>
      <c r="M76" s="78">
        <f t="shared" si="163"/>
        <v>960</v>
      </c>
      <c r="N76" s="78">
        <f t="shared" si="163"/>
        <v>960</v>
      </c>
      <c r="O76" s="78"/>
      <c r="P76" s="78" t="str">
        <f t="shared" si="151"/>
        <v>VCO</v>
      </c>
      <c r="Q76" s="78">
        <f t="shared" ref="Q76:T76" si="164">O30</f>
        <v>1920</v>
      </c>
      <c r="R76" s="78">
        <f t="shared" si="164"/>
        <v>1920</v>
      </c>
      <c r="S76" s="78">
        <f t="shared" si="164"/>
        <v>1920</v>
      </c>
      <c r="T76" s="78">
        <f t="shared" si="164"/>
        <v>1920</v>
      </c>
    </row>
    <row r="77" spans="1:34" x14ac:dyDescent="0.25">
      <c r="A77" s="1" t="str">
        <f>$A$43</f>
        <v>PS</v>
      </c>
      <c r="B77" s="78">
        <f>G43</f>
        <v>5120</v>
      </c>
      <c r="C77" s="78"/>
      <c r="D77" s="78"/>
      <c r="E77" s="78"/>
      <c r="F77" s="78">
        <f t="shared" ref="F77:H77" si="165">H43</f>
        <v>10240</v>
      </c>
      <c r="G77" s="78">
        <f t="shared" si="165"/>
        <v>15360</v>
      </c>
      <c r="H77" s="78">
        <f t="shared" si="165"/>
        <v>20480</v>
      </c>
      <c r="J77" s="1" t="str">
        <f>$A$43</f>
        <v>PS</v>
      </c>
      <c r="K77" s="78">
        <f t="shared" ref="K77:N77" si="166">K43</f>
        <v>5120</v>
      </c>
      <c r="L77" s="78">
        <f t="shared" si="166"/>
        <v>10240</v>
      </c>
      <c r="M77" s="78">
        <f t="shared" si="166"/>
        <v>20480</v>
      </c>
      <c r="N77" s="78">
        <f t="shared" si="166"/>
        <v>30720</v>
      </c>
      <c r="O77" s="78"/>
      <c r="P77" s="78" t="str">
        <f t="shared" si="151"/>
        <v>PS</v>
      </c>
      <c r="Q77" s="78">
        <f t="shared" ref="Q77:T77" si="167">O43</f>
        <v>10240</v>
      </c>
      <c r="R77" s="78">
        <f t="shared" si="167"/>
        <v>20480</v>
      </c>
      <c r="S77" s="78">
        <f t="shared" si="167"/>
        <v>40960</v>
      </c>
      <c r="T77" s="78">
        <f t="shared" si="167"/>
        <v>61440</v>
      </c>
    </row>
    <row r="78" spans="1:34" x14ac:dyDescent="0.25">
      <c r="A78" s="1" t="str">
        <f>$A$50</f>
        <v>RF Amp</v>
      </c>
      <c r="B78" s="78">
        <f>G50</f>
        <v>16213.333333333332</v>
      </c>
      <c r="C78" s="78"/>
      <c r="D78" s="78"/>
      <c r="E78" s="78"/>
      <c r="F78" s="78">
        <f t="shared" ref="F78:H78" si="168">H50</f>
        <v>32426.666666666664</v>
      </c>
      <c r="G78" s="78">
        <f t="shared" si="168"/>
        <v>48640</v>
      </c>
      <c r="H78" s="78">
        <f t="shared" si="168"/>
        <v>64853.333333333328</v>
      </c>
      <c r="J78" s="1" t="str">
        <f>$A$50</f>
        <v>RF Amp</v>
      </c>
      <c r="K78" s="78">
        <f t="shared" ref="K78:N78" si="169">K50</f>
        <v>14933.333333333332</v>
      </c>
      <c r="L78" s="78">
        <f t="shared" si="169"/>
        <v>29866.666666666664</v>
      </c>
      <c r="M78" s="78">
        <f t="shared" si="169"/>
        <v>59733.333333333328</v>
      </c>
      <c r="N78" s="78">
        <f t="shared" si="169"/>
        <v>89600</v>
      </c>
      <c r="O78" s="78"/>
      <c r="P78" s="78" t="str">
        <f t="shared" si="151"/>
        <v>RF Amp</v>
      </c>
      <c r="Q78" s="78">
        <f t="shared" ref="Q78:T78" si="170">O50</f>
        <v>28586.666666666664</v>
      </c>
      <c r="R78" s="78">
        <f t="shared" si="170"/>
        <v>57173.333333333328</v>
      </c>
      <c r="S78" s="78">
        <f t="shared" si="170"/>
        <v>114346.66666666666</v>
      </c>
      <c r="T78" s="78">
        <f t="shared" si="170"/>
        <v>171520</v>
      </c>
    </row>
    <row r="79" spans="1:34" x14ac:dyDescent="0.25">
      <c r="A79" s="1" t="str">
        <f>$A$62</f>
        <v xml:space="preserve"> PA</v>
      </c>
      <c r="B79" s="78">
        <f>G62</f>
        <v>82571.138283139226</v>
      </c>
      <c r="C79" s="78"/>
      <c r="D79" s="78"/>
      <c r="E79" s="78"/>
      <c r="F79" s="78">
        <f t="shared" ref="F79:H79" si="171">H62</f>
        <v>39158.70054459414</v>
      </c>
      <c r="G79" s="78">
        <f t="shared" si="171"/>
        <v>25634.701905959155</v>
      </c>
      <c r="H79" s="78">
        <f t="shared" si="171"/>
        <v>19047.074110404701</v>
      </c>
      <c r="J79" s="1" t="str">
        <f>$A$62</f>
        <v xml:space="preserve"> PA</v>
      </c>
      <c r="K79" s="78">
        <f t="shared" ref="K79:N79" si="172">K62</f>
        <v>46755.022636524016</v>
      </c>
      <c r="L79" s="78">
        <f t="shared" si="172"/>
        <v>15842.666190542292</v>
      </c>
      <c r="M79" s="78">
        <f t="shared" si="172"/>
        <v>6424.336364524429</v>
      </c>
      <c r="N79" s="78">
        <f t="shared" si="172"/>
        <v>4025.5782373296734</v>
      </c>
      <c r="O79" s="78"/>
      <c r="P79" s="78" t="str">
        <f t="shared" si="151"/>
        <v xml:space="preserve"> PA</v>
      </c>
      <c r="Q79" s="78">
        <f t="shared" ref="Q79:T79" si="173">O62</f>
        <v>30048.878771373216</v>
      </c>
      <c r="R79" s="78">
        <f t="shared" si="173"/>
        <v>8666.1913010272474</v>
      </c>
      <c r="S79" s="78">
        <f t="shared" si="173"/>
        <v>3234.6572705963249</v>
      </c>
      <c r="T79" s="78">
        <f t="shared" si="173"/>
        <v>1922.3314517242475</v>
      </c>
    </row>
    <row r="81" spans="1:30" x14ac:dyDescent="0.25">
      <c r="A81" s="175" t="s">
        <v>577</v>
      </c>
      <c r="B81" s="175"/>
      <c r="C81" s="175"/>
      <c r="D81" s="175"/>
      <c r="E81" s="175"/>
      <c r="F81" s="175"/>
      <c r="G81" s="175"/>
      <c r="H81" s="175"/>
      <c r="J81" s="175" t="s">
        <v>576</v>
      </c>
      <c r="K81" s="175"/>
      <c r="L81" s="175"/>
      <c r="M81" s="175"/>
      <c r="N81" s="175"/>
      <c r="O81" s="2"/>
      <c r="P81" s="2"/>
      <c r="Q81" s="2"/>
      <c r="R81" s="2"/>
    </row>
    <row r="82" spans="1:30" x14ac:dyDescent="0.25">
      <c r="A82" s="1"/>
      <c r="B82" s="165">
        <f>S2</f>
        <v>384</v>
      </c>
      <c r="C82" s="165"/>
      <c r="D82" s="165"/>
      <c r="E82" s="165"/>
      <c r="F82" s="165">
        <f>T2</f>
        <v>512</v>
      </c>
      <c r="G82" s="165">
        <f>U2</f>
        <v>768</v>
      </c>
      <c r="H82" s="165">
        <f>V2</f>
        <v>1024</v>
      </c>
      <c r="J82" s="1"/>
      <c r="K82" s="165">
        <f t="shared" ref="K82:N82" si="174">W2</f>
        <v>384</v>
      </c>
      <c r="L82" s="165">
        <f t="shared" si="174"/>
        <v>512</v>
      </c>
      <c r="M82" s="165">
        <f t="shared" si="174"/>
        <v>768</v>
      </c>
      <c r="N82" s="165">
        <f t="shared" si="174"/>
        <v>1024</v>
      </c>
      <c r="O82" s="165"/>
      <c r="P82" s="175" t="s">
        <v>578</v>
      </c>
      <c r="Q82" s="175"/>
      <c r="R82" s="175"/>
      <c r="S82" s="175"/>
      <c r="T82" s="175"/>
      <c r="Y82" s="74"/>
      <c r="Z82" s="74"/>
      <c r="AA82" s="74"/>
      <c r="AB82" s="74"/>
      <c r="AC82" s="74"/>
      <c r="AD82" s="74"/>
    </row>
    <row r="83" spans="1:30" x14ac:dyDescent="0.25">
      <c r="A83" s="1" t="str">
        <f>$A$15</f>
        <v>BB Precoding</v>
      </c>
      <c r="B83" s="78">
        <f>S15</f>
        <v>10.984615384615385</v>
      </c>
      <c r="C83" s="78"/>
      <c r="D83" s="78"/>
      <c r="E83" s="78"/>
      <c r="F83" s="78">
        <f>T15</f>
        <v>10.984615384615385</v>
      </c>
      <c r="G83" s="78">
        <f>U15</f>
        <v>10.984615384615385</v>
      </c>
      <c r="H83" s="78">
        <f>V15</f>
        <v>10.984615384615385</v>
      </c>
      <c r="J83" s="1" t="str">
        <f t="shared" ref="J83:J90" si="175">J72</f>
        <v>BB Precoding</v>
      </c>
      <c r="K83" s="78">
        <f t="shared" ref="K83:N83" si="176">W15</f>
        <v>25.107692307692307</v>
      </c>
      <c r="L83" s="78">
        <f t="shared" si="176"/>
        <v>25.107692307692307</v>
      </c>
      <c r="M83" s="78">
        <f t="shared" si="176"/>
        <v>25.107692307692307</v>
      </c>
      <c r="N83" s="78">
        <f t="shared" si="176"/>
        <v>25.107692307692307</v>
      </c>
      <c r="O83" s="78"/>
      <c r="P83" s="165"/>
      <c r="Q83" s="165">
        <f t="shared" ref="Q83:T83" si="177">AA2</f>
        <v>192</v>
      </c>
      <c r="R83" s="165">
        <f t="shared" si="177"/>
        <v>256</v>
      </c>
      <c r="S83" s="165">
        <f t="shared" si="177"/>
        <v>384</v>
      </c>
      <c r="T83" s="165">
        <f t="shared" si="177"/>
        <v>512</v>
      </c>
    </row>
    <row r="84" spans="1:30" x14ac:dyDescent="0.25">
      <c r="A84" s="1" t="str">
        <f>$A$18</f>
        <v>SERDES</v>
      </c>
      <c r="B84" s="78">
        <f>S18</f>
        <v>0</v>
      </c>
      <c r="C84" s="78"/>
      <c r="D84" s="78"/>
      <c r="E84" s="78"/>
      <c r="F84" s="78">
        <f t="shared" ref="F84:H84" si="178">T18</f>
        <v>0</v>
      </c>
      <c r="G84" s="78">
        <f t="shared" si="178"/>
        <v>0</v>
      </c>
      <c r="H84" s="78">
        <f t="shared" si="178"/>
        <v>0</v>
      </c>
      <c r="J84" s="1" t="str">
        <f t="shared" si="175"/>
        <v>SERDES</v>
      </c>
      <c r="K84" s="78">
        <f t="shared" ref="K84:N84" si="179">W18</f>
        <v>0</v>
      </c>
      <c r="L84" s="78">
        <f t="shared" si="179"/>
        <v>0</v>
      </c>
      <c r="M84" s="78">
        <f t="shared" si="179"/>
        <v>0</v>
      </c>
      <c r="N84" s="78">
        <f t="shared" si="179"/>
        <v>0</v>
      </c>
      <c r="O84" s="78"/>
      <c r="P84" s="1" t="str">
        <f t="shared" ref="P84:P91" si="180">J83</f>
        <v>BB Precoding</v>
      </c>
      <c r="Q84" s="78">
        <f>AA15</f>
        <v>62.769230769230766</v>
      </c>
      <c r="R84" s="78">
        <f>AB15</f>
        <v>62.769230769230766</v>
      </c>
      <c r="S84" s="78">
        <f>AC15</f>
        <v>62.769230769230766</v>
      </c>
      <c r="T84" s="78">
        <f>AD15</f>
        <v>62.769230769230766</v>
      </c>
    </row>
    <row r="85" spans="1:30" x14ac:dyDescent="0.25">
      <c r="A85" s="1" t="str">
        <f>$A$23</f>
        <v>DAC</v>
      </c>
      <c r="B85" s="78">
        <f>S23</f>
        <v>29.066300236185519</v>
      </c>
      <c r="C85" s="78"/>
      <c r="D85" s="78"/>
      <c r="E85" s="78"/>
      <c r="F85" s="78">
        <f t="shared" ref="F85:H85" si="181">T23</f>
        <v>29.055191585985831</v>
      </c>
      <c r="G85" s="78">
        <f t="shared" si="181"/>
        <v>29.081290104025932</v>
      </c>
      <c r="H85" s="78">
        <f t="shared" si="181"/>
        <v>29.08694381237823</v>
      </c>
      <c r="J85" s="1" t="str">
        <f t="shared" si="175"/>
        <v>DAC</v>
      </c>
      <c r="K85" s="78">
        <f t="shared" ref="K85:N85" si="182">W23</f>
        <v>50.122290963681493</v>
      </c>
      <c r="L85" s="78">
        <f t="shared" si="182"/>
        <v>50.116898511420828</v>
      </c>
      <c r="M85" s="78">
        <f t="shared" si="182"/>
        <v>50.094614680320809</v>
      </c>
      <c r="N85" s="78">
        <f t="shared" si="182"/>
        <v>50.082246069039115</v>
      </c>
      <c r="O85" s="78"/>
      <c r="P85" s="1" t="str">
        <f t="shared" si="180"/>
        <v>SERDES</v>
      </c>
      <c r="Q85" s="78">
        <f>AA18</f>
        <v>0</v>
      </c>
      <c r="R85" s="78">
        <f>AB18</f>
        <v>0</v>
      </c>
      <c r="S85" s="78">
        <f>AC18</f>
        <v>0</v>
      </c>
      <c r="T85" s="78">
        <f>AD18</f>
        <v>0</v>
      </c>
    </row>
    <row r="86" spans="1:30" x14ac:dyDescent="0.25">
      <c r="A86" s="1" t="str">
        <f>$A$25</f>
        <v>Mixer</v>
      </c>
      <c r="B86" s="78">
        <f>S25</f>
        <v>20</v>
      </c>
      <c r="C86" s="78"/>
      <c r="D86" s="78"/>
      <c r="E86" s="78"/>
      <c r="F86" s="78">
        <f t="shared" ref="F86:H86" si="183">T25</f>
        <v>20</v>
      </c>
      <c r="G86" s="78">
        <f t="shared" si="183"/>
        <v>20</v>
      </c>
      <c r="H86" s="78">
        <f t="shared" si="183"/>
        <v>20</v>
      </c>
      <c r="J86" s="1" t="str">
        <f t="shared" si="175"/>
        <v>Mixer</v>
      </c>
      <c r="K86" s="78">
        <f t="shared" ref="K86:N86" si="184">W25</f>
        <v>40</v>
      </c>
      <c r="L86" s="78">
        <f t="shared" si="184"/>
        <v>40</v>
      </c>
      <c r="M86" s="78">
        <f t="shared" si="184"/>
        <v>40</v>
      </c>
      <c r="N86" s="78">
        <f t="shared" si="184"/>
        <v>40</v>
      </c>
      <c r="O86" s="78"/>
      <c r="P86" s="1" t="str">
        <f t="shared" si="180"/>
        <v>DAC</v>
      </c>
      <c r="Q86" s="78">
        <f>AA23</f>
        <v>97.408000000000001</v>
      </c>
      <c r="R86" s="78">
        <f>AB23</f>
        <v>97.408000000000001</v>
      </c>
      <c r="S86" s="78">
        <f>AC23</f>
        <v>97.408000000000001</v>
      </c>
      <c r="T86" s="78">
        <f>AD23</f>
        <v>97.408000000000001</v>
      </c>
    </row>
    <row r="87" spans="1:30" x14ac:dyDescent="0.25">
      <c r="A87" s="1" t="str">
        <f>$A$30</f>
        <v>VCO</v>
      </c>
      <c r="B87" s="78">
        <f>S30</f>
        <v>120</v>
      </c>
      <c r="C87" s="78"/>
      <c r="D87" s="78"/>
      <c r="E87" s="78"/>
      <c r="F87" s="78">
        <f t="shared" ref="F87:H87" si="185">T30</f>
        <v>120</v>
      </c>
      <c r="G87" s="78">
        <f t="shared" si="185"/>
        <v>120</v>
      </c>
      <c r="H87" s="78">
        <f t="shared" si="185"/>
        <v>120</v>
      </c>
      <c r="J87" s="1" t="str">
        <f t="shared" si="175"/>
        <v>VCO</v>
      </c>
      <c r="K87" s="78">
        <f t="shared" ref="K87:N87" si="186">W30</f>
        <v>240</v>
      </c>
      <c r="L87" s="78">
        <f t="shared" si="186"/>
        <v>240</v>
      </c>
      <c r="M87" s="78">
        <f t="shared" si="186"/>
        <v>240</v>
      </c>
      <c r="N87" s="78">
        <f t="shared" si="186"/>
        <v>240</v>
      </c>
      <c r="O87" s="78"/>
      <c r="P87" s="1" t="str">
        <f t="shared" si="180"/>
        <v>Mixer</v>
      </c>
      <c r="Q87" s="78">
        <f>AA25</f>
        <v>80</v>
      </c>
      <c r="R87" s="78">
        <f>AB25</f>
        <v>80</v>
      </c>
      <c r="S87" s="78">
        <f>AC25</f>
        <v>80</v>
      </c>
      <c r="T87" s="78">
        <f>AD25</f>
        <v>80</v>
      </c>
    </row>
    <row r="88" spans="1:30" x14ac:dyDescent="0.25">
      <c r="A88" s="1" t="str">
        <f>$A$43</f>
        <v>PS</v>
      </c>
      <c r="B88" s="78">
        <f>S43</f>
        <v>7680</v>
      </c>
      <c r="C88" s="78"/>
      <c r="D88" s="78"/>
      <c r="E88" s="78"/>
      <c r="F88" s="78">
        <f t="shared" ref="F88:H88" si="187">T43</f>
        <v>10240</v>
      </c>
      <c r="G88" s="78">
        <f t="shared" si="187"/>
        <v>15360</v>
      </c>
      <c r="H88" s="78">
        <f t="shared" si="187"/>
        <v>20480</v>
      </c>
      <c r="J88" s="1" t="str">
        <f t="shared" si="175"/>
        <v>PS</v>
      </c>
      <c r="K88" s="78">
        <f t="shared" ref="K88:N88" si="188">W43</f>
        <v>15360</v>
      </c>
      <c r="L88" s="78">
        <f t="shared" si="188"/>
        <v>20480</v>
      </c>
      <c r="M88" s="78">
        <f t="shared" si="188"/>
        <v>30720</v>
      </c>
      <c r="N88" s="78">
        <f t="shared" si="188"/>
        <v>40960</v>
      </c>
      <c r="O88" s="78"/>
      <c r="P88" s="1" t="str">
        <f t="shared" si="180"/>
        <v>VCO</v>
      </c>
      <c r="Q88" s="78">
        <f>AA30</f>
        <v>480</v>
      </c>
      <c r="R88" s="78">
        <f>AB30</f>
        <v>480</v>
      </c>
      <c r="S88" s="78">
        <f>AC30</f>
        <v>480</v>
      </c>
      <c r="T88" s="78">
        <f>AD30</f>
        <v>480</v>
      </c>
    </row>
    <row r="89" spans="1:30" x14ac:dyDescent="0.25">
      <c r="A89" s="1" t="str">
        <f>$A$50</f>
        <v>RF Amp</v>
      </c>
      <c r="B89" s="78">
        <f>S50</f>
        <v>35840</v>
      </c>
      <c r="C89" s="78"/>
      <c r="D89" s="78"/>
      <c r="E89" s="78"/>
      <c r="F89" s="78">
        <f t="shared" ref="F89:H89" si="189">T50</f>
        <v>47786.666666666664</v>
      </c>
      <c r="G89" s="78">
        <f t="shared" si="189"/>
        <v>71680</v>
      </c>
      <c r="H89" s="78">
        <f t="shared" si="189"/>
        <v>95573.333333333328</v>
      </c>
      <c r="J89" s="1" t="str">
        <f t="shared" si="175"/>
        <v>RF Amp</v>
      </c>
      <c r="K89" s="78">
        <f t="shared" ref="K89:N89" si="190">W50</f>
        <v>56320</v>
      </c>
      <c r="L89" s="78">
        <f t="shared" si="190"/>
        <v>75093.333333333328</v>
      </c>
      <c r="M89" s="78">
        <f t="shared" si="190"/>
        <v>112640</v>
      </c>
      <c r="N89" s="78">
        <f t="shared" si="190"/>
        <v>150186.66666666666</v>
      </c>
      <c r="O89" s="78"/>
      <c r="P89" s="1" t="str">
        <f t="shared" si="180"/>
        <v>PS</v>
      </c>
      <c r="Q89" s="78">
        <f>AA43</f>
        <v>15360</v>
      </c>
      <c r="R89" s="78">
        <f>AB43</f>
        <v>20480</v>
      </c>
      <c r="S89" s="78">
        <f>AC43</f>
        <v>30720</v>
      </c>
      <c r="T89" s="78">
        <f>AD43</f>
        <v>40960</v>
      </c>
    </row>
    <row r="90" spans="1:30" x14ac:dyDescent="0.25">
      <c r="A90" s="1" t="str">
        <f>$A$62</f>
        <v xml:space="preserve"> PA</v>
      </c>
      <c r="B90" s="78">
        <f>S62</f>
        <v>170148.55751899004</v>
      </c>
      <c r="C90" s="78"/>
      <c r="D90" s="78"/>
      <c r="E90" s="78"/>
      <c r="F90" s="78">
        <f t="shared" ref="F90:H90" si="191">T62</f>
        <v>127299.96129167626</v>
      </c>
      <c r="G90" s="78">
        <f t="shared" si="191"/>
        <v>85354.863390725965</v>
      </c>
      <c r="H90" s="78">
        <f t="shared" si="191"/>
        <v>64095.608009035757</v>
      </c>
      <c r="J90" s="1" t="str">
        <f t="shared" si="175"/>
        <v xml:space="preserve"> PA</v>
      </c>
      <c r="K90" s="78">
        <f t="shared" ref="K90:N90" si="192">W62</f>
        <v>106470.24945405003</v>
      </c>
      <c r="L90" s="78">
        <f t="shared" si="192"/>
        <v>79767.92071761594</v>
      </c>
      <c r="M90" s="78">
        <f t="shared" si="192"/>
        <v>52945.404616686414</v>
      </c>
      <c r="N90" s="78">
        <f t="shared" si="192"/>
        <v>39612.136926427265</v>
      </c>
      <c r="O90" s="78"/>
      <c r="P90" s="1" t="str">
        <f t="shared" si="180"/>
        <v>RF Amp</v>
      </c>
      <c r="Q90" s="78">
        <f>AA50</f>
        <v>48640</v>
      </c>
      <c r="R90" s="78">
        <f>AB50</f>
        <v>64853.333333333328</v>
      </c>
      <c r="S90" s="78">
        <f>AC50</f>
        <v>97280</v>
      </c>
      <c r="T90" s="78">
        <f>AD50</f>
        <v>129706.66666666666</v>
      </c>
    </row>
    <row r="91" spans="1:30" x14ac:dyDescent="0.25">
      <c r="P91" s="1" t="str">
        <f t="shared" si="180"/>
        <v xml:space="preserve"> PA</v>
      </c>
      <c r="Q91" s="78">
        <f>AA62</f>
        <v>168588.62616723997</v>
      </c>
      <c r="R91" s="78">
        <f>AB62</f>
        <v>126715.07109837429</v>
      </c>
      <c r="S91" s="78">
        <f>AC62</f>
        <v>84884.475909921748</v>
      </c>
      <c r="T91" s="78">
        <f>AD62</f>
        <v>63801.115440634137</v>
      </c>
    </row>
    <row r="92" spans="1:30" x14ac:dyDescent="0.25">
      <c r="A92" s="175" t="s">
        <v>579</v>
      </c>
      <c r="B92" s="175"/>
      <c r="C92" s="175"/>
      <c r="D92" s="175"/>
      <c r="E92" s="175"/>
      <c r="F92" s="175"/>
      <c r="G92" s="175"/>
      <c r="H92" s="175"/>
    </row>
    <row r="93" spans="1:30" x14ac:dyDescent="0.25">
      <c r="B93" s="74">
        <f>AE2</f>
        <v>384</v>
      </c>
      <c r="C93" s="74"/>
      <c r="D93" s="74"/>
      <c r="E93" s="74"/>
      <c r="F93" s="74">
        <f>AF2</f>
        <v>512</v>
      </c>
      <c r="G93" s="74">
        <f>AG2</f>
        <v>768</v>
      </c>
      <c r="H93" s="74">
        <f>AH2</f>
        <v>1024</v>
      </c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</row>
    <row r="94" spans="1:30" x14ac:dyDescent="0.25">
      <c r="A94" t="str">
        <f>$A$15</f>
        <v>BB Precoding</v>
      </c>
      <c r="B94" s="78">
        <f>AE15</f>
        <v>0</v>
      </c>
      <c r="C94" s="78"/>
      <c r="D94" s="78"/>
      <c r="E94" s="78"/>
      <c r="F94" s="78">
        <f>AF15</f>
        <v>0</v>
      </c>
      <c r="G94" s="78">
        <f>AG15</f>
        <v>0</v>
      </c>
      <c r="H94" s="78">
        <f>AH15</f>
        <v>0</v>
      </c>
      <c r="J94" t="str">
        <f t="shared" ref="J94:J101" si="193">J72</f>
        <v>BB Precoding</v>
      </c>
    </row>
    <row r="95" spans="1:30" x14ac:dyDescent="0.25">
      <c r="A95" t="str">
        <f>$A$18</f>
        <v>SERDES</v>
      </c>
      <c r="B95" s="78">
        <f>AE18</f>
        <v>0</v>
      </c>
      <c r="C95" s="78"/>
      <c r="D95" s="78"/>
      <c r="E95" s="78"/>
      <c r="F95" s="78">
        <f t="shared" ref="F95:H95" si="194">AF18</f>
        <v>0</v>
      </c>
      <c r="G95" s="78">
        <f t="shared" si="194"/>
        <v>0</v>
      </c>
      <c r="H95" s="78">
        <f t="shared" si="194"/>
        <v>0</v>
      </c>
      <c r="J95" t="str">
        <f t="shared" si="193"/>
        <v>SERDES</v>
      </c>
    </row>
    <row r="96" spans="1:30" x14ac:dyDescent="0.25">
      <c r="A96" t="str">
        <f>$A$23</f>
        <v>DAC</v>
      </c>
      <c r="B96" s="78">
        <f>AE23</f>
        <v>143.02595315783617</v>
      </c>
      <c r="C96" s="78"/>
      <c r="D96" s="78"/>
      <c r="E96" s="78"/>
      <c r="F96" s="78">
        <f t="shared" ref="F96:H96" si="195">AF23</f>
        <v>143.01653867954047</v>
      </c>
      <c r="G96" s="78">
        <f t="shared" si="195"/>
        <v>143.18433463718165</v>
      </c>
      <c r="H96" s="78">
        <f t="shared" si="195"/>
        <v>143.17490894995291</v>
      </c>
      <c r="J96" t="str">
        <f t="shared" si="193"/>
        <v>DAC</v>
      </c>
    </row>
    <row r="97" spans="1:10" x14ac:dyDescent="0.25">
      <c r="A97" t="str">
        <f>$A$25</f>
        <v>Mixer</v>
      </c>
      <c r="B97" s="78">
        <f>AE25</f>
        <v>10</v>
      </c>
      <c r="C97" s="78"/>
      <c r="D97" s="78"/>
      <c r="E97" s="78"/>
      <c r="F97" s="78">
        <f t="shared" ref="F97:H97" si="196">AF25</f>
        <v>10</v>
      </c>
      <c r="G97" s="78">
        <f t="shared" si="196"/>
        <v>10</v>
      </c>
      <c r="H97" s="78">
        <f t="shared" si="196"/>
        <v>10</v>
      </c>
      <c r="J97" t="str">
        <f t="shared" si="193"/>
        <v>Mixer</v>
      </c>
    </row>
    <row r="98" spans="1:10" x14ac:dyDescent="0.25">
      <c r="A98" t="str">
        <f>$A$30</f>
        <v>VCO</v>
      </c>
      <c r="B98" s="78">
        <f>AE30</f>
        <v>60</v>
      </c>
      <c r="C98" s="78"/>
      <c r="D98" s="78"/>
      <c r="E98" s="78"/>
      <c r="F98" s="78">
        <f t="shared" ref="F98:H98" si="197">AF30</f>
        <v>60</v>
      </c>
      <c r="G98" s="78">
        <f t="shared" si="197"/>
        <v>60</v>
      </c>
      <c r="H98" s="78">
        <f t="shared" si="197"/>
        <v>60</v>
      </c>
      <c r="J98" t="str">
        <f t="shared" si="193"/>
        <v>VCO</v>
      </c>
    </row>
    <row r="99" spans="1:10" x14ac:dyDescent="0.25">
      <c r="A99" t="str">
        <f>$A$43</f>
        <v>PS</v>
      </c>
      <c r="B99" s="78">
        <f>AE43</f>
        <v>3840</v>
      </c>
      <c r="C99" s="78"/>
      <c r="D99" s="78"/>
      <c r="E99" s="78"/>
      <c r="F99" s="78">
        <f t="shared" ref="F99:H99" si="198">AF43</f>
        <v>5120</v>
      </c>
      <c r="G99" s="78">
        <f t="shared" si="198"/>
        <v>7680</v>
      </c>
      <c r="H99" s="78">
        <f t="shared" si="198"/>
        <v>10240</v>
      </c>
      <c r="J99" t="str">
        <f t="shared" si="193"/>
        <v>PS</v>
      </c>
    </row>
    <row r="100" spans="1:10" x14ac:dyDescent="0.25">
      <c r="A100" t="str">
        <f>$A$50</f>
        <v>RF Amp</v>
      </c>
      <c r="B100" s="78">
        <f>AE50</f>
        <v>25600</v>
      </c>
      <c r="C100" s="78"/>
      <c r="D100" s="78"/>
      <c r="E100" s="78"/>
      <c r="F100" s="78">
        <f t="shared" ref="F100:H100" si="199">AF50</f>
        <v>34133.333333333328</v>
      </c>
      <c r="G100" s="78">
        <f t="shared" si="199"/>
        <v>51200</v>
      </c>
      <c r="H100" s="78">
        <f t="shared" si="199"/>
        <v>68266.666666666657</v>
      </c>
      <c r="J100" t="str">
        <f t="shared" si="193"/>
        <v>RF Amp</v>
      </c>
    </row>
    <row r="101" spans="1:10" x14ac:dyDescent="0.25">
      <c r="A101" t="str">
        <f>$A$62</f>
        <v xml:space="preserve"> PA</v>
      </c>
      <c r="B101" s="78">
        <f>AE62</f>
        <v>68364.126890332467</v>
      </c>
      <c r="C101" s="78"/>
      <c r="D101" s="78"/>
      <c r="E101" s="78"/>
      <c r="F101" s="78">
        <f t="shared" ref="F101:H101" si="200">AF62</f>
        <v>51265.86288112952</v>
      </c>
      <c r="G101" s="78">
        <f t="shared" si="200"/>
        <v>34263.227635509582</v>
      </c>
      <c r="H101" s="78">
        <f t="shared" si="200"/>
        <v>25693.795996908393</v>
      </c>
      <c r="J101" t="str">
        <f t="shared" si="193"/>
        <v xml:space="preserve"> PA</v>
      </c>
    </row>
  </sheetData>
  <mergeCells count="7">
    <mergeCell ref="A92:H92"/>
    <mergeCell ref="P70:T70"/>
    <mergeCell ref="A70:H70"/>
    <mergeCell ref="J70:N70"/>
    <mergeCell ref="J81:N81"/>
    <mergeCell ref="A81:H81"/>
    <mergeCell ref="P82:T82"/>
  </mergeCells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workbookViewId="0">
      <selection activeCell="D24" sqref="D24"/>
    </sheetView>
  </sheetViews>
  <sheetFormatPr defaultRowHeight="15" x14ac:dyDescent="0.25"/>
  <cols>
    <col min="1" max="1" width="19.85546875" customWidth="1"/>
    <col min="2" max="2" width="17.140625" customWidth="1"/>
    <col min="3" max="3" width="15" customWidth="1"/>
    <col min="4" max="4" width="17.5703125" customWidth="1"/>
    <col min="5" max="5" width="14.5703125" customWidth="1"/>
    <col min="6" max="6" width="13.5703125" customWidth="1"/>
    <col min="7" max="7" width="15.42578125" customWidth="1"/>
    <col min="8" max="8" width="12" customWidth="1"/>
    <col min="9" max="9" width="16.140625" customWidth="1"/>
  </cols>
  <sheetData>
    <row r="1" spans="1:9" x14ac:dyDescent="0.25">
      <c r="A1" s="7" t="s">
        <v>215</v>
      </c>
      <c r="B1" s="5" t="s">
        <v>246</v>
      </c>
      <c r="C1" s="5" t="s">
        <v>247</v>
      </c>
      <c r="D1" s="15" t="s">
        <v>248</v>
      </c>
      <c r="E1" s="15" t="s">
        <v>249</v>
      </c>
      <c r="F1" s="15" t="s">
        <v>250</v>
      </c>
      <c r="G1" s="15" t="s">
        <v>251</v>
      </c>
      <c r="H1" s="15" t="s">
        <v>256</v>
      </c>
      <c r="I1" s="18" t="s">
        <v>257</v>
      </c>
    </row>
    <row r="2" spans="1:9" x14ac:dyDescent="0.25">
      <c r="A2" s="7" t="s">
        <v>218</v>
      </c>
      <c r="B2" s="19">
        <v>28</v>
      </c>
      <c r="C2" s="19">
        <v>28</v>
      </c>
      <c r="D2" s="20">
        <v>28</v>
      </c>
      <c r="E2" s="20">
        <v>28</v>
      </c>
      <c r="F2" s="20">
        <v>28</v>
      </c>
      <c r="G2" s="20">
        <v>28</v>
      </c>
      <c r="H2" s="20">
        <v>28</v>
      </c>
      <c r="I2" s="21">
        <v>28</v>
      </c>
    </row>
    <row r="3" spans="1:9" ht="30" x14ac:dyDescent="0.25">
      <c r="A3" s="7" t="s">
        <v>217</v>
      </c>
      <c r="B3" s="5" t="s">
        <v>243</v>
      </c>
      <c r="C3" s="19" t="s">
        <v>240</v>
      </c>
      <c r="D3" s="16" t="s">
        <v>243</v>
      </c>
      <c r="E3" s="20" t="s">
        <v>240</v>
      </c>
      <c r="F3" s="20" t="s">
        <v>253</v>
      </c>
      <c r="G3" s="16" t="s">
        <v>243</v>
      </c>
      <c r="H3" s="20" t="s">
        <v>240</v>
      </c>
      <c r="I3" s="21" t="s">
        <v>253</v>
      </c>
    </row>
    <row r="4" spans="1:9" ht="21" customHeight="1" x14ac:dyDescent="0.25">
      <c r="A4" s="7" t="s">
        <v>216</v>
      </c>
      <c r="B4" s="5" t="s">
        <v>237</v>
      </c>
      <c r="C4" s="19" t="s">
        <v>237</v>
      </c>
      <c r="D4" s="16" t="s">
        <v>239</v>
      </c>
      <c r="E4" s="20" t="s">
        <v>239</v>
      </c>
      <c r="F4" s="20" t="s">
        <v>239</v>
      </c>
      <c r="G4" s="16" t="s">
        <v>239</v>
      </c>
      <c r="H4" s="20" t="s">
        <v>239</v>
      </c>
      <c r="I4" s="21" t="s">
        <v>239</v>
      </c>
    </row>
    <row r="5" spans="1:9" x14ac:dyDescent="0.25">
      <c r="A5" s="7" t="s">
        <v>220</v>
      </c>
      <c r="B5" s="19">
        <v>35</v>
      </c>
      <c r="C5" s="19">
        <v>35</v>
      </c>
      <c r="D5" s="20">
        <v>45</v>
      </c>
      <c r="E5" s="20">
        <v>45</v>
      </c>
      <c r="F5" s="20">
        <v>45</v>
      </c>
      <c r="G5" s="20">
        <v>45</v>
      </c>
      <c r="H5" s="20">
        <v>45</v>
      </c>
      <c r="I5" s="21">
        <v>45</v>
      </c>
    </row>
    <row r="6" spans="1:9" x14ac:dyDescent="0.25">
      <c r="A6" s="7" t="s">
        <v>222</v>
      </c>
      <c r="B6" s="22">
        <v>16</v>
      </c>
      <c r="C6" s="22">
        <v>16</v>
      </c>
      <c r="D6" s="23">
        <v>256</v>
      </c>
      <c r="E6" s="23">
        <v>256</v>
      </c>
      <c r="F6" s="23">
        <v>256</v>
      </c>
      <c r="G6" s="23">
        <v>256</v>
      </c>
      <c r="H6" s="23">
        <v>256</v>
      </c>
      <c r="I6" s="24">
        <v>256</v>
      </c>
    </row>
    <row r="7" spans="1:9" x14ac:dyDescent="0.25">
      <c r="A7" s="7" t="s">
        <v>223</v>
      </c>
      <c r="B7" s="19">
        <f t="shared" ref="B7:I7" si="0">10*LOG10(B6)+3</f>
        <v>15.041199826559248</v>
      </c>
      <c r="C7" s="19">
        <f t="shared" si="0"/>
        <v>15.041199826559248</v>
      </c>
      <c r="D7" s="20">
        <f t="shared" si="0"/>
        <v>27.082399653118497</v>
      </c>
      <c r="E7" s="20">
        <f t="shared" si="0"/>
        <v>27.082399653118497</v>
      </c>
      <c r="F7" s="20">
        <f t="shared" si="0"/>
        <v>27.082399653118497</v>
      </c>
      <c r="G7" s="20">
        <f t="shared" si="0"/>
        <v>27.082399653118497</v>
      </c>
      <c r="H7" s="20">
        <f t="shared" si="0"/>
        <v>27.082399653118497</v>
      </c>
      <c r="I7" s="21">
        <f t="shared" si="0"/>
        <v>27.082399653118497</v>
      </c>
    </row>
    <row r="8" spans="1:9" x14ac:dyDescent="0.25">
      <c r="A8" s="7" t="s">
        <v>228</v>
      </c>
      <c r="B8" s="19">
        <f t="shared" ref="B8:I8" si="1">B5+B7</f>
        <v>50.04119982655925</v>
      </c>
      <c r="C8" s="19">
        <f t="shared" si="1"/>
        <v>50.04119982655925</v>
      </c>
      <c r="D8" s="20">
        <f t="shared" si="1"/>
        <v>72.0823996531185</v>
      </c>
      <c r="E8" s="20">
        <f t="shared" si="1"/>
        <v>72.0823996531185</v>
      </c>
      <c r="F8" s="20">
        <f t="shared" si="1"/>
        <v>72.0823996531185</v>
      </c>
      <c r="G8" s="20">
        <f t="shared" si="1"/>
        <v>72.0823996531185</v>
      </c>
      <c r="H8" s="20">
        <f t="shared" si="1"/>
        <v>72.0823996531185</v>
      </c>
      <c r="I8" s="21">
        <f t="shared" si="1"/>
        <v>72.0823996531185</v>
      </c>
    </row>
    <row r="9" spans="1:9" x14ac:dyDescent="0.25">
      <c r="A9" s="7" t="s">
        <v>221</v>
      </c>
      <c r="B9" s="19">
        <v>100</v>
      </c>
      <c r="C9" s="19">
        <v>100</v>
      </c>
      <c r="D9" s="20">
        <v>100</v>
      </c>
      <c r="E9" s="20">
        <v>100</v>
      </c>
      <c r="F9" s="20">
        <v>100</v>
      </c>
      <c r="G9" s="20">
        <v>200</v>
      </c>
      <c r="H9" s="20">
        <v>200</v>
      </c>
      <c r="I9" s="21">
        <v>200</v>
      </c>
    </row>
    <row r="10" spans="1:9" ht="17.25" customHeight="1" x14ac:dyDescent="0.25">
      <c r="A10" s="7" t="s">
        <v>224</v>
      </c>
      <c r="B10" s="19">
        <v>2.1</v>
      </c>
      <c r="C10" s="19">
        <v>1.92</v>
      </c>
      <c r="D10" s="20">
        <v>3.53</v>
      </c>
      <c r="E10" s="20">
        <v>4.5</v>
      </c>
      <c r="F10" s="20">
        <v>10.73</v>
      </c>
      <c r="G10" s="20">
        <v>3.53</v>
      </c>
      <c r="H10" s="20">
        <v>4.5</v>
      </c>
      <c r="I10" s="21">
        <v>10.73</v>
      </c>
    </row>
    <row r="11" spans="1:9" x14ac:dyDescent="0.25">
      <c r="A11" s="7" t="s">
        <v>225</v>
      </c>
      <c r="B11" s="19">
        <f>32.4+10*B10*LOG10(B9)+20*LOG10(B2)</f>
        <v>103.34316062684439</v>
      </c>
      <c r="C11" s="19">
        <f>32.9+10*C10*LOG10(C9)+20.8*LOG10(C2)</f>
        <v>101.40088705191816</v>
      </c>
      <c r="D11" s="20">
        <f>22.4+10*D10*LOG10(D9)+21.3*LOG10(D2)</f>
        <v>123.82446606758927</v>
      </c>
      <c r="E11" s="20">
        <f>31+10*E10*LOG10(E9)+20*LOG10(E2)</f>
        <v>149.94316062684439</v>
      </c>
      <c r="F11" s="20">
        <f>105+10*F10*LOG10(F9/80)</f>
        <v>115.39844439576446</v>
      </c>
      <c r="G11" s="20">
        <f>22.4+10*G10*LOG10(G9)+21.3*LOG10(G2)</f>
        <v>134.4508249145278</v>
      </c>
      <c r="H11" s="20">
        <f>31+10*H10*LOG10(H9)+20*LOG10(H2)</f>
        <v>163.48951043172355</v>
      </c>
      <c r="I11" s="21">
        <f>108+10*I10*LOG10(I9/80)</f>
        <v>150.69896293050965</v>
      </c>
    </row>
    <row r="12" spans="1:9" x14ac:dyDescent="0.25">
      <c r="A12" s="7" t="s">
        <v>231</v>
      </c>
      <c r="B12" s="19">
        <v>8</v>
      </c>
      <c r="C12" s="19">
        <v>4</v>
      </c>
      <c r="D12" s="20">
        <v>16.600000000000001</v>
      </c>
      <c r="E12" s="20">
        <v>16.600000000000001</v>
      </c>
      <c r="F12" s="20">
        <v>16.600000000000001</v>
      </c>
      <c r="G12" s="20">
        <v>16.600000000000001</v>
      </c>
      <c r="H12" s="20">
        <v>16.600000000000001</v>
      </c>
      <c r="I12" s="21">
        <v>16.600000000000001</v>
      </c>
    </row>
    <row r="13" spans="1:9" x14ac:dyDescent="0.25">
      <c r="A13" s="7" t="s">
        <v>229</v>
      </c>
      <c r="B13" s="19">
        <v>16</v>
      </c>
      <c r="C13" s="19">
        <v>16</v>
      </c>
      <c r="D13" s="20">
        <v>16</v>
      </c>
      <c r="E13" s="20">
        <v>16</v>
      </c>
      <c r="F13" s="20">
        <v>16</v>
      </c>
      <c r="G13" s="20">
        <v>16</v>
      </c>
      <c r="H13" s="20">
        <v>16</v>
      </c>
      <c r="I13" s="21">
        <v>16</v>
      </c>
    </row>
    <row r="14" spans="1:9" x14ac:dyDescent="0.25">
      <c r="A14" s="7" t="s">
        <v>230</v>
      </c>
      <c r="B14" s="19">
        <f>10*LOG10(B13)+3</f>
        <v>15.041199826559248</v>
      </c>
      <c r="C14" s="19">
        <f>10*LOG10(C13)+3</f>
        <v>15.041199826559248</v>
      </c>
      <c r="D14" s="20">
        <f t="shared" ref="D14" si="2">10*LOG10(D13)+3</f>
        <v>15.041199826559248</v>
      </c>
      <c r="E14" s="20">
        <f>10*LOG10(E13)+3</f>
        <v>15.041199826559248</v>
      </c>
      <c r="F14" s="20">
        <f>10*LOG10(F13)+3</f>
        <v>15.041199826559248</v>
      </c>
      <c r="G14" s="20">
        <f t="shared" ref="G14" si="3">10*LOG10(G13)+3</f>
        <v>15.041199826559248</v>
      </c>
      <c r="H14" s="20">
        <f>10*LOG10(H13)+3</f>
        <v>15.041199826559248</v>
      </c>
      <c r="I14" s="21">
        <f>10*LOG10(I13)+3</f>
        <v>15.041199826559248</v>
      </c>
    </row>
    <row r="15" spans="1:9" x14ac:dyDescent="0.25">
      <c r="A15" s="7" t="s">
        <v>234</v>
      </c>
      <c r="B15" s="19">
        <f t="shared" ref="B15:I15" si="4">B8-B11-B12+B14</f>
        <v>-46.260760973725894</v>
      </c>
      <c r="C15" s="19">
        <f t="shared" si="4"/>
        <v>-40.318487398799661</v>
      </c>
      <c r="D15" s="20">
        <f t="shared" si="4"/>
        <v>-53.300866587911514</v>
      </c>
      <c r="E15" s="20">
        <f t="shared" si="4"/>
        <v>-79.419561147166633</v>
      </c>
      <c r="F15" s="20">
        <f t="shared" si="4"/>
        <v>-44.874844916086708</v>
      </c>
      <c r="G15" s="20">
        <f t="shared" si="4"/>
        <v>-63.927225434850044</v>
      </c>
      <c r="H15" s="20">
        <f t="shared" si="4"/>
        <v>-92.965910952045789</v>
      </c>
      <c r="I15" s="21">
        <f t="shared" si="4"/>
        <v>-80.175363450831895</v>
      </c>
    </row>
    <row r="16" spans="1:9" x14ac:dyDescent="0.25">
      <c r="A16" s="7" t="s">
        <v>226</v>
      </c>
      <c r="B16" s="19">
        <v>1000</v>
      </c>
      <c r="C16" s="19">
        <v>1000</v>
      </c>
      <c r="D16" s="20">
        <v>1000</v>
      </c>
      <c r="E16" s="20">
        <v>1000</v>
      </c>
      <c r="F16" s="20">
        <v>1000</v>
      </c>
      <c r="G16" s="20">
        <v>1000</v>
      </c>
      <c r="H16" s="20">
        <v>1000</v>
      </c>
      <c r="I16" s="21">
        <v>1000</v>
      </c>
    </row>
    <row r="17" spans="1:9" ht="18.75" customHeight="1" x14ac:dyDescent="0.25">
      <c r="A17" s="7" t="s">
        <v>227</v>
      </c>
      <c r="B17" s="19">
        <v>-174</v>
      </c>
      <c r="C17" s="19">
        <v>-174</v>
      </c>
      <c r="D17" s="20">
        <v>-174</v>
      </c>
      <c r="E17" s="20">
        <v>-174</v>
      </c>
      <c r="F17" s="20">
        <v>-174</v>
      </c>
      <c r="G17" s="20">
        <v>-174</v>
      </c>
      <c r="H17" s="20">
        <v>-174</v>
      </c>
      <c r="I17" s="21">
        <v>-174</v>
      </c>
    </row>
    <row r="18" spans="1:9" x14ac:dyDescent="0.25">
      <c r="A18" s="7" t="s">
        <v>233</v>
      </c>
      <c r="B18" s="19">
        <v>10</v>
      </c>
      <c r="C18" s="19">
        <v>10</v>
      </c>
      <c r="D18" s="20">
        <v>10</v>
      </c>
      <c r="E18" s="20">
        <v>10</v>
      </c>
      <c r="F18" s="20">
        <v>10</v>
      </c>
      <c r="G18" s="20">
        <v>10</v>
      </c>
      <c r="H18" s="20">
        <v>10</v>
      </c>
      <c r="I18" s="21">
        <v>10</v>
      </c>
    </row>
    <row r="19" spans="1:9" ht="18" customHeight="1" x14ac:dyDescent="0.25">
      <c r="A19" s="7" t="s">
        <v>232</v>
      </c>
      <c r="B19" s="5">
        <f t="shared" ref="B19:I19" si="5">B17+60+10*LOG10(B16)+10</f>
        <v>-74</v>
      </c>
      <c r="C19" s="19">
        <f t="shared" si="5"/>
        <v>-74</v>
      </c>
      <c r="D19" s="16">
        <f t="shared" si="5"/>
        <v>-74</v>
      </c>
      <c r="E19" s="20">
        <f t="shared" si="5"/>
        <v>-74</v>
      </c>
      <c r="F19" s="20">
        <f t="shared" si="5"/>
        <v>-74</v>
      </c>
      <c r="G19" s="16">
        <f t="shared" si="5"/>
        <v>-74</v>
      </c>
      <c r="H19" s="20">
        <f t="shared" si="5"/>
        <v>-74</v>
      </c>
      <c r="I19" s="21">
        <f t="shared" si="5"/>
        <v>-74</v>
      </c>
    </row>
    <row r="20" spans="1:9" x14ac:dyDescent="0.25">
      <c r="A20" s="7" t="s">
        <v>235</v>
      </c>
      <c r="B20" s="19">
        <f t="shared" ref="B20:I20" si="6">B15-B19</f>
        <v>27.739239026274106</v>
      </c>
      <c r="C20" s="19">
        <f t="shared" si="6"/>
        <v>33.681512601200339</v>
      </c>
      <c r="D20" s="20">
        <f t="shared" si="6"/>
        <v>20.699133412088486</v>
      </c>
      <c r="E20" s="20">
        <f t="shared" si="6"/>
        <v>-5.4195611471666325</v>
      </c>
      <c r="F20" s="20">
        <f t="shared" si="6"/>
        <v>29.125155083913292</v>
      </c>
      <c r="G20" s="20">
        <f t="shared" si="6"/>
        <v>10.072774565149956</v>
      </c>
      <c r="H20" s="20">
        <f t="shared" si="6"/>
        <v>-18.965910952045789</v>
      </c>
      <c r="I20" s="21">
        <f t="shared" si="6"/>
        <v>-6.1753634508318953</v>
      </c>
    </row>
    <row r="21" spans="1:9" ht="30" x14ac:dyDescent="0.25">
      <c r="A21" s="7" t="s">
        <v>238</v>
      </c>
      <c r="B21" s="5">
        <v>5</v>
      </c>
      <c r="C21" s="19">
        <v>5</v>
      </c>
      <c r="D21" s="16">
        <v>5</v>
      </c>
      <c r="E21" s="20">
        <v>5</v>
      </c>
      <c r="F21" s="20">
        <v>5</v>
      </c>
      <c r="G21" s="16">
        <v>5</v>
      </c>
      <c r="H21" s="20">
        <v>5</v>
      </c>
      <c r="I21" s="21">
        <v>5</v>
      </c>
    </row>
    <row r="22" spans="1:9" ht="30" x14ac:dyDescent="0.25">
      <c r="A22" s="7" t="s">
        <v>258</v>
      </c>
      <c r="B22" s="19">
        <f>LOG(1+10^((B20-B21)/10),2)</f>
        <v>7.5614693833446092</v>
      </c>
      <c r="C22" s="19">
        <f t="shared" ref="C22:I22" si="7">LOG(1+10^((C20-C21)/10),2)</f>
        <v>9.5297453729279766</v>
      </c>
      <c r="D22" s="19">
        <f t="shared" si="7"/>
        <v>5.2534640411180824</v>
      </c>
      <c r="E22" s="19">
        <f t="shared" si="7"/>
        <v>0.12537500208770763</v>
      </c>
      <c r="F22" s="19">
        <f t="shared" si="7"/>
        <v>8.0197726011941217</v>
      </c>
      <c r="G22" s="19">
        <f t="shared" si="7"/>
        <v>2.075777097473396</v>
      </c>
      <c r="H22" s="19">
        <f t="shared" si="7"/>
        <v>5.7771494954607979E-3</v>
      </c>
      <c r="I22" s="19">
        <f t="shared" si="7"/>
        <v>0.1060659235165452</v>
      </c>
    </row>
    <row r="24" spans="1:9" ht="18" customHeight="1" x14ac:dyDescent="0.25">
      <c r="A24" s="14" t="s">
        <v>219</v>
      </c>
    </row>
    <row r="25" spans="1:9" x14ac:dyDescent="0.25">
      <c r="A25" s="2" t="s">
        <v>2</v>
      </c>
      <c r="B25" t="s">
        <v>242</v>
      </c>
    </row>
    <row r="26" spans="1:9" x14ac:dyDescent="0.25">
      <c r="A26" s="2" t="s">
        <v>4</v>
      </c>
      <c r="B26" t="s">
        <v>241</v>
      </c>
    </row>
    <row r="27" spans="1:9" x14ac:dyDescent="0.25">
      <c r="A27" s="2" t="s">
        <v>5</v>
      </c>
      <c r="B27" s="12" t="s">
        <v>254</v>
      </c>
    </row>
    <row r="28" spans="1:9" x14ac:dyDescent="0.25">
      <c r="A28" s="2" t="s">
        <v>6</v>
      </c>
      <c r="B28" t="s">
        <v>252</v>
      </c>
    </row>
    <row r="29" spans="1:9" x14ac:dyDescent="0.25">
      <c r="A29" s="7" t="s">
        <v>245</v>
      </c>
    </row>
    <row r="30" spans="1:9" x14ac:dyDescent="0.25">
      <c r="A30" s="2">
        <v>1</v>
      </c>
      <c r="B30" t="s">
        <v>244</v>
      </c>
    </row>
    <row r="31" spans="1:9" x14ac:dyDescent="0.25">
      <c r="A31" s="2">
        <v>2</v>
      </c>
      <c r="B31" t="s">
        <v>255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4"/>
  <sheetViews>
    <sheetView workbookViewId="0">
      <selection activeCell="D10" sqref="D10"/>
    </sheetView>
  </sheetViews>
  <sheetFormatPr defaultRowHeight="15" x14ac:dyDescent="0.25"/>
  <cols>
    <col min="1" max="1" width="28.28515625" customWidth="1"/>
    <col min="2" max="2" width="11.7109375" customWidth="1"/>
    <col min="3" max="4" width="12.28515625" customWidth="1"/>
    <col min="5" max="5" width="11" customWidth="1"/>
    <col min="6" max="6" width="10.85546875" customWidth="1"/>
  </cols>
  <sheetData>
    <row r="1" spans="1:7" x14ac:dyDescent="0.25">
      <c r="A1" s="14" t="s">
        <v>259</v>
      </c>
      <c r="B1" s="14" t="s">
        <v>326</v>
      </c>
      <c r="C1" s="2" t="s">
        <v>311</v>
      </c>
      <c r="D1" s="2" t="s">
        <v>246</v>
      </c>
      <c r="E1" s="2" t="s">
        <v>247</v>
      </c>
      <c r="F1" s="2" t="s">
        <v>248</v>
      </c>
      <c r="G1" s="2"/>
    </row>
    <row r="2" spans="1:7" x14ac:dyDescent="0.25">
      <c r="A2" s="14" t="s">
        <v>8</v>
      </c>
      <c r="B2" s="14" t="s">
        <v>330</v>
      </c>
      <c r="C2" s="29">
        <v>256</v>
      </c>
      <c r="D2" s="29">
        <v>192</v>
      </c>
      <c r="E2" s="29">
        <v>256</v>
      </c>
      <c r="F2" s="29">
        <v>256</v>
      </c>
      <c r="G2" s="2"/>
    </row>
    <row r="3" spans="1:7" x14ac:dyDescent="0.25">
      <c r="A3" s="14" t="s">
        <v>9</v>
      </c>
      <c r="B3" s="14" t="s">
        <v>330</v>
      </c>
      <c r="C3" s="29">
        <v>16</v>
      </c>
      <c r="D3" s="29">
        <v>16</v>
      </c>
      <c r="E3" s="29">
        <v>2</v>
      </c>
      <c r="F3" s="29">
        <v>1</v>
      </c>
      <c r="G3" s="2"/>
    </row>
    <row r="4" spans="1:7" x14ac:dyDescent="0.25">
      <c r="A4" s="14" t="s">
        <v>263</v>
      </c>
      <c r="B4" s="14" t="s">
        <v>330</v>
      </c>
      <c r="C4" s="29">
        <v>256</v>
      </c>
      <c r="D4" s="29">
        <v>192</v>
      </c>
      <c r="E4" s="29">
        <v>256</v>
      </c>
      <c r="F4" s="29">
        <v>256</v>
      </c>
    </row>
    <row r="5" spans="1:7" x14ac:dyDescent="0.25">
      <c r="A5" s="14" t="s">
        <v>331</v>
      </c>
      <c r="B5" s="14" t="s">
        <v>330</v>
      </c>
      <c r="C5" s="29">
        <f>C4*C3</f>
        <v>4096</v>
      </c>
      <c r="D5" s="29">
        <f t="shared" ref="D5:F5" si="0">D4*D3</f>
        <v>3072</v>
      </c>
      <c r="E5" s="29">
        <f t="shared" si="0"/>
        <v>512</v>
      </c>
      <c r="F5" s="29">
        <f t="shared" si="0"/>
        <v>256</v>
      </c>
      <c r="G5" s="2"/>
    </row>
    <row r="6" spans="1:7" x14ac:dyDescent="0.25">
      <c r="A6" s="14" t="s">
        <v>262</v>
      </c>
      <c r="B6" s="14" t="s">
        <v>330</v>
      </c>
      <c r="C6" s="29">
        <f>C3</f>
        <v>16</v>
      </c>
      <c r="D6" s="29">
        <f>D3*2</f>
        <v>32</v>
      </c>
      <c r="E6" s="29">
        <f t="shared" ref="E6:F6" si="1">E3*2</f>
        <v>4</v>
      </c>
      <c r="F6" s="29">
        <f t="shared" si="1"/>
        <v>2</v>
      </c>
    </row>
    <row r="7" spans="1:7" x14ac:dyDescent="0.25">
      <c r="A7" s="14" t="s">
        <v>260</v>
      </c>
      <c r="B7" s="14" t="s">
        <v>330</v>
      </c>
      <c r="C7" s="25">
        <v>1.6</v>
      </c>
      <c r="D7" s="25">
        <v>1.6</v>
      </c>
      <c r="E7" s="25">
        <v>1.6</v>
      </c>
      <c r="F7" s="25">
        <v>1.6</v>
      </c>
    </row>
    <row r="8" spans="1:7" x14ac:dyDescent="0.25">
      <c r="A8" s="14" t="s">
        <v>261</v>
      </c>
      <c r="B8" s="14" t="s">
        <v>330</v>
      </c>
      <c r="C8" s="29">
        <v>8</v>
      </c>
      <c r="D8" s="29">
        <v>8</v>
      </c>
      <c r="E8" s="29">
        <v>5</v>
      </c>
      <c r="F8" s="29">
        <v>8</v>
      </c>
    </row>
    <row r="9" spans="1:7" x14ac:dyDescent="0.25">
      <c r="A9" s="14" t="s">
        <v>268</v>
      </c>
      <c r="B9" s="14" t="s">
        <v>330</v>
      </c>
      <c r="C9" s="25">
        <v>0.8</v>
      </c>
      <c r="D9" s="25">
        <v>0.8</v>
      </c>
      <c r="E9" s="25">
        <v>0.8</v>
      </c>
      <c r="F9" s="25">
        <v>0.8</v>
      </c>
    </row>
    <row r="10" spans="1:7" x14ac:dyDescent="0.25">
      <c r="A10" s="14" t="s">
        <v>189</v>
      </c>
      <c r="B10" s="14" t="s">
        <v>327</v>
      </c>
      <c r="C10" s="25" t="s">
        <v>20</v>
      </c>
      <c r="D10" s="25">
        <f>D18*2^D8*D9</f>
        <v>16.384</v>
      </c>
      <c r="E10" s="25">
        <f t="shared" ref="E10:F10" si="2">E18*2^E8*E9</f>
        <v>2.048</v>
      </c>
      <c r="F10" s="25">
        <f t="shared" si="2"/>
        <v>16.384</v>
      </c>
    </row>
    <row r="11" spans="1:7" x14ac:dyDescent="0.25">
      <c r="A11" s="14" t="s">
        <v>264</v>
      </c>
      <c r="B11" s="14" t="s">
        <v>327</v>
      </c>
      <c r="C11" s="25" t="s">
        <v>20</v>
      </c>
      <c r="D11" s="25">
        <f>D10*D6</f>
        <v>524.28800000000001</v>
      </c>
      <c r="E11" s="25">
        <f t="shared" ref="E11:F11" si="3">E10*E6</f>
        <v>8.1920000000000002</v>
      </c>
      <c r="F11" s="25">
        <f t="shared" si="3"/>
        <v>32.768000000000001</v>
      </c>
    </row>
    <row r="12" spans="1:7" x14ac:dyDescent="0.25">
      <c r="A12" s="14" t="s">
        <v>265</v>
      </c>
      <c r="B12" s="14" t="s">
        <v>327</v>
      </c>
      <c r="C12" s="25" t="s">
        <v>20</v>
      </c>
      <c r="D12" s="25">
        <f>D20+D19</f>
        <v>15</v>
      </c>
      <c r="E12" s="25">
        <f t="shared" ref="E12:F12" si="4">E20+E19</f>
        <v>15</v>
      </c>
      <c r="F12" s="25">
        <f t="shared" si="4"/>
        <v>15</v>
      </c>
    </row>
    <row r="13" spans="1:7" x14ac:dyDescent="0.25">
      <c r="A13" s="14" t="s">
        <v>266</v>
      </c>
      <c r="B13" s="14" t="s">
        <v>327</v>
      </c>
      <c r="C13" s="25" t="s">
        <v>20</v>
      </c>
      <c r="D13" s="25">
        <f>D12*D5</f>
        <v>46080</v>
      </c>
      <c r="E13" s="25">
        <f t="shared" ref="E13:F13" si="5">E12*E5</f>
        <v>7680</v>
      </c>
      <c r="F13" s="25">
        <f t="shared" si="5"/>
        <v>3840</v>
      </c>
    </row>
    <row r="14" spans="1:7" x14ac:dyDescent="0.25">
      <c r="A14" s="14" t="s">
        <v>273</v>
      </c>
      <c r="B14" s="14" t="s">
        <v>328</v>
      </c>
      <c r="C14" s="25">
        <f>C21*C3</f>
        <v>2.4</v>
      </c>
      <c r="D14" s="25" t="s">
        <v>20</v>
      </c>
      <c r="E14" s="25" t="s">
        <v>20</v>
      </c>
      <c r="F14" s="25" t="s">
        <v>20</v>
      </c>
    </row>
    <row r="15" spans="1:7" x14ac:dyDescent="0.25">
      <c r="A15" s="14" t="s">
        <v>274</v>
      </c>
      <c r="B15" s="14" t="s">
        <v>328</v>
      </c>
      <c r="C15" s="25">
        <f>C24*C2</f>
        <v>19.200000000000003</v>
      </c>
      <c r="D15" s="25" t="s">
        <v>20</v>
      </c>
      <c r="E15" s="25" t="s">
        <v>20</v>
      </c>
      <c r="F15" s="25" t="s">
        <v>20</v>
      </c>
    </row>
    <row r="16" spans="1:7" x14ac:dyDescent="0.25">
      <c r="A16" s="14" t="s">
        <v>280</v>
      </c>
      <c r="B16" s="14" t="s">
        <v>330</v>
      </c>
      <c r="C16" s="29">
        <f>(C2-1)*C3</f>
        <v>4080</v>
      </c>
      <c r="D16" s="29">
        <f>(D2-1)*D3</f>
        <v>3056</v>
      </c>
      <c r="E16" s="29">
        <f>(E2-1)*E3</f>
        <v>510</v>
      </c>
      <c r="F16" s="29">
        <f>(F2-1)*F3</f>
        <v>255</v>
      </c>
    </row>
    <row r="17" spans="1:6" x14ac:dyDescent="0.25">
      <c r="A17" s="14" t="s">
        <v>279</v>
      </c>
      <c r="B17" s="14" t="s">
        <v>328</v>
      </c>
      <c r="C17" s="25">
        <f>C25*C16</f>
        <v>163.20000000000002</v>
      </c>
      <c r="D17" s="25" t="s">
        <v>20</v>
      </c>
      <c r="E17" s="25" t="s">
        <v>20</v>
      </c>
      <c r="F17" s="25" t="s">
        <v>20</v>
      </c>
    </row>
    <row r="18" spans="1:6" x14ac:dyDescent="0.25">
      <c r="A18" s="14" t="s">
        <v>267</v>
      </c>
      <c r="B18" s="40" t="s">
        <v>327</v>
      </c>
      <c r="C18" s="2" t="s">
        <v>20</v>
      </c>
      <c r="D18" s="2">
        <v>0.08</v>
      </c>
      <c r="E18" s="2">
        <v>0.08</v>
      </c>
      <c r="F18" s="2">
        <v>0.08</v>
      </c>
    </row>
    <row r="19" spans="1:6" x14ac:dyDescent="0.25">
      <c r="A19" s="14" t="s">
        <v>329</v>
      </c>
      <c r="B19" s="40" t="s">
        <v>327</v>
      </c>
      <c r="C19" s="2" t="s">
        <v>20</v>
      </c>
      <c r="D19" s="2">
        <v>10</v>
      </c>
      <c r="E19" s="2">
        <v>10</v>
      </c>
      <c r="F19" s="2">
        <v>10</v>
      </c>
    </row>
    <row r="20" spans="1:6" x14ac:dyDescent="0.25">
      <c r="A20" s="14" t="s">
        <v>314</v>
      </c>
      <c r="B20" s="40" t="s">
        <v>327</v>
      </c>
      <c r="C20" s="28" t="s">
        <v>20</v>
      </c>
      <c r="D20" s="28">
        <v>5</v>
      </c>
      <c r="E20" s="28">
        <v>5</v>
      </c>
      <c r="F20" s="28">
        <v>5</v>
      </c>
    </row>
    <row r="21" spans="1:6" x14ac:dyDescent="0.25">
      <c r="A21" s="26" t="s">
        <v>272</v>
      </c>
      <c r="B21" s="40" t="s">
        <v>328</v>
      </c>
      <c r="C21" s="2">
        <v>0.15</v>
      </c>
      <c r="D21" s="25" t="s">
        <v>20</v>
      </c>
      <c r="E21" s="25" t="s">
        <v>20</v>
      </c>
      <c r="F21" s="25" t="s">
        <v>20</v>
      </c>
    </row>
    <row r="22" spans="1:6" x14ac:dyDescent="0.25">
      <c r="A22" s="27" t="s">
        <v>275</v>
      </c>
      <c r="B22" s="40" t="s">
        <v>328</v>
      </c>
      <c r="C22" s="2">
        <v>0.05</v>
      </c>
      <c r="D22" s="25" t="s">
        <v>20</v>
      </c>
      <c r="E22" s="25" t="s">
        <v>20</v>
      </c>
      <c r="F22" s="25" t="s">
        <v>20</v>
      </c>
    </row>
    <row r="23" spans="1:6" x14ac:dyDescent="0.25">
      <c r="A23" s="14" t="s">
        <v>276</v>
      </c>
      <c r="B23" s="40" t="s">
        <v>328</v>
      </c>
      <c r="C23" s="28">
        <v>2.5000000000000001E-2</v>
      </c>
      <c r="D23" s="25" t="s">
        <v>20</v>
      </c>
      <c r="E23" s="25" t="s">
        <v>20</v>
      </c>
      <c r="F23" s="25" t="s">
        <v>20</v>
      </c>
    </row>
    <row r="24" spans="1:6" x14ac:dyDescent="0.25">
      <c r="A24" s="27" t="s">
        <v>277</v>
      </c>
      <c r="B24" s="40" t="s">
        <v>328</v>
      </c>
      <c r="C24" s="2">
        <f>C22+C23</f>
        <v>7.5000000000000011E-2</v>
      </c>
      <c r="D24" s="25" t="s">
        <v>20</v>
      </c>
      <c r="E24" s="25" t="s">
        <v>20</v>
      </c>
      <c r="F24" s="25" t="s">
        <v>20</v>
      </c>
    </row>
    <row r="25" spans="1:6" x14ac:dyDescent="0.25">
      <c r="A25" s="27" t="s">
        <v>278</v>
      </c>
      <c r="B25" s="40" t="s">
        <v>328</v>
      </c>
      <c r="C25" s="2">
        <v>0.04</v>
      </c>
      <c r="D25" s="25" t="s">
        <v>20</v>
      </c>
      <c r="E25" s="25" t="s">
        <v>20</v>
      </c>
      <c r="F25" s="25" t="s">
        <v>20</v>
      </c>
    </row>
    <row r="26" spans="1:6" x14ac:dyDescent="0.25">
      <c r="A26" s="14" t="s">
        <v>332</v>
      </c>
      <c r="B26" s="14" t="s">
        <v>328</v>
      </c>
      <c r="C26" s="43">
        <f>C25</f>
        <v>0.04</v>
      </c>
      <c r="D26" s="25" t="s">
        <v>20</v>
      </c>
      <c r="E26" s="25" t="s">
        <v>20</v>
      </c>
      <c r="F26" s="25" t="s">
        <v>20</v>
      </c>
    </row>
    <row r="27" spans="1:6" x14ac:dyDescent="0.25">
      <c r="A27" s="14" t="s">
        <v>334</v>
      </c>
      <c r="B27" s="14" t="s">
        <v>328</v>
      </c>
      <c r="C27" s="25">
        <f>C26*C28</f>
        <v>153.6</v>
      </c>
      <c r="D27" s="25" t="s">
        <v>20</v>
      </c>
      <c r="E27" s="25" t="s">
        <v>20</v>
      </c>
      <c r="F27" s="25" t="s">
        <v>20</v>
      </c>
    </row>
    <row r="28" spans="1:6" x14ac:dyDescent="0.25">
      <c r="A28" s="14" t="s">
        <v>333</v>
      </c>
      <c r="B28" s="14" t="s">
        <v>330</v>
      </c>
      <c r="C28" s="25">
        <f>(C3-1)*C2</f>
        <v>3840</v>
      </c>
      <c r="D28" s="25">
        <f>Table58[[#This Row],[HW]]</f>
        <v>3840</v>
      </c>
      <c r="E28" s="25">
        <f>Table58[[#This Row],[HW]]</f>
        <v>3840</v>
      </c>
      <c r="F28" s="25">
        <f>Table58[[#This Row],[HW]]</f>
        <v>3840</v>
      </c>
    </row>
    <row r="29" spans="1:6" x14ac:dyDescent="0.25">
      <c r="A29" s="36" t="s">
        <v>317</v>
      </c>
      <c r="B29" s="14" t="s">
        <v>327</v>
      </c>
      <c r="C29" s="25" t="s">
        <v>20</v>
      </c>
      <c r="D29" s="25">
        <v>100</v>
      </c>
      <c r="E29" s="25">
        <v>100</v>
      </c>
      <c r="F29" s="25">
        <v>100</v>
      </c>
    </row>
    <row r="30" spans="1:6" x14ac:dyDescent="0.25">
      <c r="A30" s="36" t="s">
        <v>318</v>
      </c>
      <c r="B30" s="33" t="s">
        <v>328</v>
      </c>
      <c r="C30" s="25">
        <v>0.25</v>
      </c>
      <c r="D30" s="37" t="s">
        <v>20</v>
      </c>
      <c r="E30" s="37" t="s">
        <v>20</v>
      </c>
      <c r="F30" s="37" t="s">
        <v>20</v>
      </c>
    </row>
    <row r="31" spans="1:6" x14ac:dyDescent="0.25">
      <c r="A31" s="36" t="s">
        <v>319</v>
      </c>
      <c r="B31" s="14" t="s">
        <v>327</v>
      </c>
      <c r="C31" s="25" t="s">
        <v>20</v>
      </c>
      <c r="D31" s="25">
        <v>100</v>
      </c>
      <c r="E31" s="25">
        <f>D31</f>
        <v>100</v>
      </c>
      <c r="F31" s="25">
        <f>D31</f>
        <v>100</v>
      </c>
    </row>
    <row r="32" spans="1:6" x14ac:dyDescent="0.25">
      <c r="A32" s="36" t="s">
        <v>320</v>
      </c>
      <c r="B32" s="14" t="s">
        <v>327</v>
      </c>
      <c r="C32" s="25" t="s">
        <v>20</v>
      </c>
      <c r="D32" s="25">
        <v>0.3</v>
      </c>
      <c r="E32" s="25">
        <v>0.3</v>
      </c>
      <c r="F32" s="25">
        <v>0.3</v>
      </c>
    </row>
    <row r="33" spans="1:6" x14ac:dyDescent="0.25">
      <c r="A33" s="36" t="s">
        <v>321</v>
      </c>
      <c r="B33" s="14" t="s">
        <v>327</v>
      </c>
      <c r="C33" s="25" t="s">
        <v>20</v>
      </c>
      <c r="D33" s="25">
        <f>D31/D32</f>
        <v>333.33333333333337</v>
      </c>
      <c r="E33" s="25">
        <f t="shared" ref="E33:F33" si="6">E31/E32</f>
        <v>333.33333333333337</v>
      </c>
      <c r="F33" s="25">
        <f t="shared" si="6"/>
        <v>333.33333333333337</v>
      </c>
    </row>
    <row r="34" spans="1:6" x14ac:dyDescent="0.25">
      <c r="A34" s="36" t="s">
        <v>322</v>
      </c>
      <c r="B34" s="14" t="s">
        <v>327</v>
      </c>
      <c r="C34" s="25" t="s">
        <v>20</v>
      </c>
      <c r="D34" s="25">
        <f>D33*D2</f>
        <v>64000.000000000007</v>
      </c>
      <c r="E34" s="25">
        <f>E33*E2</f>
        <v>85333.333333333343</v>
      </c>
      <c r="F34" s="25">
        <f>F33*F2</f>
        <v>85333.333333333343</v>
      </c>
    </row>
    <row r="35" spans="1:6" x14ac:dyDescent="0.25">
      <c r="A35" s="26" t="s">
        <v>324</v>
      </c>
      <c r="B35" s="14" t="s">
        <v>327</v>
      </c>
      <c r="C35" s="25" t="s">
        <v>20</v>
      </c>
      <c r="D35" s="25">
        <f>D13+D11+D29</f>
        <v>46704.288</v>
      </c>
      <c r="E35" s="25">
        <f>E13+E11+E29</f>
        <v>7788.192</v>
      </c>
      <c r="F35" s="25">
        <f>F13+F11+F29</f>
        <v>3972.768</v>
      </c>
    </row>
    <row r="36" spans="1:6" x14ac:dyDescent="0.25">
      <c r="A36" s="26" t="s">
        <v>323</v>
      </c>
      <c r="B36" s="14" t="s">
        <v>327</v>
      </c>
      <c r="C36" s="25" t="s">
        <v>20</v>
      </c>
      <c r="D36" s="25">
        <f>D35+D34</f>
        <v>110704.288</v>
      </c>
      <c r="E36" s="25">
        <f t="shared" ref="E36:F36" si="7">E35+E34</f>
        <v>93121.525333333338</v>
      </c>
      <c r="F36" s="25">
        <f t="shared" si="7"/>
        <v>89306.101333333339</v>
      </c>
    </row>
    <row r="37" spans="1:6" x14ac:dyDescent="0.25">
      <c r="A37" s="26" t="s">
        <v>157</v>
      </c>
      <c r="B37" s="40" t="s">
        <v>328</v>
      </c>
      <c r="C37" s="31">
        <f>C15+C14+C17+C27</f>
        <v>338.4</v>
      </c>
      <c r="D37" s="31" t="s">
        <v>20</v>
      </c>
      <c r="E37" s="31" t="s">
        <v>20</v>
      </c>
      <c r="F37" s="32" t="s">
        <v>20</v>
      </c>
    </row>
    <row r="42" spans="1:6" x14ac:dyDescent="0.25">
      <c r="A42" s="14" t="s">
        <v>269</v>
      </c>
      <c r="B42" s="14"/>
    </row>
    <row r="43" spans="1:6" x14ac:dyDescent="0.25">
      <c r="A43" s="2">
        <v>1</v>
      </c>
      <c r="B43" s="2"/>
      <c r="C43" t="s">
        <v>270</v>
      </c>
    </row>
    <row r="44" spans="1:6" x14ac:dyDescent="0.25">
      <c r="A44" s="2">
        <v>2</v>
      </c>
      <c r="B44" s="2"/>
      <c r="C44" t="s">
        <v>271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workbookViewId="0">
      <selection activeCell="H18" sqref="H18"/>
    </sheetView>
  </sheetViews>
  <sheetFormatPr defaultRowHeight="15" x14ac:dyDescent="0.25"/>
  <cols>
    <col min="1" max="1" width="18.140625" customWidth="1"/>
    <col min="2" max="2" width="18.85546875" customWidth="1"/>
    <col min="3" max="3" width="19.85546875" customWidth="1"/>
    <col min="4" max="4" width="18.42578125" customWidth="1"/>
    <col min="7" max="7" width="6.42578125" customWidth="1"/>
  </cols>
  <sheetData>
    <row r="1" spans="1:4" x14ac:dyDescent="0.25">
      <c r="A1" s="7" t="s">
        <v>215</v>
      </c>
      <c r="B1" s="5" t="s">
        <v>246</v>
      </c>
      <c r="C1" s="15" t="s">
        <v>247</v>
      </c>
      <c r="D1" s="5" t="s">
        <v>248</v>
      </c>
    </row>
    <row r="2" spans="1:4" x14ac:dyDescent="0.25">
      <c r="A2" s="7" t="s">
        <v>218</v>
      </c>
      <c r="B2" s="19">
        <v>28</v>
      </c>
      <c r="C2" s="20">
        <v>28</v>
      </c>
      <c r="D2" s="19">
        <v>28</v>
      </c>
    </row>
    <row r="3" spans="1:4" x14ac:dyDescent="0.25">
      <c r="A3" s="7" t="s">
        <v>217</v>
      </c>
      <c r="B3" s="5" t="s">
        <v>445</v>
      </c>
      <c r="C3" s="16" t="s">
        <v>445</v>
      </c>
      <c r="D3" s="5" t="s">
        <v>445</v>
      </c>
    </row>
    <row r="4" spans="1:4" x14ac:dyDescent="0.25">
      <c r="A4" s="7" t="s">
        <v>216</v>
      </c>
      <c r="B4" s="5" t="s">
        <v>237</v>
      </c>
      <c r="C4" s="16" t="s">
        <v>239</v>
      </c>
      <c r="D4" s="5" t="s">
        <v>439</v>
      </c>
    </row>
    <row r="5" spans="1:4" x14ac:dyDescent="0.25">
      <c r="A5" s="7" t="s">
        <v>220</v>
      </c>
      <c r="B5" s="98">
        <v>46</v>
      </c>
      <c r="C5" s="99">
        <v>46</v>
      </c>
      <c r="D5" s="98">
        <v>46</v>
      </c>
    </row>
    <row r="6" spans="1:4" x14ac:dyDescent="0.25">
      <c r="A6" s="7" t="s">
        <v>222</v>
      </c>
      <c r="B6" s="98">
        <v>1</v>
      </c>
      <c r="C6" s="99">
        <v>1</v>
      </c>
      <c r="D6" s="98">
        <v>1</v>
      </c>
    </row>
    <row r="7" spans="1:4" x14ac:dyDescent="0.25">
      <c r="A7" s="7" t="s">
        <v>223</v>
      </c>
      <c r="B7" s="98">
        <f t="shared" ref="B7:C7" si="0">10*LOG10(B6)+3</f>
        <v>3</v>
      </c>
      <c r="C7" s="99">
        <f t="shared" si="0"/>
        <v>3</v>
      </c>
      <c r="D7" s="98">
        <f t="shared" ref="D7" si="1">10*LOG10(D6)+3</f>
        <v>3</v>
      </c>
    </row>
    <row r="8" spans="1:4" x14ac:dyDescent="0.25">
      <c r="A8" s="7" t="s">
        <v>228</v>
      </c>
      <c r="B8" s="98">
        <f t="shared" ref="B8:C8" si="2">B5+B7</f>
        <v>49</v>
      </c>
      <c r="C8" s="99">
        <f t="shared" si="2"/>
        <v>49</v>
      </c>
      <c r="D8" s="98">
        <f t="shared" ref="D8" si="3">D5+D7</f>
        <v>49</v>
      </c>
    </row>
    <row r="9" spans="1:4" x14ac:dyDescent="0.25">
      <c r="A9" s="7" t="s">
        <v>221</v>
      </c>
      <c r="B9" s="98">
        <v>100</v>
      </c>
      <c r="C9" s="99">
        <v>100</v>
      </c>
      <c r="D9" s="98">
        <v>707</v>
      </c>
    </row>
    <row r="10" spans="1:4" ht="30" x14ac:dyDescent="0.25">
      <c r="A10" s="7" t="s">
        <v>224</v>
      </c>
      <c r="B10" s="98">
        <v>2.1</v>
      </c>
      <c r="C10" s="99">
        <v>3.19</v>
      </c>
      <c r="D10" s="98">
        <v>2</v>
      </c>
    </row>
    <row r="11" spans="1:4" x14ac:dyDescent="0.25">
      <c r="A11" s="7" t="s">
        <v>225</v>
      </c>
      <c r="B11" s="98">
        <f>32.4+10*B10*LOG10(B9)+20*LOG10(B2)+1</f>
        <v>104.34316062684439</v>
      </c>
      <c r="C11" s="99">
        <f>32.4+10*C10*LOG10(C9)+20*LOG10(C2)</f>
        <v>125.14316062684438</v>
      </c>
      <c r="D11" s="98">
        <f>32.4+10*D10*LOG10(D9)+20*LOG10(D2)</f>
        <v>118.33154890278237</v>
      </c>
    </row>
    <row r="12" spans="1:4" x14ac:dyDescent="0.25">
      <c r="A12" s="7" t="s">
        <v>231</v>
      </c>
      <c r="B12" s="98">
        <f>12+7*B9/1000</f>
        <v>12.7</v>
      </c>
      <c r="C12" s="99">
        <f>8.2*3+7*C9/1000</f>
        <v>25.299999999999997</v>
      </c>
      <c r="D12" s="98">
        <f>12+7*D9/1000</f>
        <v>16.948999999999998</v>
      </c>
    </row>
    <row r="13" spans="1:4" x14ac:dyDescent="0.25">
      <c r="A13" s="7" t="s">
        <v>229</v>
      </c>
      <c r="B13" s="98">
        <v>8</v>
      </c>
      <c r="C13" s="99">
        <v>8</v>
      </c>
      <c r="D13" s="98">
        <v>256</v>
      </c>
    </row>
    <row r="14" spans="1:4" x14ac:dyDescent="0.25">
      <c r="A14" s="7" t="s">
        <v>230</v>
      </c>
      <c r="B14" s="98">
        <f>10*LOG10(B13)+3</f>
        <v>12.030899869919436</v>
      </c>
      <c r="C14" s="99">
        <f t="shared" ref="C14" si="4">10*LOG10(C13)+3</f>
        <v>12.030899869919436</v>
      </c>
      <c r="D14" s="98">
        <f>10*LOG10(D13)+3</f>
        <v>27.082399653118497</v>
      </c>
    </row>
    <row r="15" spans="1:4" x14ac:dyDescent="0.25">
      <c r="A15" s="7" t="s">
        <v>234</v>
      </c>
      <c r="B15" s="98">
        <f t="shared" ref="B15:C15" si="5">B8-B11-B12+B14</f>
        <v>-56.01226075692496</v>
      </c>
      <c r="C15" s="99">
        <f t="shared" si="5"/>
        <v>-89.412260756924937</v>
      </c>
      <c r="D15" s="98">
        <f t="shared" ref="D15" si="6">D8-D11-D12+D14</f>
        <v>-59.198149249663871</v>
      </c>
    </row>
    <row r="16" spans="1:4" x14ac:dyDescent="0.25">
      <c r="A16" s="7" t="s">
        <v>226</v>
      </c>
      <c r="B16" s="98">
        <v>850</v>
      </c>
      <c r="C16" s="99">
        <v>850</v>
      </c>
      <c r="D16" s="98">
        <v>850</v>
      </c>
    </row>
    <row r="17" spans="1:4" ht="30" x14ac:dyDescent="0.25">
      <c r="A17" s="7" t="s">
        <v>227</v>
      </c>
      <c r="B17" s="98">
        <v>-174</v>
      </c>
      <c r="C17" s="99">
        <v>-174</v>
      </c>
      <c r="D17" s="98">
        <v>-174</v>
      </c>
    </row>
    <row r="18" spans="1:4" x14ac:dyDescent="0.25">
      <c r="A18" s="7" t="s">
        <v>233</v>
      </c>
      <c r="B18" s="98">
        <v>10</v>
      </c>
      <c r="C18" s="99">
        <v>10</v>
      </c>
      <c r="D18" s="98">
        <v>10</v>
      </c>
    </row>
    <row r="19" spans="1:4" ht="30" x14ac:dyDescent="0.25">
      <c r="A19" s="7" t="s">
        <v>232</v>
      </c>
      <c r="B19" s="98">
        <f t="shared" ref="B19:C19" si="7">B17+60+10*LOG10(B16)+10</f>
        <v>-74.705810742857068</v>
      </c>
      <c r="C19" s="99">
        <f t="shared" si="7"/>
        <v>-74.705810742857068</v>
      </c>
      <c r="D19" s="98">
        <f t="shared" ref="D19" si="8">D17+60+10*LOG10(D16)+10</f>
        <v>-74.705810742857068</v>
      </c>
    </row>
    <row r="20" spans="1:4" x14ac:dyDescent="0.25">
      <c r="A20" s="7" t="s">
        <v>235</v>
      </c>
      <c r="B20" s="98">
        <f t="shared" ref="B20:C20" si="9">B15-B19</f>
        <v>18.693549985932108</v>
      </c>
      <c r="C20" s="99">
        <f t="shared" si="9"/>
        <v>-14.706450014067869</v>
      </c>
      <c r="D20" s="98">
        <f t="shared" ref="D20" si="10">D15-D19</f>
        <v>15.507661493193197</v>
      </c>
    </row>
    <row r="21" spans="1:4" x14ac:dyDescent="0.25">
      <c r="A21" s="7" t="s">
        <v>441</v>
      </c>
      <c r="B21" s="19">
        <v>22.1</v>
      </c>
      <c r="C21" s="100">
        <v>6.2</v>
      </c>
      <c r="D21" s="100">
        <v>35.5</v>
      </c>
    </row>
    <row r="22" spans="1:4" x14ac:dyDescent="0.25">
      <c r="A22" s="7" t="s">
        <v>442</v>
      </c>
      <c r="B22" s="19">
        <v>8</v>
      </c>
      <c r="C22" s="100">
        <v>2</v>
      </c>
      <c r="D22" s="100">
        <v>1</v>
      </c>
    </row>
    <row r="23" spans="1:4" x14ac:dyDescent="0.25">
      <c r="A23" s="7" t="s">
        <v>443</v>
      </c>
      <c r="B23" s="100">
        <f>B22*LOG(1+10^(B21/10),2)</f>
        <v>58.80263490049812</v>
      </c>
      <c r="C23" s="100">
        <f t="shared" ref="C23:D23" si="11">C22*LOG(1+10^(C21/10),2)</f>
        <v>4.7395994948226488</v>
      </c>
      <c r="D23" s="100">
        <f t="shared" si="11"/>
        <v>11.793251286270056</v>
      </c>
    </row>
    <row r="24" spans="1:4" x14ac:dyDescent="0.25">
      <c r="A24" s="7" t="s">
        <v>444</v>
      </c>
      <c r="B24" s="19">
        <f>B23*B16/1000</f>
        <v>49.982239665423407</v>
      </c>
      <c r="C24" s="19">
        <f t="shared" ref="C24:D24" si="12">C23*C16/1000</f>
        <v>4.0286595705992516</v>
      </c>
      <c r="D24" s="19">
        <f t="shared" si="12"/>
        <v>10.024263593329549</v>
      </c>
    </row>
    <row r="26" spans="1:4" x14ac:dyDescent="0.25">
      <c r="A26" t="s">
        <v>269</v>
      </c>
      <c r="B26" t="s">
        <v>440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"/>
  <sheetViews>
    <sheetView workbookViewId="0">
      <selection activeCell="H15" sqref="H15"/>
    </sheetView>
  </sheetViews>
  <sheetFormatPr defaultRowHeight="15" x14ac:dyDescent="0.25"/>
  <cols>
    <col min="1" max="1" width="21.7109375" customWidth="1"/>
    <col min="2" max="2" width="17" customWidth="1"/>
    <col min="3" max="3" width="14.5703125" customWidth="1"/>
    <col min="4" max="4" width="17.28515625" customWidth="1"/>
    <col min="5" max="5" width="15.5703125" customWidth="1"/>
    <col min="6" max="6" width="16.5703125" customWidth="1"/>
    <col min="7" max="7" width="18.5703125" customWidth="1"/>
    <col min="8" max="8" width="16.7109375" customWidth="1"/>
    <col min="9" max="9" width="59" customWidth="1"/>
  </cols>
  <sheetData>
    <row r="1" spans="1:9" x14ac:dyDescent="0.25">
      <c r="A1" s="7" t="s">
        <v>14</v>
      </c>
      <c r="B1" s="2" t="s">
        <v>299</v>
      </c>
      <c r="C1" s="5" t="s">
        <v>2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79</v>
      </c>
      <c r="I1" s="2"/>
    </row>
    <row r="2" spans="1:9" x14ac:dyDescent="0.25">
      <c r="A2" s="14" t="s">
        <v>291</v>
      </c>
      <c r="B2" s="5" t="s">
        <v>58</v>
      </c>
      <c r="C2" s="5" t="s">
        <v>16</v>
      </c>
      <c r="D2" s="5" t="s">
        <v>16</v>
      </c>
      <c r="E2" s="5" t="s">
        <v>16</v>
      </c>
      <c r="F2" s="5" t="s">
        <v>29</v>
      </c>
      <c r="G2" s="5" t="s">
        <v>29</v>
      </c>
      <c r="H2" s="5" t="s">
        <v>71</v>
      </c>
      <c r="I2" s="3"/>
    </row>
    <row r="3" spans="1:9" x14ac:dyDescent="0.25">
      <c r="A3" s="7" t="s">
        <v>292</v>
      </c>
      <c r="B3" s="5">
        <v>2017</v>
      </c>
      <c r="C3" s="5">
        <v>2014.02</v>
      </c>
      <c r="D3" s="5">
        <v>2016.04</v>
      </c>
      <c r="E3" s="5">
        <v>2014.09</v>
      </c>
      <c r="F3" s="5">
        <v>2014.12</v>
      </c>
      <c r="G3" s="5">
        <v>2015.09</v>
      </c>
      <c r="H3" s="5">
        <v>2017</v>
      </c>
      <c r="I3" s="2"/>
    </row>
    <row r="4" spans="1:9" x14ac:dyDescent="0.25">
      <c r="A4" s="7" t="s">
        <v>17</v>
      </c>
      <c r="B4" s="5" t="s">
        <v>20</v>
      </c>
      <c r="C4" s="5" t="s">
        <v>20</v>
      </c>
      <c r="D4" s="5" t="s">
        <v>18</v>
      </c>
      <c r="E4" s="5" t="s">
        <v>19</v>
      </c>
      <c r="F4" s="5" t="s">
        <v>27</v>
      </c>
      <c r="G4" s="5" t="s">
        <v>18</v>
      </c>
      <c r="H4" s="5" t="s">
        <v>20</v>
      </c>
      <c r="I4" s="2"/>
    </row>
    <row r="5" spans="1:9" x14ac:dyDescent="0.25">
      <c r="A5" s="7" t="s">
        <v>11</v>
      </c>
      <c r="B5" s="5" t="s">
        <v>300</v>
      </c>
      <c r="C5" s="5">
        <v>27.925000000000001</v>
      </c>
      <c r="D5" s="5">
        <v>27.925000000000001</v>
      </c>
      <c r="E5" s="5">
        <v>27.925000000000001</v>
      </c>
      <c r="F5" s="5">
        <v>73.5</v>
      </c>
      <c r="G5" s="5">
        <v>73.5</v>
      </c>
      <c r="H5" s="5">
        <v>28</v>
      </c>
    </row>
    <row r="6" spans="1:9" x14ac:dyDescent="0.25">
      <c r="A6" s="7" t="s">
        <v>289</v>
      </c>
      <c r="B6" s="5">
        <v>64</v>
      </c>
      <c r="C6" s="5">
        <v>64</v>
      </c>
      <c r="D6" s="5">
        <v>48</v>
      </c>
      <c r="E6" s="5" t="s">
        <v>20</v>
      </c>
      <c r="F6" s="5" t="s">
        <v>20</v>
      </c>
      <c r="G6" s="5" t="s">
        <v>20</v>
      </c>
      <c r="H6" s="5">
        <v>4</v>
      </c>
    </row>
    <row r="7" spans="1:9" x14ac:dyDescent="0.25">
      <c r="A7" s="7" t="s">
        <v>290</v>
      </c>
      <c r="B7" s="5">
        <v>16</v>
      </c>
      <c r="C7" s="5" t="s">
        <v>20</v>
      </c>
      <c r="D7" s="5" t="s">
        <v>20</v>
      </c>
      <c r="E7" s="5">
        <v>4</v>
      </c>
      <c r="F7" s="5">
        <v>16</v>
      </c>
      <c r="G7" s="5" t="s">
        <v>20</v>
      </c>
      <c r="H7" s="5">
        <v>4</v>
      </c>
      <c r="I7" s="2"/>
    </row>
    <row r="8" spans="1:9" x14ac:dyDescent="0.25">
      <c r="A8" s="7" t="s">
        <v>21</v>
      </c>
      <c r="B8" s="5" t="s">
        <v>301</v>
      </c>
      <c r="C8" s="5" t="s">
        <v>22</v>
      </c>
      <c r="D8" s="5" t="s">
        <v>26</v>
      </c>
      <c r="E8" s="5" t="s">
        <v>23</v>
      </c>
      <c r="F8" s="5" t="s">
        <v>28</v>
      </c>
      <c r="G8" s="5" t="s">
        <v>30</v>
      </c>
      <c r="H8" s="5" t="s">
        <v>303</v>
      </c>
    </row>
    <row r="9" spans="1:9" x14ac:dyDescent="0.25">
      <c r="A9" s="7" t="s">
        <v>10</v>
      </c>
      <c r="B9" s="5">
        <v>1</v>
      </c>
      <c r="C9" s="5">
        <v>8</v>
      </c>
      <c r="D9" s="5">
        <v>16</v>
      </c>
      <c r="E9" s="5">
        <v>4</v>
      </c>
      <c r="F9" s="5">
        <v>4</v>
      </c>
      <c r="G9" s="5" t="s">
        <v>20</v>
      </c>
      <c r="H9" s="5">
        <v>1</v>
      </c>
    </row>
    <row r="10" spans="1:9" ht="17.25" customHeight="1" x14ac:dyDescent="0.25">
      <c r="A10" s="7" t="s">
        <v>297</v>
      </c>
      <c r="B10" s="5">
        <v>50</v>
      </c>
      <c r="C10" s="5"/>
      <c r="D10" s="5"/>
      <c r="E10" s="5"/>
      <c r="F10" s="5"/>
      <c r="G10" s="5"/>
      <c r="H10" s="5"/>
    </row>
    <row r="11" spans="1:9" x14ac:dyDescent="0.25">
      <c r="A11" s="7" t="s">
        <v>220</v>
      </c>
      <c r="B11" s="5">
        <v>32</v>
      </c>
      <c r="C11" s="5">
        <v>31</v>
      </c>
      <c r="D11" s="5">
        <v>37</v>
      </c>
      <c r="E11" s="5">
        <v>23</v>
      </c>
      <c r="F11" s="5"/>
      <c r="G11" s="5">
        <v>23.6</v>
      </c>
      <c r="H11" s="5">
        <v>11</v>
      </c>
    </row>
    <row r="12" spans="1:9" x14ac:dyDescent="0.25">
      <c r="A12" s="7" t="s">
        <v>15</v>
      </c>
      <c r="B12" s="5" t="s">
        <v>20</v>
      </c>
      <c r="C12" s="5">
        <v>520</v>
      </c>
      <c r="D12" s="5">
        <v>800</v>
      </c>
      <c r="E12" s="5">
        <v>800</v>
      </c>
      <c r="F12" s="5">
        <v>1000</v>
      </c>
      <c r="G12" s="5">
        <v>1000</v>
      </c>
      <c r="H12" s="5" t="s">
        <v>20</v>
      </c>
    </row>
    <row r="13" spans="1:9" x14ac:dyDescent="0.25">
      <c r="A13" s="7" t="s">
        <v>293</v>
      </c>
      <c r="B13" s="5" t="s">
        <v>20</v>
      </c>
      <c r="C13" s="5" t="s">
        <v>294</v>
      </c>
      <c r="D13" s="5" t="s">
        <v>40</v>
      </c>
      <c r="E13" s="5" t="s">
        <v>40</v>
      </c>
      <c r="F13" s="5" t="s">
        <v>295</v>
      </c>
      <c r="G13" s="5" t="s">
        <v>295</v>
      </c>
      <c r="H13" s="5" t="s">
        <v>20</v>
      </c>
    </row>
    <row r="14" spans="1:9" x14ac:dyDescent="0.25">
      <c r="A14" s="7" t="s">
        <v>296</v>
      </c>
      <c r="B14" s="5" t="s">
        <v>20</v>
      </c>
      <c r="C14" s="5">
        <v>4096</v>
      </c>
      <c r="D14" s="5" t="s">
        <v>20</v>
      </c>
      <c r="E14" s="5" t="s">
        <v>20</v>
      </c>
      <c r="F14" s="5">
        <v>512</v>
      </c>
      <c r="G14" s="5" t="s">
        <v>20</v>
      </c>
      <c r="H14" s="5" t="s">
        <v>20</v>
      </c>
    </row>
    <row r="15" spans="1:9" x14ac:dyDescent="0.25">
      <c r="A15" s="7" t="s">
        <v>365</v>
      </c>
      <c r="B15" s="5"/>
      <c r="C15" s="5"/>
      <c r="D15" s="5"/>
      <c r="E15" s="5"/>
      <c r="F15" s="5"/>
      <c r="G15" s="5"/>
      <c r="H15" s="5" t="s">
        <v>127</v>
      </c>
    </row>
    <row r="16" spans="1:9" ht="111" customHeight="1" x14ac:dyDescent="0.25">
      <c r="A16" s="7" t="s">
        <v>302</v>
      </c>
      <c r="B16" s="5">
        <v>18000</v>
      </c>
      <c r="C16" s="5" t="s">
        <v>20</v>
      </c>
      <c r="D16" s="5" t="s">
        <v>20</v>
      </c>
      <c r="E16" s="5" t="s">
        <v>20</v>
      </c>
      <c r="F16" s="5" t="s">
        <v>20</v>
      </c>
      <c r="G16" s="5" t="s">
        <v>20</v>
      </c>
      <c r="H16" s="5" t="s">
        <v>54</v>
      </c>
    </row>
    <row r="17" spans="1:8" ht="105" x14ac:dyDescent="0.25">
      <c r="A17" s="7" t="s">
        <v>13</v>
      </c>
      <c r="B17" s="5" t="s">
        <v>298</v>
      </c>
      <c r="C17" s="30" t="s">
        <v>24</v>
      </c>
      <c r="D17" s="5" t="s">
        <v>25</v>
      </c>
      <c r="E17" s="5"/>
      <c r="F17" s="5" t="s">
        <v>310</v>
      </c>
      <c r="G17" s="5" t="s">
        <v>31</v>
      </c>
      <c r="H17" s="5" t="s">
        <v>304</v>
      </c>
    </row>
    <row r="23" spans="1:8" x14ac:dyDescent="0.25">
      <c r="A23" s="14" t="s">
        <v>3</v>
      </c>
      <c r="B23" s="2"/>
      <c r="C23" s="2"/>
      <c r="D23" s="2"/>
    </row>
    <row r="24" spans="1:8" x14ac:dyDescent="0.25">
      <c r="A24" s="2" t="s">
        <v>2</v>
      </c>
      <c r="B24" s="12" t="s">
        <v>305</v>
      </c>
      <c r="C24" s="2"/>
    </row>
    <row r="25" spans="1:8" x14ac:dyDescent="0.25">
      <c r="A25" s="2" t="s">
        <v>4</v>
      </c>
      <c r="B25" s="12" t="s">
        <v>306</v>
      </c>
      <c r="C25" s="2"/>
    </row>
    <row r="26" spans="1:8" x14ac:dyDescent="0.25">
      <c r="A26" s="2" t="s">
        <v>5</v>
      </c>
      <c r="B26" s="12" t="s">
        <v>307</v>
      </c>
      <c r="C26" s="2"/>
    </row>
    <row r="27" spans="1:8" x14ac:dyDescent="0.25">
      <c r="A27" s="2" t="s">
        <v>6</v>
      </c>
      <c r="B27" s="12" t="s">
        <v>308</v>
      </c>
      <c r="C27" s="2"/>
    </row>
    <row r="28" spans="1:8" x14ac:dyDescent="0.25">
      <c r="A28" s="2" t="s">
        <v>7</v>
      </c>
      <c r="B28" s="12" t="s">
        <v>309</v>
      </c>
      <c r="C28" s="2"/>
    </row>
    <row r="29" spans="1:8" x14ac:dyDescent="0.25">
      <c r="A29" s="2" t="s">
        <v>79</v>
      </c>
      <c r="B29" s="12" t="s">
        <v>137</v>
      </c>
    </row>
    <row r="34" spans="5:7" x14ac:dyDescent="0.25">
      <c r="E34" s="2"/>
      <c r="F34" s="2"/>
      <c r="G34" s="2"/>
    </row>
    <row r="35" spans="5:7" x14ac:dyDescent="0.25">
      <c r="E35" s="2"/>
      <c r="F35" s="2"/>
      <c r="G35" s="2"/>
    </row>
    <row r="36" spans="5:7" x14ac:dyDescent="0.25">
      <c r="E36" s="2"/>
      <c r="F36" s="2"/>
      <c r="G36" s="2"/>
    </row>
    <row r="37" spans="5:7" x14ac:dyDescent="0.25">
      <c r="E37" s="2"/>
      <c r="F37" s="2"/>
      <c r="G37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4"/>
  <sheetViews>
    <sheetView workbookViewId="0">
      <selection activeCell="J15" sqref="J15"/>
    </sheetView>
  </sheetViews>
  <sheetFormatPr defaultRowHeight="15" x14ac:dyDescent="0.25"/>
  <cols>
    <col min="1" max="1" width="20.42578125" customWidth="1"/>
    <col min="2" max="2" width="17.28515625" customWidth="1"/>
    <col min="3" max="3" width="17.5703125" customWidth="1"/>
    <col min="4" max="5" width="16.28515625" customWidth="1"/>
    <col min="6" max="6" width="13.85546875" customWidth="1"/>
    <col min="7" max="7" width="14" customWidth="1"/>
    <col min="8" max="8" width="13.5703125" customWidth="1"/>
  </cols>
  <sheetData>
    <row r="1" spans="1:8" ht="21" customHeight="1" x14ac:dyDescent="0.25">
      <c r="A1" s="7" t="s">
        <v>60</v>
      </c>
      <c r="B1" s="5" t="s">
        <v>347</v>
      </c>
      <c r="C1" s="5" t="s">
        <v>2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107</v>
      </c>
    </row>
    <row r="2" spans="1:8" ht="29.25" customHeight="1" x14ac:dyDescent="0.25">
      <c r="A2" s="7" t="s">
        <v>106</v>
      </c>
      <c r="B2" s="5" t="s">
        <v>346</v>
      </c>
      <c r="C2" s="5" t="s">
        <v>185</v>
      </c>
      <c r="D2" s="5" t="s">
        <v>193</v>
      </c>
      <c r="E2" s="5" t="s">
        <v>287</v>
      </c>
      <c r="F2" s="5" t="s">
        <v>203</v>
      </c>
      <c r="G2" s="5" t="s">
        <v>203</v>
      </c>
      <c r="H2" s="5"/>
    </row>
    <row r="3" spans="1:8" x14ac:dyDescent="0.25">
      <c r="A3" s="7" t="s">
        <v>288</v>
      </c>
      <c r="B3" s="5" t="s">
        <v>283</v>
      </c>
      <c r="C3" s="5" t="s">
        <v>186</v>
      </c>
      <c r="D3" s="5" t="s">
        <v>186</v>
      </c>
      <c r="E3" s="5" t="s">
        <v>283</v>
      </c>
      <c r="F3" s="5" t="s">
        <v>283</v>
      </c>
      <c r="G3" s="5" t="s">
        <v>283</v>
      </c>
      <c r="H3" s="5"/>
    </row>
    <row r="4" spans="1:8" ht="30" x14ac:dyDescent="0.25">
      <c r="A4" s="7" t="s">
        <v>191</v>
      </c>
      <c r="B4" s="5" t="s">
        <v>348</v>
      </c>
      <c r="C4" s="5" t="s">
        <v>192</v>
      </c>
      <c r="D4" s="5" t="s">
        <v>192</v>
      </c>
      <c r="E4" s="5" t="s">
        <v>209</v>
      </c>
      <c r="F4" s="5" t="s">
        <v>208</v>
      </c>
      <c r="G4" s="5" t="s">
        <v>208</v>
      </c>
      <c r="H4" s="17"/>
    </row>
    <row r="5" spans="1:8" x14ac:dyDescent="0.25">
      <c r="A5" s="7" t="s">
        <v>35</v>
      </c>
      <c r="B5" s="5">
        <v>2015</v>
      </c>
      <c r="C5" s="5">
        <v>2013</v>
      </c>
      <c r="D5" s="5">
        <v>2015</v>
      </c>
      <c r="E5" s="5">
        <v>2015</v>
      </c>
      <c r="F5" s="5">
        <v>2017</v>
      </c>
      <c r="G5" s="5">
        <v>2015</v>
      </c>
      <c r="H5" s="5"/>
    </row>
    <row r="6" spans="1:8" x14ac:dyDescent="0.25">
      <c r="A6" s="7" t="s">
        <v>196</v>
      </c>
      <c r="B6" s="5" t="s">
        <v>40</v>
      </c>
      <c r="C6" s="5" t="s">
        <v>197</v>
      </c>
      <c r="D6" s="5" t="s">
        <v>198</v>
      </c>
      <c r="E6" s="5" t="s">
        <v>40</v>
      </c>
      <c r="F6" s="5" t="s">
        <v>40</v>
      </c>
      <c r="G6" s="5" t="s">
        <v>40</v>
      </c>
      <c r="H6" s="17"/>
    </row>
    <row r="7" spans="1:8" x14ac:dyDescent="0.25">
      <c r="A7" s="7" t="s">
        <v>36</v>
      </c>
      <c r="B7" s="5" t="s">
        <v>62</v>
      </c>
      <c r="C7" s="5" t="s">
        <v>187</v>
      </c>
      <c r="D7" s="5" t="s">
        <v>49</v>
      </c>
      <c r="E7" s="5" t="s">
        <v>49</v>
      </c>
      <c r="F7" s="5" t="s">
        <v>206</v>
      </c>
      <c r="G7" s="5" t="s">
        <v>62</v>
      </c>
      <c r="H7" s="5"/>
    </row>
    <row r="8" spans="1:8" x14ac:dyDescent="0.25">
      <c r="A8" s="7" t="s">
        <v>236</v>
      </c>
      <c r="B8" s="5">
        <v>14</v>
      </c>
      <c r="C8" s="5"/>
      <c r="D8" s="5"/>
      <c r="E8" s="5">
        <v>16</v>
      </c>
      <c r="F8" s="5">
        <v>8</v>
      </c>
      <c r="G8" s="5">
        <v>8</v>
      </c>
      <c r="H8" s="17"/>
    </row>
    <row r="9" spans="1:8" x14ac:dyDescent="0.25">
      <c r="A9" s="7" t="s">
        <v>184</v>
      </c>
      <c r="B9" s="5">
        <v>10.7</v>
      </c>
      <c r="C9" s="5">
        <v>7</v>
      </c>
      <c r="D9" s="5">
        <v>8</v>
      </c>
      <c r="E9" s="5">
        <v>10</v>
      </c>
      <c r="F9" s="5">
        <v>6.3</v>
      </c>
      <c r="G9" s="5">
        <v>6</v>
      </c>
      <c r="H9" s="17"/>
    </row>
    <row r="10" spans="1:8" ht="15.75" customHeight="1" x14ac:dyDescent="0.25">
      <c r="A10" s="7" t="s">
        <v>194</v>
      </c>
      <c r="B10" s="5">
        <v>5.2</v>
      </c>
      <c r="C10" s="5">
        <v>3.52</v>
      </c>
      <c r="D10" s="5">
        <v>11</v>
      </c>
      <c r="E10" s="5">
        <v>1.75</v>
      </c>
      <c r="F10" s="5">
        <v>64</v>
      </c>
      <c r="G10" s="5">
        <v>18</v>
      </c>
      <c r="H10" s="17"/>
    </row>
    <row r="11" spans="1:8" x14ac:dyDescent="0.25">
      <c r="A11" s="7" t="s">
        <v>195</v>
      </c>
      <c r="B11" s="5">
        <v>1.7</v>
      </c>
      <c r="C11" s="5">
        <v>1.76</v>
      </c>
      <c r="D11" s="5">
        <v>1.1000000000000001</v>
      </c>
      <c r="E11" s="5">
        <v>0.875</v>
      </c>
      <c r="F11" s="5" t="s">
        <v>205</v>
      </c>
      <c r="G11" s="5" t="s">
        <v>20</v>
      </c>
      <c r="H11" s="5"/>
    </row>
    <row r="12" spans="1:8" ht="14.25" customHeight="1" x14ac:dyDescent="0.25">
      <c r="A12" s="7" t="s">
        <v>83</v>
      </c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17"/>
    </row>
    <row r="13" spans="1:8" ht="19.5" customHeight="1" x14ac:dyDescent="0.25">
      <c r="A13" s="7" t="s">
        <v>189</v>
      </c>
      <c r="B13" s="5">
        <v>669</v>
      </c>
      <c r="C13" s="5">
        <v>71</v>
      </c>
      <c r="D13" s="5">
        <v>117</v>
      </c>
      <c r="E13" s="5">
        <v>380</v>
      </c>
      <c r="F13" s="5">
        <v>950</v>
      </c>
      <c r="G13" s="5">
        <v>84</v>
      </c>
      <c r="H13" s="10"/>
    </row>
    <row r="14" spans="1:8" x14ac:dyDescent="0.25">
      <c r="A14" s="7" t="s">
        <v>99</v>
      </c>
      <c r="B14" s="5" t="s">
        <v>20</v>
      </c>
      <c r="C14" s="5" t="s">
        <v>20</v>
      </c>
      <c r="D14" s="5" t="s">
        <v>20</v>
      </c>
      <c r="E14" s="5" t="s">
        <v>201</v>
      </c>
      <c r="F14" s="5" t="s">
        <v>20</v>
      </c>
      <c r="G14" s="5" t="s">
        <v>20</v>
      </c>
      <c r="H14" s="17"/>
    </row>
    <row r="15" spans="1:8" ht="20.25" customHeight="1" x14ac:dyDescent="0.25">
      <c r="A15" s="7" t="s">
        <v>190</v>
      </c>
      <c r="B15" s="5">
        <v>1.46</v>
      </c>
      <c r="C15" s="5" t="s">
        <v>188</v>
      </c>
      <c r="D15" s="5">
        <v>0.14000000000000001</v>
      </c>
      <c r="E15" s="5" t="s">
        <v>20</v>
      </c>
      <c r="F15" s="5" t="s">
        <v>20</v>
      </c>
      <c r="G15" s="5" t="s">
        <v>204</v>
      </c>
      <c r="H15" s="11">
        <v>0.18</v>
      </c>
    </row>
    <row r="16" spans="1:8" x14ac:dyDescent="0.25">
      <c r="A16" s="7" t="s">
        <v>207</v>
      </c>
      <c r="B16" s="5">
        <f>B13/(2^B9*B10)</f>
        <v>7.7339582005685636E-2</v>
      </c>
      <c r="C16" s="5">
        <f>C13/(2^C9*C10)</f>
        <v>0.15758167613636365</v>
      </c>
      <c r="D16" s="5">
        <f t="shared" ref="D16:G16" si="0">D13/(2^D9*D10)</f>
        <v>4.1548295454545456E-2</v>
      </c>
      <c r="E16" s="5">
        <f t="shared" si="0"/>
        <v>0.21205357142857142</v>
      </c>
      <c r="F16" s="5">
        <f t="shared" si="0"/>
        <v>0.18838861731895118</v>
      </c>
      <c r="G16" s="5">
        <f t="shared" si="0"/>
        <v>7.2916666666666671E-2</v>
      </c>
      <c r="H16" s="11">
        <v>0.08</v>
      </c>
    </row>
    <row r="17" spans="1:8" ht="60" x14ac:dyDescent="0.25">
      <c r="A17" s="7" t="s">
        <v>105</v>
      </c>
      <c r="B17" s="5"/>
      <c r="C17" s="5"/>
      <c r="D17" s="5" t="s">
        <v>199</v>
      </c>
      <c r="E17" s="5" t="s">
        <v>202</v>
      </c>
      <c r="F17" s="5"/>
      <c r="G17" s="5" t="s">
        <v>281</v>
      </c>
      <c r="H17" s="17" t="s">
        <v>349</v>
      </c>
    </row>
    <row r="19" spans="1:8" x14ac:dyDescent="0.25">
      <c r="A19" s="14" t="s">
        <v>3</v>
      </c>
    </row>
    <row r="20" spans="1:8" x14ac:dyDescent="0.25">
      <c r="A20" s="2" t="s">
        <v>2</v>
      </c>
      <c r="B20" s="12" t="s">
        <v>210</v>
      </c>
    </row>
    <row r="21" spans="1:8" x14ac:dyDescent="0.25">
      <c r="A21" s="2" t="s">
        <v>200</v>
      </c>
      <c r="B21" s="12" t="s">
        <v>211</v>
      </c>
    </row>
    <row r="22" spans="1:8" x14ac:dyDescent="0.25">
      <c r="A22" s="2" t="s">
        <v>5</v>
      </c>
      <c r="B22" s="12" t="s">
        <v>212</v>
      </c>
    </row>
    <row r="23" spans="1:8" x14ac:dyDescent="0.25">
      <c r="A23" s="2" t="s">
        <v>6</v>
      </c>
      <c r="B23" s="12" t="s">
        <v>213</v>
      </c>
    </row>
    <row r="24" spans="1:8" x14ac:dyDescent="0.25">
      <c r="A24" s="2" t="s">
        <v>7</v>
      </c>
      <c r="B24" s="12" t="s">
        <v>214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3"/>
  <sheetViews>
    <sheetView workbookViewId="0">
      <selection activeCell="N20" sqref="N20"/>
    </sheetView>
  </sheetViews>
  <sheetFormatPr defaultRowHeight="15" x14ac:dyDescent="0.25"/>
  <cols>
    <col min="1" max="1" width="21.42578125" customWidth="1"/>
    <col min="2" max="2" width="16.140625" customWidth="1"/>
    <col min="3" max="3" width="17.7109375" customWidth="1"/>
    <col min="4" max="4" width="13.42578125" customWidth="1"/>
    <col min="5" max="5" width="14.42578125" customWidth="1"/>
    <col min="6" max="6" width="14.5703125" customWidth="1"/>
    <col min="7" max="7" width="14.42578125" customWidth="1"/>
    <col min="8" max="8" width="16" customWidth="1"/>
    <col min="9" max="9" width="14.5703125" customWidth="1"/>
    <col min="10" max="10" width="15.85546875" customWidth="1"/>
    <col min="11" max="11" width="18.42578125" customWidth="1"/>
    <col min="12" max="12" width="16" customWidth="1"/>
    <col min="13" max="13" width="27" customWidth="1"/>
    <col min="14" max="14" width="22.5703125" customWidth="1"/>
    <col min="15" max="15" width="15.28515625" customWidth="1"/>
    <col min="16" max="16" width="13.7109375" customWidth="1"/>
    <col min="17" max="17" width="42.85546875" customWidth="1"/>
  </cols>
  <sheetData>
    <row r="1" spans="1:17" x14ac:dyDescent="0.25">
      <c r="A1" s="7" t="s">
        <v>60</v>
      </c>
      <c r="B1" s="5" t="s">
        <v>43</v>
      </c>
      <c r="C1" s="5" t="s">
        <v>57</v>
      </c>
      <c r="D1" s="6" t="s">
        <v>2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79</v>
      </c>
      <c r="J1" s="5" t="s">
        <v>80</v>
      </c>
      <c r="K1" s="5" t="s">
        <v>118</v>
      </c>
      <c r="L1" s="5" t="s">
        <v>121</v>
      </c>
      <c r="M1" s="5" t="s">
        <v>167</v>
      </c>
      <c r="N1" s="5" t="s">
        <v>107</v>
      </c>
      <c r="O1" s="2"/>
      <c r="P1" s="2"/>
      <c r="Q1" s="2"/>
    </row>
    <row r="2" spans="1:17" ht="30" x14ac:dyDescent="0.25">
      <c r="A2" s="7" t="s">
        <v>106</v>
      </c>
      <c r="B2" s="5" t="s">
        <v>58</v>
      </c>
      <c r="C2" s="5" t="s">
        <v>58</v>
      </c>
      <c r="D2" s="6" t="s">
        <v>71</v>
      </c>
      <c r="E2" s="5" t="s">
        <v>111</v>
      </c>
      <c r="F2" s="5" t="s">
        <v>119</v>
      </c>
      <c r="G2" s="5" t="s">
        <v>16</v>
      </c>
      <c r="H2" s="48" t="s">
        <v>71</v>
      </c>
      <c r="I2" s="5" t="s">
        <v>85</v>
      </c>
      <c r="J2" s="5" t="s">
        <v>59</v>
      </c>
      <c r="K2" s="5" t="s">
        <v>95</v>
      </c>
      <c r="L2" s="5" t="s">
        <v>71</v>
      </c>
      <c r="M2" s="6" t="s">
        <v>362</v>
      </c>
      <c r="N2" s="5"/>
      <c r="O2" s="2"/>
      <c r="P2" s="2"/>
      <c r="Q2" s="2"/>
    </row>
    <row r="3" spans="1:17" ht="13.5" customHeight="1" x14ac:dyDescent="0.25">
      <c r="A3" s="7" t="s">
        <v>284</v>
      </c>
      <c r="B3" s="5" t="s">
        <v>126</v>
      </c>
      <c r="C3" s="5" t="s">
        <v>126</v>
      </c>
      <c r="D3" s="6" t="s">
        <v>126</v>
      </c>
      <c r="E3" s="5" t="s">
        <v>126</v>
      </c>
      <c r="F3" s="5" t="s">
        <v>120</v>
      </c>
      <c r="G3" s="6" t="s">
        <v>283</v>
      </c>
      <c r="H3" s="48" t="s">
        <v>126</v>
      </c>
      <c r="I3" s="5" t="s">
        <v>126</v>
      </c>
      <c r="J3" s="5" t="s">
        <v>283</v>
      </c>
      <c r="K3" s="5" t="s">
        <v>126</v>
      </c>
      <c r="L3" s="5" t="s">
        <v>283</v>
      </c>
      <c r="M3" s="5" t="s">
        <v>126</v>
      </c>
      <c r="N3" s="5"/>
      <c r="O3" s="2"/>
      <c r="P3" s="2"/>
      <c r="Q3" s="4"/>
    </row>
    <row r="4" spans="1:17" x14ac:dyDescent="0.25">
      <c r="A4" s="7" t="s">
        <v>35</v>
      </c>
      <c r="B4" s="5">
        <v>2016</v>
      </c>
      <c r="C4" s="5">
        <v>2017</v>
      </c>
      <c r="D4" s="6">
        <v>2017</v>
      </c>
      <c r="E4" s="5">
        <v>2017</v>
      </c>
      <c r="F4" s="5">
        <v>2017</v>
      </c>
      <c r="G4" s="5">
        <v>2016</v>
      </c>
      <c r="H4" s="48">
        <v>2015</v>
      </c>
      <c r="I4" s="5">
        <v>2015</v>
      </c>
      <c r="J4" s="5">
        <v>2016</v>
      </c>
      <c r="K4" s="5">
        <v>2016</v>
      </c>
      <c r="L4" s="5">
        <v>2013</v>
      </c>
      <c r="M4" s="6">
        <v>2017</v>
      </c>
      <c r="N4" s="5"/>
      <c r="O4" s="2"/>
      <c r="P4" s="2"/>
      <c r="Q4" s="4"/>
    </row>
    <row r="5" spans="1:17" ht="16.5" customHeight="1" x14ac:dyDescent="0.25">
      <c r="A5" s="7" t="s">
        <v>36</v>
      </c>
      <c r="B5" s="5" t="s">
        <v>20</v>
      </c>
      <c r="C5" s="5" t="s">
        <v>20</v>
      </c>
      <c r="D5" s="6" t="s">
        <v>116</v>
      </c>
      <c r="E5" s="5" t="s">
        <v>49</v>
      </c>
      <c r="F5" s="6" t="s">
        <v>49</v>
      </c>
      <c r="G5" s="5" t="s">
        <v>49</v>
      </c>
      <c r="H5" s="48" t="s">
        <v>93</v>
      </c>
      <c r="I5" s="5" t="s">
        <v>49</v>
      </c>
      <c r="J5" s="5" t="s">
        <v>49</v>
      </c>
      <c r="K5" s="5" t="s">
        <v>62</v>
      </c>
      <c r="L5" s="5" t="s">
        <v>92</v>
      </c>
      <c r="M5" s="6" t="s">
        <v>49</v>
      </c>
      <c r="N5" s="5"/>
      <c r="O5" s="2"/>
      <c r="P5" s="2"/>
      <c r="Q5" s="4"/>
    </row>
    <row r="6" spans="1:17" ht="18.75" customHeight="1" x14ac:dyDescent="0.25">
      <c r="A6" s="7" t="s">
        <v>89</v>
      </c>
      <c r="B6" s="5" t="s">
        <v>20</v>
      </c>
      <c r="C6" s="5" t="s">
        <v>20</v>
      </c>
      <c r="D6" s="5" t="s">
        <v>115</v>
      </c>
      <c r="E6" s="5" t="s">
        <v>115</v>
      </c>
      <c r="F6" s="5" t="s">
        <v>131</v>
      </c>
      <c r="G6" s="6" t="s">
        <v>115</v>
      </c>
      <c r="H6" s="48" t="s">
        <v>91</v>
      </c>
      <c r="I6" s="5" t="s">
        <v>40</v>
      </c>
      <c r="J6" s="5" t="s">
        <v>97</v>
      </c>
      <c r="K6" s="5" t="s">
        <v>90</v>
      </c>
      <c r="L6" s="5" t="s">
        <v>91</v>
      </c>
      <c r="M6" s="6" t="s">
        <v>91</v>
      </c>
      <c r="N6" s="5"/>
      <c r="O6" s="2"/>
      <c r="P6" s="2"/>
      <c r="Q6" s="4"/>
    </row>
    <row r="7" spans="1:17" x14ac:dyDescent="0.25">
      <c r="A7" s="7" t="s">
        <v>33</v>
      </c>
      <c r="B7" s="5" t="s">
        <v>44</v>
      </c>
      <c r="C7" s="5" t="s">
        <v>41</v>
      </c>
      <c r="D7" s="6" t="s">
        <v>117</v>
      </c>
      <c r="E7" s="5">
        <v>28</v>
      </c>
      <c r="F7" s="6">
        <v>28</v>
      </c>
      <c r="G7" s="5" t="s">
        <v>122</v>
      </c>
      <c r="H7" s="48">
        <v>60</v>
      </c>
      <c r="I7" s="5">
        <v>94</v>
      </c>
      <c r="J7" s="5" t="s">
        <v>48</v>
      </c>
      <c r="K7" s="5" t="s">
        <v>48</v>
      </c>
      <c r="L7" s="5">
        <v>60</v>
      </c>
      <c r="M7" s="6" t="s">
        <v>363</v>
      </c>
      <c r="N7" s="5"/>
      <c r="O7" s="2"/>
      <c r="Q7" s="4"/>
    </row>
    <row r="8" spans="1:17" ht="18" customHeight="1" x14ac:dyDescent="0.25">
      <c r="A8" s="7" t="s">
        <v>55</v>
      </c>
      <c r="B8" s="5" t="s">
        <v>20</v>
      </c>
      <c r="C8" s="5" t="s">
        <v>20</v>
      </c>
      <c r="D8" s="6">
        <v>-10</v>
      </c>
      <c r="E8" s="5">
        <v>10</v>
      </c>
      <c r="F8" s="6" t="s">
        <v>133</v>
      </c>
      <c r="G8" s="6">
        <v>-6.36</v>
      </c>
      <c r="H8" s="48" t="s">
        <v>20</v>
      </c>
      <c r="I8" s="5" t="s">
        <v>40</v>
      </c>
      <c r="J8" s="5">
        <v>-16.3</v>
      </c>
      <c r="K8" s="5" t="s">
        <v>20</v>
      </c>
      <c r="L8" s="5" t="s">
        <v>75</v>
      </c>
      <c r="M8" s="6"/>
      <c r="N8" s="5"/>
      <c r="O8" s="2"/>
      <c r="Q8" s="4"/>
    </row>
    <row r="9" spans="1:17" ht="15.75" customHeight="1" x14ac:dyDescent="0.25">
      <c r="A9" s="7" t="s">
        <v>47</v>
      </c>
      <c r="B9" s="5">
        <v>9</v>
      </c>
      <c r="C9" s="5" t="s">
        <v>20</v>
      </c>
      <c r="D9" s="6">
        <v>-2</v>
      </c>
      <c r="E9" s="5" t="s">
        <v>20</v>
      </c>
      <c r="F9" s="6" t="s">
        <v>135</v>
      </c>
      <c r="G9" s="6" t="s">
        <v>124</v>
      </c>
      <c r="H9" s="48">
        <v>-10</v>
      </c>
      <c r="I9" s="5" t="s">
        <v>40</v>
      </c>
      <c r="J9" s="5">
        <v>9.5</v>
      </c>
      <c r="K9" s="5">
        <v>0</v>
      </c>
      <c r="L9" s="5" t="s">
        <v>104</v>
      </c>
      <c r="M9" s="6"/>
      <c r="N9" s="5"/>
      <c r="O9" s="2"/>
      <c r="P9" s="2"/>
    </row>
    <row r="10" spans="1:17" ht="16.5" customHeight="1" x14ac:dyDescent="0.25">
      <c r="A10" s="7" t="s">
        <v>61</v>
      </c>
      <c r="B10" s="5" t="s">
        <v>20</v>
      </c>
      <c r="C10" s="5" t="s">
        <v>20</v>
      </c>
      <c r="D10" s="6" t="s">
        <v>20</v>
      </c>
      <c r="E10" s="5">
        <v>-2</v>
      </c>
      <c r="F10" s="6" t="s">
        <v>20</v>
      </c>
      <c r="G10" s="6" t="s">
        <v>20</v>
      </c>
      <c r="H10" s="48" t="s">
        <v>20</v>
      </c>
      <c r="I10" s="5" t="s">
        <v>40</v>
      </c>
      <c r="J10" s="5" t="s">
        <v>20</v>
      </c>
      <c r="K10" s="5" t="s">
        <v>20</v>
      </c>
      <c r="L10" s="5" t="s">
        <v>20</v>
      </c>
      <c r="M10" s="6"/>
      <c r="N10" s="5"/>
      <c r="O10" s="2"/>
      <c r="P10" s="2"/>
    </row>
    <row r="11" spans="1:17" x14ac:dyDescent="0.25">
      <c r="A11" s="7" t="s">
        <v>52</v>
      </c>
      <c r="B11" s="5">
        <v>5</v>
      </c>
      <c r="C11" s="5">
        <v>5</v>
      </c>
      <c r="D11" s="6">
        <v>5</v>
      </c>
      <c r="E11" s="5">
        <v>5</v>
      </c>
      <c r="F11" s="6">
        <v>5</v>
      </c>
      <c r="G11" s="5">
        <v>4</v>
      </c>
      <c r="H11" s="48">
        <v>5</v>
      </c>
      <c r="I11" s="5">
        <v>7</v>
      </c>
      <c r="J11" s="5">
        <v>5</v>
      </c>
      <c r="K11" s="5">
        <v>6</v>
      </c>
      <c r="L11" s="5">
        <v>4</v>
      </c>
      <c r="M11" s="6"/>
      <c r="N11" s="11">
        <v>5</v>
      </c>
      <c r="O11" s="2"/>
      <c r="P11" s="2"/>
      <c r="Q11" s="2"/>
    </row>
    <row r="12" spans="1:17" ht="18" customHeight="1" x14ac:dyDescent="0.25">
      <c r="A12" s="7" t="s">
        <v>108</v>
      </c>
      <c r="B12" s="5">
        <v>5</v>
      </c>
      <c r="C12" s="5">
        <v>5</v>
      </c>
      <c r="D12" s="6">
        <v>5</v>
      </c>
      <c r="E12" s="5">
        <v>7</v>
      </c>
      <c r="F12" s="6">
        <v>0.3</v>
      </c>
      <c r="G12" s="5">
        <v>8.98</v>
      </c>
      <c r="H12" s="48">
        <v>7</v>
      </c>
      <c r="I12" s="5">
        <v>1.3</v>
      </c>
      <c r="J12" s="5" t="s">
        <v>51</v>
      </c>
      <c r="K12" s="5" t="s">
        <v>20</v>
      </c>
      <c r="L12" s="5">
        <v>11</v>
      </c>
      <c r="M12" s="6"/>
      <c r="N12" s="11" t="s">
        <v>110</v>
      </c>
    </row>
    <row r="13" spans="1:17" ht="15.75" customHeight="1" x14ac:dyDescent="0.25">
      <c r="A13" s="7" t="s">
        <v>113</v>
      </c>
      <c r="B13" s="5">
        <v>1</v>
      </c>
      <c r="C13" s="5">
        <v>0.5</v>
      </c>
      <c r="D13" s="6">
        <v>0.5</v>
      </c>
      <c r="E13" s="5">
        <v>1</v>
      </c>
      <c r="F13" s="6" t="s">
        <v>20</v>
      </c>
      <c r="G13" s="6" t="s">
        <v>20</v>
      </c>
      <c r="H13" s="48">
        <v>1</v>
      </c>
      <c r="I13" s="5" t="s">
        <v>20</v>
      </c>
      <c r="J13" s="5" t="s">
        <v>20</v>
      </c>
      <c r="K13" s="5" t="s">
        <v>20</v>
      </c>
      <c r="L13" s="5" t="s">
        <v>20</v>
      </c>
      <c r="M13" s="6"/>
      <c r="N13" s="5"/>
    </row>
    <row r="14" spans="1:17" x14ac:dyDescent="0.25">
      <c r="A14" s="7" t="s">
        <v>45</v>
      </c>
      <c r="B14" s="5">
        <v>5</v>
      </c>
      <c r="C14" s="5">
        <v>5</v>
      </c>
      <c r="D14" s="6">
        <v>4</v>
      </c>
      <c r="E14" s="5">
        <v>5</v>
      </c>
      <c r="F14" s="6" t="s">
        <v>20</v>
      </c>
      <c r="G14" s="6" t="s">
        <v>20</v>
      </c>
      <c r="H14" s="48">
        <v>3</v>
      </c>
      <c r="I14" s="5" t="s">
        <v>20</v>
      </c>
      <c r="J14" s="5" t="s">
        <v>20</v>
      </c>
      <c r="K14" s="5" t="s">
        <v>20</v>
      </c>
      <c r="L14" s="5" t="s">
        <v>20</v>
      </c>
      <c r="M14" s="6"/>
      <c r="N14" s="5"/>
    </row>
    <row r="15" spans="1:17" ht="16.5" customHeight="1" x14ac:dyDescent="0.25">
      <c r="A15" s="7" t="s">
        <v>109</v>
      </c>
      <c r="B15" s="5" t="s">
        <v>20</v>
      </c>
      <c r="C15" s="5" t="s">
        <v>20</v>
      </c>
      <c r="D15" s="6">
        <v>0.8</v>
      </c>
      <c r="E15" s="5">
        <v>0.3</v>
      </c>
      <c r="F15" s="6" t="s">
        <v>132</v>
      </c>
      <c r="G15" s="6">
        <v>2</v>
      </c>
      <c r="H15" s="48">
        <v>1.5</v>
      </c>
      <c r="I15" s="5">
        <v>0.74</v>
      </c>
      <c r="J15" s="5" t="s">
        <v>53</v>
      </c>
      <c r="K15" s="5" t="s">
        <v>20</v>
      </c>
      <c r="L15" s="5" t="s">
        <v>20</v>
      </c>
      <c r="M15" s="6"/>
      <c r="N15" s="11">
        <v>1</v>
      </c>
    </row>
    <row r="16" spans="1:17" ht="15" customHeight="1" x14ac:dyDescent="0.25">
      <c r="A16" s="7" t="s">
        <v>46</v>
      </c>
      <c r="B16" s="5" t="s">
        <v>87</v>
      </c>
      <c r="C16" s="5" t="s">
        <v>87</v>
      </c>
      <c r="D16" s="6" t="s">
        <v>87</v>
      </c>
      <c r="E16" s="5" t="s">
        <v>87</v>
      </c>
      <c r="F16" s="6">
        <v>1</v>
      </c>
      <c r="G16" s="6">
        <v>1</v>
      </c>
      <c r="H16" s="48" t="s">
        <v>20</v>
      </c>
      <c r="I16" s="5" t="s">
        <v>87</v>
      </c>
      <c r="J16" s="5">
        <v>1</v>
      </c>
      <c r="K16" s="5" t="s">
        <v>87</v>
      </c>
      <c r="L16" s="5">
        <v>1</v>
      </c>
      <c r="M16" s="6">
        <v>8</v>
      </c>
      <c r="N16" s="5"/>
    </row>
    <row r="17" spans="1:14" x14ac:dyDescent="0.25">
      <c r="A17" s="7" t="s">
        <v>83</v>
      </c>
      <c r="B17" s="5" t="s">
        <v>73</v>
      </c>
      <c r="C17" s="5" t="s">
        <v>20</v>
      </c>
      <c r="D17" s="6" t="s">
        <v>129</v>
      </c>
      <c r="E17" s="5" t="s">
        <v>282</v>
      </c>
      <c r="F17" s="6" t="s">
        <v>54</v>
      </c>
      <c r="G17" s="6" t="s">
        <v>54</v>
      </c>
      <c r="H17" s="48" t="s">
        <v>20</v>
      </c>
      <c r="I17" s="5">
        <v>960</v>
      </c>
      <c r="J17" s="5" t="s">
        <v>20</v>
      </c>
      <c r="K17" s="5" t="s">
        <v>94</v>
      </c>
      <c r="L17" s="5">
        <v>23</v>
      </c>
      <c r="M17" s="6" t="s">
        <v>20</v>
      </c>
      <c r="N17" s="5"/>
    </row>
    <row r="18" spans="1:14" ht="15.75" customHeight="1" x14ac:dyDescent="0.25">
      <c r="A18" s="7" t="s">
        <v>101</v>
      </c>
      <c r="B18" s="5" t="s">
        <v>20</v>
      </c>
      <c r="C18" s="5" t="s">
        <v>20</v>
      </c>
      <c r="D18" s="6" t="s">
        <v>20</v>
      </c>
      <c r="E18" s="5" t="s">
        <v>20</v>
      </c>
      <c r="F18" s="6" t="s">
        <v>20</v>
      </c>
      <c r="G18" s="11" t="s">
        <v>54</v>
      </c>
      <c r="H18" s="49">
        <v>25</v>
      </c>
      <c r="I18" s="5" t="s">
        <v>40</v>
      </c>
      <c r="J18" s="11" t="s">
        <v>54</v>
      </c>
      <c r="K18" s="5" t="s">
        <v>20</v>
      </c>
      <c r="L18" s="11">
        <v>23</v>
      </c>
      <c r="M18" s="6">
        <v>10</v>
      </c>
      <c r="N18" s="10" t="s">
        <v>358</v>
      </c>
    </row>
    <row r="19" spans="1:14" ht="15" customHeight="1" x14ac:dyDescent="0.25">
      <c r="A19" s="7" t="s">
        <v>99</v>
      </c>
      <c r="B19" s="5" t="s">
        <v>98</v>
      </c>
      <c r="C19" s="5" t="s">
        <v>42</v>
      </c>
      <c r="D19" s="6" t="s">
        <v>127</v>
      </c>
      <c r="E19" s="5" t="s">
        <v>112</v>
      </c>
      <c r="F19" s="6">
        <v>0.32</v>
      </c>
      <c r="G19" s="5" t="s">
        <v>123</v>
      </c>
      <c r="H19" s="48" t="s">
        <v>359</v>
      </c>
      <c r="I19" s="5">
        <v>7.56</v>
      </c>
      <c r="J19" s="5">
        <v>9.4E-2</v>
      </c>
      <c r="K19" s="5" t="s">
        <v>86</v>
      </c>
      <c r="L19" s="5" t="s">
        <v>74</v>
      </c>
      <c r="M19" s="6"/>
      <c r="N19" s="5"/>
    </row>
    <row r="20" spans="1:14" ht="15.75" customHeight="1" x14ac:dyDescent="0.25">
      <c r="A20" s="7" t="s">
        <v>100</v>
      </c>
      <c r="B20" s="5" t="s">
        <v>20</v>
      </c>
      <c r="C20" s="5" t="s">
        <v>20</v>
      </c>
      <c r="D20" s="6" t="s">
        <v>20</v>
      </c>
      <c r="E20" s="5" t="s">
        <v>20</v>
      </c>
      <c r="F20" s="9" t="s">
        <v>134</v>
      </c>
      <c r="G20" s="11" t="s">
        <v>123</v>
      </c>
      <c r="H20" s="49">
        <v>0.05</v>
      </c>
      <c r="I20" s="5" t="s">
        <v>84</v>
      </c>
      <c r="J20" s="5">
        <v>9.4E-2</v>
      </c>
      <c r="K20" s="5" t="s">
        <v>88</v>
      </c>
      <c r="L20" s="5" t="s">
        <v>102</v>
      </c>
      <c r="M20" s="6"/>
      <c r="N20" s="11" t="s">
        <v>136</v>
      </c>
    </row>
    <row r="21" spans="1:14" ht="93" customHeight="1" x14ac:dyDescent="0.25">
      <c r="A21" s="7" t="s">
        <v>105</v>
      </c>
      <c r="B21" s="5" t="s">
        <v>130</v>
      </c>
      <c r="C21" s="5" t="s">
        <v>50</v>
      </c>
      <c r="D21" s="5" t="s">
        <v>128</v>
      </c>
      <c r="E21" s="5" t="s">
        <v>114</v>
      </c>
      <c r="F21" s="8"/>
      <c r="G21" s="5" t="s">
        <v>125</v>
      </c>
      <c r="H21" s="48" t="s">
        <v>360</v>
      </c>
      <c r="I21" s="5" t="s">
        <v>20</v>
      </c>
      <c r="J21" s="5" t="s">
        <v>56</v>
      </c>
      <c r="K21" s="5" t="s">
        <v>96</v>
      </c>
      <c r="L21" s="5" t="s">
        <v>103</v>
      </c>
      <c r="M21" s="6"/>
      <c r="N21" s="5" t="s">
        <v>361</v>
      </c>
    </row>
    <row r="23" spans="1:14" x14ac:dyDescent="0.25">
      <c r="A23" s="14" t="s">
        <v>3</v>
      </c>
    </row>
    <row r="24" spans="1:14" x14ac:dyDescent="0.25">
      <c r="A24" s="2" t="s">
        <v>2</v>
      </c>
      <c r="B24" s="12" t="s">
        <v>137</v>
      </c>
    </row>
    <row r="25" spans="1:14" x14ac:dyDescent="0.25">
      <c r="A25" s="2" t="s">
        <v>4</v>
      </c>
      <c r="B25" s="12" t="s">
        <v>138</v>
      </c>
    </row>
    <row r="26" spans="1:14" x14ac:dyDescent="0.25">
      <c r="A26" s="2" t="s">
        <v>5</v>
      </c>
      <c r="B26" s="12" t="s">
        <v>139</v>
      </c>
    </row>
    <row r="27" spans="1:14" x14ac:dyDescent="0.25">
      <c r="A27" s="2" t="s">
        <v>6</v>
      </c>
      <c r="B27" s="12" t="s">
        <v>140</v>
      </c>
    </row>
    <row r="28" spans="1:14" x14ac:dyDescent="0.25">
      <c r="A28" s="2" t="s">
        <v>7</v>
      </c>
      <c r="B28" s="12" t="s">
        <v>141</v>
      </c>
    </row>
    <row r="29" spans="1:14" x14ac:dyDescent="0.25">
      <c r="A29" s="2" t="s">
        <v>79</v>
      </c>
      <c r="B29" s="12" t="s">
        <v>142</v>
      </c>
    </row>
    <row r="30" spans="1:14" ht="18" x14ac:dyDescent="0.25">
      <c r="A30" s="2" t="s">
        <v>80</v>
      </c>
      <c r="B30" s="12" t="s">
        <v>143</v>
      </c>
    </row>
    <row r="31" spans="1:14" x14ac:dyDescent="0.25">
      <c r="A31" s="2" t="s">
        <v>118</v>
      </c>
      <c r="B31" s="12" t="s">
        <v>144</v>
      </c>
    </row>
    <row r="32" spans="1:14" x14ac:dyDescent="0.25">
      <c r="A32" s="2" t="s">
        <v>121</v>
      </c>
      <c r="B32" s="12" t="s">
        <v>145</v>
      </c>
    </row>
    <row r="33" spans="1:2" x14ac:dyDescent="0.25">
      <c r="A33" s="2" t="s">
        <v>167</v>
      </c>
      <c r="B33" t="s">
        <v>364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0"/>
  <sheetViews>
    <sheetView workbookViewId="0">
      <selection activeCell="G31" sqref="A1:XFD1048576"/>
    </sheetView>
  </sheetViews>
  <sheetFormatPr defaultRowHeight="15" x14ac:dyDescent="0.25"/>
  <cols>
    <col min="1" max="1" width="18.42578125" customWidth="1"/>
    <col min="2" max="2" width="14.85546875" customWidth="1"/>
    <col min="3" max="3" width="13" customWidth="1"/>
    <col min="4" max="4" width="13.85546875" customWidth="1"/>
    <col min="5" max="5" width="14.28515625" customWidth="1"/>
    <col min="6" max="6" width="16.42578125" customWidth="1"/>
    <col min="7" max="7" width="16.140625" customWidth="1"/>
    <col min="8" max="8" width="13.5703125" customWidth="1"/>
    <col min="9" max="9" width="12.85546875" customWidth="1"/>
    <col min="10" max="10" width="15" customWidth="1"/>
    <col min="11" max="11" width="15.28515625" customWidth="1"/>
    <col min="12" max="12" width="15.85546875" customWidth="1"/>
    <col min="13" max="13" width="15.5703125" customWidth="1"/>
    <col min="14" max="14" width="12.85546875" customWidth="1"/>
  </cols>
  <sheetData>
    <row r="1" spans="1:14" x14ac:dyDescent="0.25">
      <c r="A1" s="5" t="s">
        <v>183</v>
      </c>
      <c r="B1" s="5" t="s">
        <v>0</v>
      </c>
      <c r="C1" s="2" t="s">
        <v>2</v>
      </c>
      <c r="D1" s="6" t="s">
        <v>4</v>
      </c>
      <c r="E1" s="5" t="s">
        <v>5</v>
      </c>
      <c r="F1" s="5" t="s">
        <v>6</v>
      </c>
      <c r="G1" s="5" t="s">
        <v>7</v>
      </c>
      <c r="H1" s="5" t="s">
        <v>79</v>
      </c>
      <c r="I1" s="2" t="s">
        <v>80</v>
      </c>
      <c r="J1" s="5" t="s">
        <v>118</v>
      </c>
      <c r="K1" s="5" t="s">
        <v>121</v>
      </c>
      <c r="L1" s="5" t="s">
        <v>167</v>
      </c>
      <c r="M1" s="5" t="s">
        <v>169</v>
      </c>
      <c r="N1" s="6" t="s">
        <v>107</v>
      </c>
    </row>
    <row r="2" spans="1:14" ht="39.75" customHeight="1" x14ac:dyDescent="0.25">
      <c r="A2" s="7" t="s">
        <v>106</v>
      </c>
      <c r="B2" s="5" t="s">
        <v>146</v>
      </c>
      <c r="C2" s="5" t="s">
        <v>168</v>
      </c>
      <c r="D2" s="5" t="s">
        <v>168</v>
      </c>
      <c r="E2" s="5" t="s">
        <v>155</v>
      </c>
      <c r="F2" s="5" t="s">
        <v>163</v>
      </c>
      <c r="G2" s="5" t="s">
        <v>152</v>
      </c>
      <c r="H2" s="5" t="s">
        <v>71</v>
      </c>
      <c r="I2" s="5" t="s">
        <v>111</v>
      </c>
      <c r="J2" s="5" t="s">
        <v>161</v>
      </c>
      <c r="K2" s="5" t="s">
        <v>71</v>
      </c>
      <c r="L2" s="5" t="s">
        <v>165</v>
      </c>
      <c r="M2" s="5" t="s">
        <v>71</v>
      </c>
    </row>
    <row r="3" spans="1:14" x14ac:dyDescent="0.25">
      <c r="A3" s="7" t="s">
        <v>284</v>
      </c>
      <c r="B3" s="5" t="s">
        <v>283</v>
      </c>
      <c r="C3" s="5" t="s">
        <v>283</v>
      </c>
      <c r="D3" s="5" t="s">
        <v>283</v>
      </c>
      <c r="E3" s="5" t="s">
        <v>283</v>
      </c>
      <c r="F3" s="5" t="s">
        <v>283</v>
      </c>
      <c r="G3" s="5" t="s">
        <v>283</v>
      </c>
      <c r="H3" s="5" t="s">
        <v>156</v>
      </c>
      <c r="I3" s="5" t="s">
        <v>156</v>
      </c>
      <c r="J3" s="5" t="s">
        <v>283</v>
      </c>
      <c r="K3" s="5" t="s">
        <v>156</v>
      </c>
      <c r="L3" s="5" t="s">
        <v>283</v>
      </c>
      <c r="M3" s="5" t="s">
        <v>283</v>
      </c>
    </row>
    <row r="4" spans="1:14" x14ac:dyDescent="0.25">
      <c r="A4" s="7" t="s">
        <v>35</v>
      </c>
      <c r="B4" s="5" t="s">
        <v>20</v>
      </c>
      <c r="C4" s="5">
        <v>2017</v>
      </c>
      <c r="D4" s="5">
        <v>2016</v>
      </c>
      <c r="E4" s="5">
        <v>2017</v>
      </c>
      <c r="F4" s="5">
        <v>2016</v>
      </c>
      <c r="G4" s="5">
        <v>2014</v>
      </c>
      <c r="H4" s="5">
        <v>2017</v>
      </c>
      <c r="I4" s="5">
        <v>2017</v>
      </c>
      <c r="J4" s="5">
        <v>2015</v>
      </c>
      <c r="K4" s="5">
        <v>2014</v>
      </c>
      <c r="L4" s="5">
        <v>2013</v>
      </c>
      <c r="M4" s="5">
        <v>2013</v>
      </c>
    </row>
    <row r="5" spans="1:14" x14ac:dyDescent="0.25">
      <c r="A5" s="7" t="s">
        <v>36</v>
      </c>
      <c r="B5" s="5" t="s">
        <v>37</v>
      </c>
      <c r="C5" s="5" t="s">
        <v>166</v>
      </c>
      <c r="D5" s="5" t="s">
        <v>62</v>
      </c>
      <c r="E5" s="5" t="s">
        <v>62</v>
      </c>
      <c r="F5" s="5" t="s">
        <v>62</v>
      </c>
      <c r="G5" s="5" t="s">
        <v>63</v>
      </c>
      <c r="H5" s="5" t="s">
        <v>37</v>
      </c>
      <c r="I5" s="5" t="s">
        <v>49</v>
      </c>
      <c r="J5" s="5" t="s">
        <v>49</v>
      </c>
      <c r="K5" s="5" t="s">
        <v>70</v>
      </c>
      <c r="L5" s="5" t="s">
        <v>166</v>
      </c>
      <c r="M5" s="5" t="s">
        <v>116</v>
      </c>
    </row>
    <row r="6" spans="1:14" x14ac:dyDescent="0.25">
      <c r="A6" s="7" t="s">
        <v>33</v>
      </c>
      <c r="B6" s="5" t="s">
        <v>34</v>
      </c>
      <c r="C6" s="5" t="s">
        <v>171</v>
      </c>
      <c r="D6" s="5">
        <v>28</v>
      </c>
      <c r="E6" s="5">
        <v>28</v>
      </c>
      <c r="F6" s="5">
        <v>28.5</v>
      </c>
      <c r="G6" s="5" t="s">
        <v>64</v>
      </c>
      <c r="H6" s="5">
        <v>28</v>
      </c>
      <c r="I6" s="5">
        <v>28</v>
      </c>
      <c r="J6" s="5" t="s">
        <v>76</v>
      </c>
      <c r="K6" s="5" t="s">
        <v>68</v>
      </c>
      <c r="L6" s="5">
        <v>60</v>
      </c>
      <c r="M6" s="5" t="s">
        <v>38</v>
      </c>
    </row>
    <row r="7" spans="1:14" x14ac:dyDescent="0.25">
      <c r="A7" s="7" t="s">
        <v>172</v>
      </c>
      <c r="B7" s="5" t="s">
        <v>20</v>
      </c>
      <c r="C7" s="5">
        <v>3</v>
      </c>
      <c r="D7" s="5">
        <v>2</v>
      </c>
      <c r="E7" s="5">
        <v>2</v>
      </c>
      <c r="F7" s="5">
        <v>1</v>
      </c>
      <c r="G7" s="5">
        <v>1</v>
      </c>
      <c r="H7" s="5" t="s">
        <v>20</v>
      </c>
      <c r="I7" s="5">
        <v>2</v>
      </c>
      <c r="J7" s="5" t="s">
        <v>20</v>
      </c>
      <c r="K7" s="5" t="s">
        <v>20</v>
      </c>
      <c r="L7" s="5" t="s">
        <v>20</v>
      </c>
      <c r="M7" s="5" t="s">
        <v>20</v>
      </c>
    </row>
    <row r="8" spans="1:14" x14ac:dyDescent="0.25">
      <c r="A8" s="7" t="s">
        <v>69</v>
      </c>
      <c r="B8" s="5"/>
      <c r="C8" s="5">
        <v>22.4</v>
      </c>
      <c r="D8" s="5">
        <v>16.3</v>
      </c>
      <c r="E8" s="5">
        <v>17.5</v>
      </c>
      <c r="F8" s="5">
        <v>13</v>
      </c>
      <c r="G8" s="5">
        <v>16</v>
      </c>
      <c r="H8" s="5" t="s">
        <v>20</v>
      </c>
      <c r="I8" s="5">
        <v>19</v>
      </c>
      <c r="J8" s="5">
        <v>17</v>
      </c>
      <c r="K8" s="5">
        <v>21.5</v>
      </c>
      <c r="L8" s="5">
        <v>21.2</v>
      </c>
      <c r="M8" s="5" t="s">
        <v>147</v>
      </c>
    </row>
    <row r="9" spans="1:14" x14ac:dyDescent="0.25">
      <c r="A9" s="7" t="s">
        <v>1</v>
      </c>
      <c r="B9" s="5">
        <v>32</v>
      </c>
      <c r="C9" s="5">
        <v>15.1</v>
      </c>
      <c r="D9" s="5">
        <v>15.3</v>
      </c>
      <c r="E9" s="5">
        <v>18.7</v>
      </c>
      <c r="F9" s="5">
        <v>19.8</v>
      </c>
      <c r="G9" s="5" t="s">
        <v>65</v>
      </c>
      <c r="H9" s="5" t="s">
        <v>20</v>
      </c>
      <c r="I9" s="5" t="s">
        <v>20</v>
      </c>
      <c r="J9" s="5">
        <v>9.6999999999999993</v>
      </c>
      <c r="K9" s="5">
        <v>6.5</v>
      </c>
      <c r="L9" s="5">
        <v>17.399999999999999</v>
      </c>
      <c r="M9" s="5" t="s">
        <v>148</v>
      </c>
    </row>
    <row r="10" spans="1:14" x14ac:dyDescent="0.25">
      <c r="A10" s="7" t="s">
        <v>32</v>
      </c>
      <c r="B10" s="5">
        <v>31</v>
      </c>
      <c r="C10" s="5">
        <v>13.7</v>
      </c>
      <c r="D10" s="5">
        <v>14.3</v>
      </c>
      <c r="E10" s="5">
        <v>15.4</v>
      </c>
      <c r="F10" s="5">
        <v>18.600000000000001</v>
      </c>
      <c r="G10" s="5" t="s">
        <v>66</v>
      </c>
      <c r="H10" s="5" t="s">
        <v>20</v>
      </c>
      <c r="I10" s="5">
        <v>2</v>
      </c>
      <c r="J10" s="5">
        <v>7.3</v>
      </c>
      <c r="K10" s="5" t="s">
        <v>20</v>
      </c>
      <c r="L10" s="5">
        <v>14</v>
      </c>
      <c r="M10" s="5" t="s">
        <v>151</v>
      </c>
    </row>
    <row r="11" spans="1:14" x14ac:dyDescent="0.25">
      <c r="A11" s="7" t="s">
        <v>72</v>
      </c>
      <c r="B11" s="5">
        <v>6600</v>
      </c>
      <c r="C11" s="5" t="s">
        <v>20</v>
      </c>
      <c r="D11" s="5" t="s">
        <v>20</v>
      </c>
      <c r="E11" s="5">
        <v>154</v>
      </c>
      <c r="F11" s="5" t="s">
        <v>20</v>
      </c>
      <c r="G11" s="5" t="s">
        <v>154</v>
      </c>
      <c r="H11" s="5" t="s">
        <v>20</v>
      </c>
      <c r="I11" s="5" t="s">
        <v>20</v>
      </c>
      <c r="J11" s="5" t="s">
        <v>162</v>
      </c>
      <c r="K11" s="5">
        <v>112</v>
      </c>
      <c r="L11" s="5" t="s">
        <v>20</v>
      </c>
      <c r="M11" s="5" t="s">
        <v>20</v>
      </c>
    </row>
    <row r="12" spans="1:14" x14ac:dyDescent="0.25">
      <c r="A12" s="7" t="s">
        <v>82</v>
      </c>
      <c r="B12" s="5" t="s">
        <v>20</v>
      </c>
      <c r="C12" s="5">
        <v>33.700000000000003</v>
      </c>
      <c r="D12" s="13">
        <v>36.6</v>
      </c>
      <c r="E12" s="5">
        <v>12.4</v>
      </c>
      <c r="F12" s="5">
        <v>43.3</v>
      </c>
      <c r="G12" s="5" t="s">
        <v>20</v>
      </c>
      <c r="H12" s="5" t="s">
        <v>20</v>
      </c>
      <c r="I12" s="5" t="s">
        <v>20</v>
      </c>
      <c r="J12" s="5">
        <v>24.2</v>
      </c>
      <c r="K12" s="5" t="s">
        <v>20</v>
      </c>
      <c r="L12" s="5">
        <v>28.5</v>
      </c>
      <c r="M12" s="5" t="s">
        <v>149</v>
      </c>
    </row>
    <row r="13" spans="1:14" x14ac:dyDescent="0.25">
      <c r="A13" s="7" t="s">
        <v>81</v>
      </c>
      <c r="B13" s="5" t="s">
        <v>20</v>
      </c>
      <c r="C13" s="5">
        <v>31.1</v>
      </c>
      <c r="D13" s="13">
        <v>35.799999999999997</v>
      </c>
      <c r="E13" s="5">
        <v>7</v>
      </c>
      <c r="F13" s="5">
        <v>41.4</v>
      </c>
      <c r="G13" s="5">
        <v>31.5</v>
      </c>
      <c r="H13" s="5" t="s">
        <v>20</v>
      </c>
      <c r="I13" s="5" t="s">
        <v>20</v>
      </c>
      <c r="J13" s="5" t="s">
        <v>78</v>
      </c>
      <c r="K13" s="5" t="s">
        <v>20</v>
      </c>
      <c r="L13" s="5">
        <v>16.3</v>
      </c>
      <c r="M13" s="5" t="s">
        <v>150</v>
      </c>
    </row>
    <row r="14" spans="1:14" ht="18" customHeight="1" x14ac:dyDescent="0.25">
      <c r="A14" s="7" t="s">
        <v>157</v>
      </c>
      <c r="B14" s="5"/>
      <c r="C14" s="5" t="s">
        <v>20</v>
      </c>
      <c r="D14" s="13" t="s">
        <v>20</v>
      </c>
      <c r="E14" s="5" t="s">
        <v>20</v>
      </c>
      <c r="F14" s="5" t="s">
        <v>20</v>
      </c>
      <c r="G14" s="5" t="s">
        <v>20</v>
      </c>
      <c r="H14" s="5" t="s">
        <v>20</v>
      </c>
      <c r="I14" s="5" t="s">
        <v>20</v>
      </c>
      <c r="J14" s="5" t="s">
        <v>20</v>
      </c>
      <c r="K14" s="5" t="s">
        <v>286</v>
      </c>
      <c r="L14" s="5" t="s">
        <v>20</v>
      </c>
      <c r="M14" s="5" t="s">
        <v>20</v>
      </c>
    </row>
    <row r="15" spans="1:14" ht="14.25" customHeight="1" x14ac:dyDescent="0.25">
      <c r="A15" s="7" t="s">
        <v>158</v>
      </c>
      <c r="B15" s="5"/>
      <c r="C15" s="5">
        <v>0.23</v>
      </c>
      <c r="D15" s="5">
        <v>0.16</v>
      </c>
      <c r="E15" s="5">
        <v>0.66</v>
      </c>
      <c r="F15" s="5">
        <v>0.28000000000000003</v>
      </c>
      <c r="G15" s="5" t="s">
        <v>153</v>
      </c>
      <c r="H15" s="5" t="s">
        <v>20</v>
      </c>
      <c r="I15" s="5" t="s">
        <v>20</v>
      </c>
      <c r="J15" s="5" t="s">
        <v>77</v>
      </c>
      <c r="K15" s="5" t="s">
        <v>159</v>
      </c>
      <c r="L15" s="5">
        <v>7.3999999999999996E-2</v>
      </c>
      <c r="M15" s="5" t="s">
        <v>39</v>
      </c>
    </row>
    <row r="16" spans="1:14" ht="103.5" customHeight="1" x14ac:dyDescent="0.25">
      <c r="A16" s="7" t="s">
        <v>12</v>
      </c>
      <c r="B16" s="5"/>
      <c r="C16" s="5"/>
      <c r="D16" s="5"/>
      <c r="E16" s="5" t="s">
        <v>285</v>
      </c>
      <c r="F16" s="5" t="s">
        <v>164</v>
      </c>
      <c r="G16" s="5" t="s">
        <v>67</v>
      </c>
      <c r="H16" s="5" t="s">
        <v>174</v>
      </c>
      <c r="I16" s="5"/>
      <c r="J16" s="5"/>
      <c r="K16" s="5" t="s">
        <v>160</v>
      </c>
      <c r="L16" s="5"/>
      <c r="M16" s="5" t="s">
        <v>173</v>
      </c>
    </row>
    <row r="17" spans="1:10" x14ac:dyDescent="0.25">
      <c r="J17" s="8"/>
    </row>
    <row r="18" spans="1:10" x14ac:dyDescent="0.25">
      <c r="J18" s="11"/>
    </row>
    <row r="19" spans="1:10" x14ac:dyDescent="0.25">
      <c r="A19" s="14" t="s">
        <v>3</v>
      </c>
      <c r="J19" s="8"/>
    </row>
    <row r="20" spans="1:10" x14ac:dyDescent="0.25">
      <c r="A20" s="2" t="s">
        <v>2</v>
      </c>
      <c r="B20" s="12" t="s">
        <v>170</v>
      </c>
    </row>
    <row r="21" spans="1:10" x14ac:dyDescent="0.25">
      <c r="A21" s="2" t="s">
        <v>4</v>
      </c>
      <c r="B21" s="12" t="s">
        <v>175</v>
      </c>
    </row>
    <row r="22" spans="1:10" x14ac:dyDescent="0.25">
      <c r="A22" s="2" t="s">
        <v>5</v>
      </c>
      <c r="B22" s="12" t="s">
        <v>176</v>
      </c>
    </row>
    <row r="23" spans="1:10" x14ac:dyDescent="0.25">
      <c r="A23" s="2" t="s">
        <v>6</v>
      </c>
      <c r="B23" s="12" t="s">
        <v>177</v>
      </c>
    </row>
    <row r="24" spans="1:10" x14ac:dyDescent="0.25">
      <c r="A24" s="2" t="s">
        <v>7</v>
      </c>
      <c r="B24" s="12" t="s">
        <v>178</v>
      </c>
    </row>
    <row r="25" spans="1:10" x14ac:dyDescent="0.25">
      <c r="A25" s="2" t="s">
        <v>79</v>
      </c>
      <c r="B25" s="12" t="s">
        <v>137</v>
      </c>
    </row>
    <row r="26" spans="1:10" x14ac:dyDescent="0.25">
      <c r="A26" s="2" t="s">
        <v>80</v>
      </c>
      <c r="B26" s="12" t="s">
        <v>138</v>
      </c>
    </row>
    <row r="27" spans="1:10" x14ac:dyDescent="0.25">
      <c r="A27" s="2" t="s">
        <v>118</v>
      </c>
      <c r="B27" s="12" t="s">
        <v>179</v>
      </c>
    </row>
    <row r="28" spans="1:10" x14ac:dyDescent="0.25">
      <c r="A28" s="2" t="s">
        <v>121</v>
      </c>
      <c r="B28" s="12" t="s">
        <v>180</v>
      </c>
    </row>
    <row r="29" spans="1:10" x14ac:dyDescent="0.25">
      <c r="A29" s="2" t="s">
        <v>167</v>
      </c>
      <c r="B29" s="12" t="s">
        <v>181</v>
      </c>
    </row>
    <row r="30" spans="1:10" x14ac:dyDescent="0.25">
      <c r="A30" s="2" t="s">
        <v>169</v>
      </c>
      <c r="B30" s="12" t="s">
        <v>182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CE7A-FFB7-4F27-A9F4-04D1BFDD315E}">
  <dimension ref="A1:R33"/>
  <sheetViews>
    <sheetView workbookViewId="0">
      <selection activeCell="B20" sqref="B20:B33"/>
    </sheetView>
  </sheetViews>
  <sheetFormatPr defaultRowHeight="15" x14ac:dyDescent="0.25"/>
  <cols>
    <col min="1" max="1" width="18.42578125" customWidth="1"/>
    <col min="2" max="2" width="14.85546875" customWidth="1"/>
    <col min="3" max="3" width="13" customWidth="1"/>
    <col min="4" max="4" width="13.85546875" customWidth="1"/>
    <col min="5" max="5" width="14.28515625" customWidth="1"/>
    <col min="6" max="6" width="16.42578125" customWidth="1"/>
    <col min="7" max="7" width="16.140625" customWidth="1"/>
    <col min="8" max="8" width="13.5703125" customWidth="1"/>
    <col min="9" max="9" width="12.85546875" customWidth="1"/>
    <col min="10" max="10" width="15" customWidth="1"/>
    <col min="11" max="11" width="15.28515625" customWidth="1"/>
    <col min="12" max="12" width="15.85546875" customWidth="1"/>
    <col min="13" max="13" width="15.5703125" customWidth="1"/>
    <col min="14" max="14" width="18.28515625" customWidth="1"/>
    <col min="15" max="15" width="13" customWidth="1"/>
    <col min="16" max="16" width="17.85546875" customWidth="1"/>
    <col min="17" max="17" width="13.28515625" customWidth="1"/>
  </cols>
  <sheetData>
    <row r="1" spans="1:18" x14ac:dyDescent="0.25">
      <c r="A1" s="5" t="s">
        <v>183</v>
      </c>
      <c r="B1" s="5" t="s">
        <v>0</v>
      </c>
      <c r="C1" s="2" t="s">
        <v>2</v>
      </c>
      <c r="D1" s="6" t="s">
        <v>4</v>
      </c>
      <c r="E1" s="5" t="s">
        <v>5</v>
      </c>
      <c r="F1" s="5" t="s">
        <v>6</v>
      </c>
      <c r="G1" s="5" t="s">
        <v>7</v>
      </c>
      <c r="H1" s="5" t="s">
        <v>79</v>
      </c>
      <c r="I1" s="2" t="s">
        <v>80</v>
      </c>
      <c r="J1" s="5" t="s">
        <v>118</v>
      </c>
      <c r="K1" s="5" t="s">
        <v>121</v>
      </c>
      <c r="L1" s="5" t="s">
        <v>167</v>
      </c>
      <c r="M1" s="5" t="s">
        <v>169</v>
      </c>
      <c r="N1" s="6" t="s">
        <v>382</v>
      </c>
      <c r="O1" s="5" t="s">
        <v>383</v>
      </c>
      <c r="P1" s="5" t="s">
        <v>384</v>
      </c>
      <c r="Q1" s="5" t="s">
        <v>385</v>
      </c>
      <c r="R1" s="5" t="s">
        <v>386</v>
      </c>
    </row>
    <row r="2" spans="1:18" ht="39.75" customHeight="1" x14ac:dyDescent="0.25">
      <c r="A2" s="7" t="s">
        <v>106</v>
      </c>
      <c r="B2" s="5" t="s">
        <v>146</v>
      </c>
      <c r="C2" s="5" t="s">
        <v>168</v>
      </c>
      <c r="D2" s="5" t="s">
        <v>168</v>
      </c>
      <c r="E2" s="5" t="s">
        <v>155</v>
      </c>
      <c r="F2" s="5" t="s">
        <v>163</v>
      </c>
      <c r="G2" s="5" t="s">
        <v>152</v>
      </c>
      <c r="H2" s="5" t="s">
        <v>152</v>
      </c>
      <c r="I2" s="5" t="s">
        <v>111</v>
      </c>
      <c r="J2" s="5" t="s">
        <v>379</v>
      </c>
      <c r="K2" s="5" t="s">
        <v>152</v>
      </c>
      <c r="L2" s="5" t="s">
        <v>168</v>
      </c>
      <c r="M2" s="5" t="s">
        <v>163</v>
      </c>
      <c r="N2" s="5" t="s">
        <v>398</v>
      </c>
      <c r="O2" s="5" t="s">
        <v>400</v>
      </c>
      <c r="P2" s="5" t="s">
        <v>404</v>
      </c>
      <c r="Q2" s="5"/>
      <c r="R2" s="5"/>
    </row>
    <row r="3" spans="1:18" x14ac:dyDescent="0.25">
      <c r="A3" s="7" t="s">
        <v>284</v>
      </c>
      <c r="B3" s="5" t="s">
        <v>283</v>
      </c>
      <c r="C3" s="5" t="s">
        <v>283</v>
      </c>
      <c r="D3" s="5" t="s">
        <v>283</v>
      </c>
      <c r="E3" s="5" t="s">
        <v>283</v>
      </c>
      <c r="F3" s="5" t="s">
        <v>283</v>
      </c>
      <c r="G3" s="5" t="s">
        <v>283</v>
      </c>
      <c r="H3" s="5" t="s">
        <v>283</v>
      </c>
      <c r="I3" s="5" t="s">
        <v>156</v>
      </c>
      <c r="J3" s="5" t="s">
        <v>283</v>
      </c>
      <c r="K3" s="5" t="s">
        <v>283</v>
      </c>
      <c r="L3" s="5" t="s">
        <v>283</v>
      </c>
      <c r="M3" s="5" t="s">
        <v>283</v>
      </c>
      <c r="N3" s="2" t="s">
        <v>283</v>
      </c>
      <c r="O3" s="5" t="s">
        <v>283</v>
      </c>
      <c r="P3" s="5" t="s">
        <v>283</v>
      </c>
      <c r="Q3" s="5"/>
      <c r="R3" s="5"/>
    </row>
    <row r="4" spans="1:18" x14ac:dyDescent="0.25">
      <c r="A4" s="7" t="s">
        <v>35</v>
      </c>
      <c r="B4" s="5" t="s">
        <v>20</v>
      </c>
      <c r="C4" s="5">
        <v>2017</v>
      </c>
      <c r="D4" s="5">
        <v>2016</v>
      </c>
      <c r="E4" s="5">
        <v>2017</v>
      </c>
      <c r="F4" s="5">
        <v>2016</v>
      </c>
      <c r="G4" s="5">
        <v>2014</v>
      </c>
      <c r="H4" s="5">
        <v>2017</v>
      </c>
      <c r="I4" s="5">
        <v>2017</v>
      </c>
      <c r="J4" s="5" t="s">
        <v>20</v>
      </c>
      <c r="K4" s="5">
        <v>2017</v>
      </c>
      <c r="L4" s="5">
        <v>2016</v>
      </c>
      <c r="M4" s="5">
        <v>2016</v>
      </c>
      <c r="N4" s="2">
        <v>2015</v>
      </c>
      <c r="O4" s="5">
        <v>2015</v>
      </c>
      <c r="P4" s="5">
        <v>2014</v>
      </c>
      <c r="Q4" s="5"/>
      <c r="R4" s="5"/>
    </row>
    <row r="5" spans="1:18" x14ac:dyDescent="0.25">
      <c r="A5" s="7" t="s">
        <v>36</v>
      </c>
      <c r="B5" s="5" t="s">
        <v>37</v>
      </c>
      <c r="C5" s="5" t="s">
        <v>166</v>
      </c>
      <c r="D5" s="5" t="s">
        <v>62</v>
      </c>
      <c r="E5" s="5" t="s">
        <v>62</v>
      </c>
      <c r="F5" s="5" t="s">
        <v>62</v>
      </c>
      <c r="G5" s="5" t="s">
        <v>63</v>
      </c>
      <c r="H5" s="5" t="s">
        <v>388</v>
      </c>
      <c r="I5" s="5" t="s">
        <v>49</v>
      </c>
      <c r="J5" s="5" t="s">
        <v>37</v>
      </c>
      <c r="K5" s="5" t="s">
        <v>390</v>
      </c>
      <c r="L5" s="5" t="s">
        <v>62</v>
      </c>
      <c r="M5" s="5" t="s">
        <v>62</v>
      </c>
      <c r="N5" s="2" t="s">
        <v>397</v>
      </c>
      <c r="O5" s="5" t="s">
        <v>397</v>
      </c>
      <c r="P5" s="5" t="s">
        <v>406</v>
      </c>
      <c r="Q5" s="5"/>
      <c r="R5" s="5"/>
    </row>
    <row r="6" spans="1:18" x14ac:dyDescent="0.25">
      <c r="A6" s="7" t="s">
        <v>33</v>
      </c>
      <c r="B6" s="5" t="s">
        <v>34</v>
      </c>
      <c r="C6" s="5" t="s">
        <v>171</v>
      </c>
      <c r="D6" s="5">
        <v>28</v>
      </c>
      <c r="E6" s="5">
        <v>28</v>
      </c>
      <c r="F6" s="5">
        <v>28.5</v>
      </c>
      <c r="G6" s="5" t="s">
        <v>64</v>
      </c>
      <c r="H6" s="5" t="s">
        <v>64</v>
      </c>
      <c r="I6" s="5">
        <v>28</v>
      </c>
      <c r="J6" s="5" t="s">
        <v>378</v>
      </c>
      <c r="K6" s="5" t="s">
        <v>408</v>
      </c>
      <c r="L6" s="5">
        <v>30</v>
      </c>
      <c r="M6" s="5">
        <v>28</v>
      </c>
      <c r="N6" s="2" t="s">
        <v>300</v>
      </c>
      <c r="O6" s="5" t="s">
        <v>401</v>
      </c>
      <c r="P6" s="5" t="s">
        <v>405</v>
      </c>
      <c r="Q6" s="5"/>
      <c r="R6" s="5"/>
    </row>
    <row r="7" spans="1:18" x14ac:dyDescent="0.25">
      <c r="A7" s="7" t="s">
        <v>172</v>
      </c>
      <c r="B7" s="5" t="s">
        <v>20</v>
      </c>
      <c r="C7" s="5">
        <v>3</v>
      </c>
      <c r="D7" s="5">
        <v>2</v>
      </c>
      <c r="E7" s="5">
        <v>2</v>
      </c>
      <c r="F7" s="5">
        <v>1</v>
      </c>
      <c r="G7" s="5">
        <v>1</v>
      </c>
      <c r="H7" s="5" t="s">
        <v>380</v>
      </c>
      <c r="I7" s="5">
        <v>2</v>
      </c>
      <c r="J7" s="5" t="s">
        <v>380</v>
      </c>
      <c r="K7" s="5"/>
      <c r="L7" s="5">
        <v>2</v>
      </c>
      <c r="M7" s="5"/>
      <c r="N7" s="2" t="s">
        <v>380</v>
      </c>
      <c r="O7" s="5">
        <v>2</v>
      </c>
      <c r="P7" s="5">
        <v>2</v>
      </c>
      <c r="Q7" s="5">
        <v>2</v>
      </c>
      <c r="R7" s="5"/>
    </row>
    <row r="8" spans="1:18" x14ac:dyDescent="0.25">
      <c r="A8" s="7" t="s">
        <v>69</v>
      </c>
      <c r="B8" s="5"/>
      <c r="C8" s="5">
        <v>22.4</v>
      </c>
      <c r="D8" s="5">
        <v>16.3</v>
      </c>
      <c r="E8" s="5">
        <v>17.5</v>
      </c>
      <c r="F8" s="5">
        <v>13</v>
      </c>
      <c r="G8" s="5">
        <v>16</v>
      </c>
      <c r="H8" s="5">
        <v>15.5</v>
      </c>
      <c r="I8" s="5">
        <v>19</v>
      </c>
      <c r="J8" s="5">
        <v>22</v>
      </c>
      <c r="K8" s="5">
        <v>27.6</v>
      </c>
      <c r="L8" s="5">
        <v>25.7</v>
      </c>
      <c r="M8" s="5">
        <v>13.6</v>
      </c>
      <c r="N8" s="2">
        <v>24</v>
      </c>
      <c r="O8" s="5" t="s">
        <v>402</v>
      </c>
      <c r="P8" s="5">
        <v>34.5</v>
      </c>
      <c r="Q8" s="5"/>
      <c r="R8" s="5"/>
    </row>
    <row r="9" spans="1:18" x14ac:dyDescent="0.25">
      <c r="A9" s="7" t="s">
        <v>1</v>
      </c>
      <c r="B9" s="5">
        <v>32</v>
      </c>
      <c r="C9" s="5">
        <v>15.1</v>
      </c>
      <c r="D9" s="5">
        <v>15.3</v>
      </c>
      <c r="E9" s="5">
        <v>18.7</v>
      </c>
      <c r="F9" s="5">
        <v>19.8</v>
      </c>
      <c r="G9" s="5" t="s">
        <v>65</v>
      </c>
      <c r="H9" s="5">
        <v>18.600000000000001</v>
      </c>
      <c r="I9" s="5" t="s">
        <v>20</v>
      </c>
      <c r="J9" s="5">
        <v>30.5</v>
      </c>
      <c r="K9" s="5">
        <v>23.7</v>
      </c>
      <c r="L9" s="5">
        <v>14</v>
      </c>
      <c r="M9" s="5">
        <v>19.8</v>
      </c>
      <c r="N9" s="2">
        <v>38.5</v>
      </c>
      <c r="O9" s="5">
        <v>45.5</v>
      </c>
      <c r="P9" s="5">
        <v>20.6</v>
      </c>
      <c r="Q9" s="5"/>
      <c r="R9" s="5"/>
    </row>
    <row r="10" spans="1:18" x14ac:dyDescent="0.25">
      <c r="A10" s="7" t="s">
        <v>32</v>
      </c>
      <c r="B10" s="5">
        <v>31</v>
      </c>
      <c r="C10" s="5">
        <v>13.7</v>
      </c>
      <c r="D10" s="5">
        <v>14.3</v>
      </c>
      <c r="E10" s="5">
        <v>15.4</v>
      </c>
      <c r="F10" s="5">
        <v>18.600000000000001</v>
      </c>
      <c r="G10" s="5" t="s">
        <v>66</v>
      </c>
      <c r="H10" s="5">
        <v>15.5</v>
      </c>
      <c r="I10" s="5">
        <v>2</v>
      </c>
      <c r="J10" s="5">
        <v>30</v>
      </c>
      <c r="K10" s="5">
        <v>23.2</v>
      </c>
      <c r="L10" s="5">
        <v>13.2</v>
      </c>
      <c r="M10" s="5">
        <v>18.600000000000001</v>
      </c>
      <c r="N10" s="2">
        <v>37.5</v>
      </c>
      <c r="O10" s="5" t="s">
        <v>20</v>
      </c>
      <c r="P10" s="5" t="s">
        <v>20</v>
      </c>
      <c r="Q10" s="5"/>
      <c r="R10" s="5"/>
    </row>
    <row r="11" spans="1:18" x14ac:dyDescent="0.25">
      <c r="A11" s="7" t="s">
        <v>72</v>
      </c>
      <c r="B11" s="5">
        <v>6600</v>
      </c>
      <c r="C11" s="5" t="s">
        <v>20</v>
      </c>
      <c r="D11" s="5" t="s">
        <v>20</v>
      </c>
      <c r="E11" s="5">
        <v>154</v>
      </c>
      <c r="F11" s="5" t="s">
        <v>20</v>
      </c>
      <c r="G11" s="5" t="s">
        <v>154</v>
      </c>
      <c r="H11" s="5" t="s">
        <v>20</v>
      </c>
      <c r="I11" s="5">
        <v>228</v>
      </c>
      <c r="J11" s="5">
        <v>4200</v>
      </c>
      <c r="K11" s="5"/>
      <c r="L11" s="5">
        <v>17.5</v>
      </c>
      <c r="M11" s="5"/>
      <c r="N11" s="29">
        <f>8300/0.27</f>
        <v>30740.740740740737</v>
      </c>
      <c r="O11" s="5" t="s">
        <v>20</v>
      </c>
      <c r="P11" s="5" t="s">
        <v>380</v>
      </c>
      <c r="Q11" s="5"/>
      <c r="R11" s="5"/>
    </row>
    <row r="12" spans="1:18" x14ac:dyDescent="0.25">
      <c r="A12" s="7" t="s">
        <v>82</v>
      </c>
      <c r="B12" s="5" t="s">
        <v>20</v>
      </c>
      <c r="C12" s="5">
        <v>33.700000000000003</v>
      </c>
      <c r="D12" s="13">
        <v>36.6</v>
      </c>
      <c r="E12" s="5">
        <v>12.4</v>
      </c>
      <c r="F12" s="5">
        <v>43.3</v>
      </c>
      <c r="G12" s="5" t="s">
        <v>20</v>
      </c>
      <c r="H12" s="5">
        <v>35.299999999999997</v>
      </c>
      <c r="I12" s="5" t="s">
        <v>20</v>
      </c>
      <c r="J12" s="5">
        <v>22</v>
      </c>
      <c r="K12" s="5">
        <v>32</v>
      </c>
      <c r="L12" s="5">
        <v>35.5</v>
      </c>
      <c r="M12" s="5">
        <v>43.3</v>
      </c>
      <c r="N12" s="2">
        <v>24</v>
      </c>
      <c r="O12" s="5">
        <v>32</v>
      </c>
      <c r="P12" s="5">
        <v>29</v>
      </c>
      <c r="Q12" s="5"/>
      <c r="R12" s="5"/>
    </row>
    <row r="13" spans="1:18" x14ac:dyDescent="0.25">
      <c r="A13" s="7" t="s">
        <v>81</v>
      </c>
      <c r="B13" s="5" t="s">
        <v>20</v>
      </c>
      <c r="C13" s="5">
        <v>31.1</v>
      </c>
      <c r="D13" s="13">
        <v>35.799999999999997</v>
      </c>
      <c r="E13" s="5">
        <v>7</v>
      </c>
      <c r="F13" s="5">
        <v>41.4</v>
      </c>
      <c r="G13" s="5">
        <v>31.5</v>
      </c>
      <c r="H13" s="5" t="s">
        <v>20</v>
      </c>
      <c r="I13" s="5" t="s">
        <v>20</v>
      </c>
      <c r="J13" s="5">
        <v>22</v>
      </c>
      <c r="K13" s="5">
        <v>32.700000000000003</v>
      </c>
      <c r="L13" s="5">
        <v>24.3</v>
      </c>
      <c r="M13" s="5">
        <v>41.4</v>
      </c>
      <c r="N13" s="2" t="s">
        <v>20</v>
      </c>
      <c r="O13" s="5" t="s">
        <v>380</v>
      </c>
      <c r="P13" s="5" t="s">
        <v>380</v>
      </c>
      <c r="Q13" s="5"/>
      <c r="R13" s="5"/>
    </row>
    <row r="14" spans="1:18" ht="18" customHeight="1" x14ac:dyDescent="0.25">
      <c r="A14" s="7" t="s">
        <v>157</v>
      </c>
      <c r="B14" s="5" t="s">
        <v>20</v>
      </c>
      <c r="C14" s="5" t="s">
        <v>20</v>
      </c>
      <c r="D14" s="13" t="s">
        <v>20</v>
      </c>
      <c r="E14" s="5" t="s">
        <v>20</v>
      </c>
      <c r="F14" s="5" t="s">
        <v>20</v>
      </c>
      <c r="G14" s="5" t="s">
        <v>20</v>
      </c>
      <c r="H14" s="5" t="s">
        <v>20</v>
      </c>
      <c r="I14" s="5">
        <f>4.1*1.2</f>
        <v>4.919999999999999</v>
      </c>
      <c r="J14" s="5" t="s">
        <v>20</v>
      </c>
      <c r="K14" s="5"/>
      <c r="L14" s="5" t="s">
        <v>20</v>
      </c>
      <c r="M14" s="5" t="s">
        <v>20</v>
      </c>
      <c r="N14" s="2" t="s">
        <v>20</v>
      </c>
      <c r="O14" s="5" t="s">
        <v>20</v>
      </c>
      <c r="P14" s="5" t="s">
        <v>380</v>
      </c>
      <c r="Q14" s="5"/>
      <c r="R14" s="5"/>
    </row>
    <row r="15" spans="1:18" ht="14.25" customHeight="1" x14ac:dyDescent="0.25">
      <c r="A15" s="7" t="s">
        <v>158</v>
      </c>
      <c r="B15" s="5" t="s">
        <v>20</v>
      </c>
      <c r="C15" s="5">
        <v>0.23</v>
      </c>
      <c r="D15" s="5">
        <v>0.16</v>
      </c>
      <c r="E15" s="5">
        <v>0.66</v>
      </c>
      <c r="F15" s="5">
        <v>0.28000000000000003</v>
      </c>
      <c r="G15" s="5" t="s">
        <v>153</v>
      </c>
      <c r="H15" s="5" t="s">
        <v>20</v>
      </c>
      <c r="I15" s="5" t="s">
        <v>20</v>
      </c>
      <c r="J15" s="5" t="s">
        <v>20</v>
      </c>
      <c r="K15" s="5"/>
      <c r="L15" s="5">
        <v>0.16</v>
      </c>
      <c r="M15" s="5">
        <v>0.28000000000000003</v>
      </c>
      <c r="N15" s="2">
        <f>3.6*3.8</f>
        <v>13.68</v>
      </c>
      <c r="O15" s="5">
        <v>13.5</v>
      </c>
      <c r="P15" s="5" t="s">
        <v>380</v>
      </c>
      <c r="Q15" s="5"/>
      <c r="R15" s="5"/>
    </row>
    <row r="16" spans="1:18" ht="103.5" customHeight="1" x14ac:dyDescent="0.25">
      <c r="A16" s="7" t="s">
        <v>12</v>
      </c>
      <c r="B16" s="5"/>
      <c r="C16" s="5"/>
      <c r="D16" s="5"/>
      <c r="E16" s="5" t="s">
        <v>285</v>
      </c>
      <c r="F16" s="5" t="s">
        <v>164</v>
      </c>
      <c r="G16" s="5" t="s">
        <v>67</v>
      </c>
      <c r="H16" s="5" t="s">
        <v>389</v>
      </c>
      <c r="I16" s="5" t="s">
        <v>407</v>
      </c>
      <c r="J16" s="5"/>
      <c r="K16" s="5"/>
      <c r="L16" s="5" t="s">
        <v>393</v>
      </c>
      <c r="M16" s="5" t="s">
        <v>395</v>
      </c>
      <c r="N16" s="2"/>
      <c r="O16" s="5"/>
      <c r="P16" s="5"/>
      <c r="Q16" s="5"/>
      <c r="R16" s="5"/>
    </row>
    <row r="17" spans="1:10" x14ac:dyDescent="0.25">
      <c r="J17" s="8"/>
    </row>
    <row r="18" spans="1:10" x14ac:dyDescent="0.25">
      <c r="J18" s="11"/>
    </row>
    <row r="19" spans="1:10" x14ac:dyDescent="0.25">
      <c r="A19" s="14" t="s">
        <v>3</v>
      </c>
      <c r="J19" s="8"/>
    </row>
    <row r="20" spans="1:10" x14ac:dyDescent="0.25">
      <c r="A20" s="2" t="s">
        <v>2</v>
      </c>
      <c r="B20" s="12" t="s">
        <v>170</v>
      </c>
    </row>
    <row r="21" spans="1:10" x14ac:dyDescent="0.25">
      <c r="A21" s="2" t="s">
        <v>4</v>
      </c>
      <c r="B21" s="12" t="s">
        <v>175</v>
      </c>
    </row>
    <row r="22" spans="1:10" x14ac:dyDescent="0.25">
      <c r="A22" s="2" t="s">
        <v>5</v>
      </c>
      <c r="B22" s="12" t="s">
        <v>176</v>
      </c>
    </row>
    <row r="23" spans="1:10" x14ac:dyDescent="0.25">
      <c r="A23" s="2" t="s">
        <v>6</v>
      </c>
      <c r="B23" s="12" t="s">
        <v>177</v>
      </c>
    </row>
    <row r="24" spans="1:10" x14ac:dyDescent="0.25">
      <c r="A24" s="2" t="s">
        <v>7</v>
      </c>
      <c r="B24" s="12" t="s">
        <v>178</v>
      </c>
    </row>
    <row r="25" spans="1:10" x14ac:dyDescent="0.25">
      <c r="A25" s="2" t="s">
        <v>79</v>
      </c>
      <c r="B25" s="12" t="s">
        <v>387</v>
      </c>
    </row>
    <row r="26" spans="1:10" x14ac:dyDescent="0.25">
      <c r="A26" s="2" t="s">
        <v>80</v>
      </c>
      <c r="B26" s="12" t="s">
        <v>138</v>
      </c>
    </row>
    <row r="27" spans="1:10" x14ac:dyDescent="0.25">
      <c r="A27" s="2" t="s">
        <v>118</v>
      </c>
      <c r="B27" s="12" t="s">
        <v>381</v>
      </c>
    </row>
    <row r="28" spans="1:10" x14ac:dyDescent="0.25">
      <c r="A28" s="2" t="s">
        <v>121</v>
      </c>
      <c r="B28" s="12" t="s">
        <v>391</v>
      </c>
    </row>
    <row r="29" spans="1:10" x14ac:dyDescent="0.25">
      <c r="A29" s="2" t="s">
        <v>167</v>
      </c>
      <c r="B29" s="12" t="s">
        <v>392</v>
      </c>
    </row>
    <row r="30" spans="1:10" x14ac:dyDescent="0.25">
      <c r="A30" s="2" t="s">
        <v>169</v>
      </c>
      <c r="B30" s="12" t="s">
        <v>394</v>
      </c>
    </row>
    <row r="31" spans="1:10" x14ac:dyDescent="0.25">
      <c r="A31" s="2" t="s">
        <v>382</v>
      </c>
      <c r="B31" t="s">
        <v>396</v>
      </c>
    </row>
    <row r="32" spans="1:10" x14ac:dyDescent="0.25">
      <c r="A32" s="2" t="s">
        <v>383</v>
      </c>
      <c r="B32" t="s">
        <v>399</v>
      </c>
    </row>
    <row r="33" spans="1:2" x14ac:dyDescent="0.25">
      <c r="A33" s="2" t="s">
        <v>384</v>
      </c>
      <c r="B33" t="s">
        <v>403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19F9-00A4-41CA-8120-071428FDC38E}">
  <dimension ref="A1:S17"/>
  <sheetViews>
    <sheetView workbookViewId="0">
      <selection activeCell="C23" sqref="C23"/>
    </sheetView>
  </sheetViews>
  <sheetFormatPr defaultRowHeight="15" x14ac:dyDescent="0.25"/>
  <cols>
    <col min="1" max="1" width="11" customWidth="1"/>
    <col min="2" max="2" width="15.5703125" customWidth="1"/>
    <col min="3" max="3" width="13.7109375" customWidth="1"/>
    <col min="5" max="5" width="10.5703125" customWidth="1"/>
    <col min="6" max="6" width="13" customWidth="1"/>
    <col min="7" max="7" width="13" hidden="1" customWidth="1"/>
    <col min="8" max="8" width="13.28515625" hidden="1" customWidth="1"/>
    <col min="9" max="9" width="11.42578125" hidden="1" customWidth="1"/>
    <col min="11" max="11" width="13.42578125" hidden="1" customWidth="1"/>
    <col min="12" max="12" width="14.42578125" hidden="1" customWidth="1"/>
    <col min="13" max="13" width="14.140625" customWidth="1"/>
    <col min="14" max="14" width="15.85546875" hidden="1" customWidth="1"/>
    <col min="15" max="15" width="19" hidden="1" customWidth="1"/>
    <col min="16" max="16" width="16.85546875" hidden="1" customWidth="1"/>
    <col min="17" max="17" width="16.85546875" customWidth="1"/>
    <col min="18" max="18" width="55.140625" customWidth="1"/>
    <col min="19" max="19" width="131.140625" customWidth="1"/>
  </cols>
  <sheetData>
    <row r="1" spans="1:19" ht="19.5" customHeight="1" x14ac:dyDescent="0.25">
      <c r="A1" s="93" t="s">
        <v>183</v>
      </c>
      <c r="B1" s="94" t="s">
        <v>106</v>
      </c>
      <c r="C1" s="94" t="s">
        <v>423</v>
      </c>
      <c r="D1" s="94" t="s">
        <v>35</v>
      </c>
      <c r="E1" s="94" t="s">
        <v>424</v>
      </c>
      <c r="F1" s="94" t="s">
        <v>36</v>
      </c>
      <c r="G1" s="94" t="s">
        <v>33</v>
      </c>
      <c r="H1" s="94" t="s">
        <v>172</v>
      </c>
      <c r="I1" s="94" t="s">
        <v>69</v>
      </c>
      <c r="J1" s="94" t="s">
        <v>1</v>
      </c>
      <c r="K1" s="94" t="s">
        <v>32</v>
      </c>
      <c r="L1" s="94" t="s">
        <v>72</v>
      </c>
      <c r="M1" s="94" t="s">
        <v>82</v>
      </c>
      <c r="N1" s="94" t="s">
        <v>81</v>
      </c>
      <c r="O1" s="94" t="s">
        <v>157</v>
      </c>
      <c r="P1" s="94" t="s">
        <v>158</v>
      </c>
      <c r="Q1" s="94" t="s">
        <v>431</v>
      </c>
      <c r="R1" s="95" t="s">
        <v>12</v>
      </c>
      <c r="S1" s="96" t="s">
        <v>422</v>
      </c>
    </row>
    <row r="2" spans="1:19" ht="30" x14ac:dyDescent="0.25">
      <c r="A2" s="91" t="s">
        <v>2</v>
      </c>
      <c r="B2" s="86" t="s">
        <v>168</v>
      </c>
      <c r="C2" s="86" t="s">
        <v>283</v>
      </c>
      <c r="D2" s="86">
        <v>2017</v>
      </c>
      <c r="E2" s="86" t="s">
        <v>425</v>
      </c>
      <c r="F2" s="86" t="s">
        <v>166</v>
      </c>
      <c r="G2" s="86" t="s">
        <v>171</v>
      </c>
      <c r="H2" s="86">
        <v>3</v>
      </c>
      <c r="I2" s="86">
        <v>22.4</v>
      </c>
      <c r="J2" s="86">
        <v>15.1</v>
      </c>
      <c r="K2" s="86">
        <v>13.7</v>
      </c>
      <c r="L2" s="86" t="s">
        <v>20</v>
      </c>
      <c r="M2" s="86">
        <v>33.700000000000003</v>
      </c>
      <c r="N2" s="86">
        <v>31.1</v>
      </c>
      <c r="O2" s="86" t="s">
        <v>20</v>
      </c>
      <c r="P2" s="86">
        <v>0.23</v>
      </c>
      <c r="Q2" s="86">
        <v>1</v>
      </c>
      <c r="R2" s="86"/>
      <c r="S2" s="88" t="s">
        <v>170</v>
      </c>
    </row>
    <row r="3" spans="1:19" ht="30" x14ac:dyDescent="0.25">
      <c r="A3" s="91" t="s">
        <v>5</v>
      </c>
      <c r="B3" s="86" t="s">
        <v>155</v>
      </c>
      <c r="C3" s="86" t="s">
        <v>283</v>
      </c>
      <c r="D3" s="86">
        <v>2017</v>
      </c>
      <c r="E3" s="86" t="s">
        <v>425</v>
      </c>
      <c r="F3" s="86" t="s">
        <v>62</v>
      </c>
      <c r="G3" s="86">
        <v>28</v>
      </c>
      <c r="H3" s="86">
        <v>2</v>
      </c>
      <c r="I3" s="86">
        <v>17.5</v>
      </c>
      <c r="J3" s="86">
        <v>18.7</v>
      </c>
      <c r="K3" s="86">
        <v>15.4</v>
      </c>
      <c r="L3" s="86">
        <v>154</v>
      </c>
      <c r="M3" s="86">
        <v>12.4</v>
      </c>
      <c r="N3" s="86">
        <v>7</v>
      </c>
      <c r="O3" s="86" t="s">
        <v>20</v>
      </c>
      <c r="P3" s="86">
        <v>0.66</v>
      </c>
      <c r="Q3" s="86">
        <v>1</v>
      </c>
      <c r="R3" s="87" t="s">
        <v>285</v>
      </c>
      <c r="S3" s="88" t="s">
        <v>176</v>
      </c>
    </row>
    <row r="4" spans="1:19" ht="30" hidden="1" x14ac:dyDescent="0.25">
      <c r="A4" s="91" t="s">
        <v>80</v>
      </c>
      <c r="B4" s="86" t="s">
        <v>111</v>
      </c>
      <c r="C4" s="86" t="s">
        <v>156</v>
      </c>
      <c r="D4" s="86">
        <v>2017</v>
      </c>
      <c r="E4" s="86" t="s">
        <v>425</v>
      </c>
      <c r="F4" s="86" t="s">
        <v>49</v>
      </c>
      <c r="G4" s="86">
        <v>28</v>
      </c>
      <c r="H4" s="86">
        <v>2</v>
      </c>
      <c r="I4" s="86">
        <v>19</v>
      </c>
      <c r="J4" s="86" t="s">
        <v>430</v>
      </c>
      <c r="K4" s="86">
        <v>2</v>
      </c>
      <c r="L4" s="86">
        <v>228</v>
      </c>
      <c r="M4" s="86" t="s">
        <v>430</v>
      </c>
      <c r="N4" s="86" t="s">
        <v>430</v>
      </c>
      <c r="O4" s="86">
        <f>4.1*1.2</f>
        <v>4.919999999999999</v>
      </c>
      <c r="P4" s="86" t="s">
        <v>430</v>
      </c>
      <c r="Q4" s="86">
        <v>0</v>
      </c>
      <c r="R4" s="87" t="s">
        <v>407</v>
      </c>
      <c r="S4" s="88" t="s">
        <v>138</v>
      </c>
    </row>
    <row r="5" spans="1:19" ht="30" hidden="1" x14ac:dyDescent="0.25">
      <c r="A5" s="91" t="s">
        <v>4</v>
      </c>
      <c r="B5" s="86" t="s">
        <v>168</v>
      </c>
      <c r="C5" s="86" t="s">
        <v>283</v>
      </c>
      <c r="D5" s="86">
        <v>2016</v>
      </c>
      <c r="E5" s="86" t="s">
        <v>425</v>
      </c>
      <c r="F5" s="86" t="s">
        <v>62</v>
      </c>
      <c r="G5" s="86">
        <v>28</v>
      </c>
      <c r="H5" s="86">
        <v>2</v>
      </c>
      <c r="I5" s="86">
        <v>16.3</v>
      </c>
      <c r="J5" s="86">
        <v>15.3</v>
      </c>
      <c r="K5" s="86">
        <v>14.3</v>
      </c>
      <c r="L5" s="86" t="s">
        <v>20</v>
      </c>
      <c r="M5" s="89">
        <v>36.6</v>
      </c>
      <c r="N5" s="89">
        <v>35.799999999999997</v>
      </c>
      <c r="O5" s="89" t="s">
        <v>20</v>
      </c>
      <c r="P5" s="86">
        <v>0.16</v>
      </c>
      <c r="Q5" s="86">
        <v>0</v>
      </c>
      <c r="R5" s="87" t="s">
        <v>433</v>
      </c>
      <c r="S5" s="88" t="s">
        <v>175</v>
      </c>
    </row>
    <row r="6" spans="1:19" ht="30" hidden="1" x14ac:dyDescent="0.25">
      <c r="A6" s="91" t="s">
        <v>6</v>
      </c>
      <c r="B6" s="86" t="s">
        <v>163</v>
      </c>
      <c r="C6" s="86" t="s">
        <v>283</v>
      </c>
      <c r="D6" s="86">
        <v>2016</v>
      </c>
      <c r="E6" s="86" t="s">
        <v>425</v>
      </c>
      <c r="F6" s="86" t="s">
        <v>62</v>
      </c>
      <c r="G6" s="86">
        <v>28.5</v>
      </c>
      <c r="H6" s="86">
        <v>1</v>
      </c>
      <c r="I6" s="86">
        <v>13</v>
      </c>
      <c r="J6" s="86">
        <v>19.8</v>
      </c>
      <c r="K6" s="86">
        <v>18.600000000000001</v>
      </c>
      <c r="L6" s="86" t="s">
        <v>20</v>
      </c>
      <c r="M6" s="86">
        <v>43.3</v>
      </c>
      <c r="N6" s="86">
        <v>41.4</v>
      </c>
      <c r="O6" s="86" t="s">
        <v>20</v>
      </c>
      <c r="P6" s="86">
        <v>0.28000000000000003</v>
      </c>
      <c r="Q6" s="86">
        <v>0</v>
      </c>
      <c r="R6" s="87" t="s">
        <v>434</v>
      </c>
      <c r="S6" s="88" t="s">
        <v>177</v>
      </c>
    </row>
    <row r="7" spans="1:19" ht="30" x14ac:dyDescent="0.25">
      <c r="A7" s="91" t="s">
        <v>167</v>
      </c>
      <c r="B7" s="86" t="s">
        <v>168</v>
      </c>
      <c r="C7" s="86" t="s">
        <v>283</v>
      </c>
      <c r="D7" s="86">
        <v>2016</v>
      </c>
      <c r="E7" s="86" t="s">
        <v>425</v>
      </c>
      <c r="F7" s="86" t="s">
        <v>62</v>
      </c>
      <c r="G7" s="86">
        <v>30</v>
      </c>
      <c r="H7" s="86">
        <v>2</v>
      </c>
      <c r="I7" s="86">
        <v>25.7</v>
      </c>
      <c r="J7" s="86">
        <v>14</v>
      </c>
      <c r="K7" s="86">
        <v>13.2</v>
      </c>
      <c r="L7" s="86">
        <v>17.5</v>
      </c>
      <c r="M7" s="86">
        <v>35.5</v>
      </c>
      <c r="N7" s="86">
        <v>24.3</v>
      </c>
      <c r="O7" s="86" t="s">
        <v>20</v>
      </c>
      <c r="P7" s="86">
        <v>0.16</v>
      </c>
      <c r="Q7" s="86">
        <v>1</v>
      </c>
      <c r="R7" s="87" t="s">
        <v>393</v>
      </c>
      <c r="S7" s="88" t="s">
        <v>392</v>
      </c>
    </row>
    <row r="8" spans="1:19" ht="30" x14ac:dyDescent="0.25">
      <c r="A8" s="91" t="s">
        <v>169</v>
      </c>
      <c r="B8" s="86" t="s">
        <v>163</v>
      </c>
      <c r="C8" s="86" t="s">
        <v>283</v>
      </c>
      <c r="D8" s="86">
        <v>2016</v>
      </c>
      <c r="E8" s="86" t="s">
        <v>425</v>
      </c>
      <c r="F8" s="86" t="s">
        <v>62</v>
      </c>
      <c r="G8" s="86">
        <v>28</v>
      </c>
      <c r="H8" s="86"/>
      <c r="I8" s="86">
        <v>13.6</v>
      </c>
      <c r="J8" s="86">
        <v>19.8</v>
      </c>
      <c r="K8" s="86">
        <v>18.600000000000001</v>
      </c>
      <c r="L8" s="86" t="s">
        <v>430</v>
      </c>
      <c r="M8" s="86">
        <v>43.3</v>
      </c>
      <c r="N8" s="86">
        <v>41.4</v>
      </c>
      <c r="O8" s="86" t="s">
        <v>20</v>
      </c>
      <c r="P8" s="86">
        <v>0.28000000000000003</v>
      </c>
      <c r="Q8" s="86">
        <v>1</v>
      </c>
      <c r="R8" s="87" t="s">
        <v>395</v>
      </c>
      <c r="S8" s="88" t="s">
        <v>394</v>
      </c>
    </row>
    <row r="9" spans="1:19" ht="30" x14ac:dyDescent="0.25">
      <c r="A9" s="91" t="s">
        <v>79</v>
      </c>
      <c r="B9" s="86" t="s">
        <v>152</v>
      </c>
      <c r="C9" s="86" t="s">
        <v>283</v>
      </c>
      <c r="D9" s="86">
        <v>2017</v>
      </c>
      <c r="E9" s="86" t="s">
        <v>426</v>
      </c>
      <c r="F9" s="86" t="s">
        <v>388</v>
      </c>
      <c r="G9" s="86" t="s">
        <v>64</v>
      </c>
      <c r="H9" s="86" t="s">
        <v>380</v>
      </c>
      <c r="I9" s="86">
        <v>15.5</v>
      </c>
      <c r="J9" s="86">
        <v>18.600000000000001</v>
      </c>
      <c r="K9" s="86">
        <v>15.5</v>
      </c>
      <c r="L9" s="86" t="s">
        <v>430</v>
      </c>
      <c r="M9" s="86">
        <v>35.299999999999997</v>
      </c>
      <c r="N9" s="86" t="s">
        <v>20</v>
      </c>
      <c r="O9" s="86" t="s">
        <v>20</v>
      </c>
      <c r="P9" s="86" t="s">
        <v>430</v>
      </c>
      <c r="Q9" s="86">
        <v>1</v>
      </c>
      <c r="R9" s="87" t="s">
        <v>389</v>
      </c>
      <c r="S9" s="88" t="s">
        <v>387</v>
      </c>
    </row>
    <row r="10" spans="1:19" ht="30" x14ac:dyDescent="0.25">
      <c r="A10" s="91" t="s">
        <v>121</v>
      </c>
      <c r="B10" s="86" t="s">
        <v>152</v>
      </c>
      <c r="C10" s="86" t="s">
        <v>283</v>
      </c>
      <c r="D10" s="86">
        <v>2017</v>
      </c>
      <c r="E10" s="86" t="s">
        <v>426</v>
      </c>
      <c r="F10" s="86" t="s">
        <v>390</v>
      </c>
      <c r="G10" s="86" t="s">
        <v>408</v>
      </c>
      <c r="H10" s="86"/>
      <c r="I10" s="86">
        <v>27.6</v>
      </c>
      <c r="J10" s="86">
        <v>23.7</v>
      </c>
      <c r="K10" s="86">
        <v>23.2</v>
      </c>
      <c r="L10" s="86" t="s">
        <v>430</v>
      </c>
      <c r="M10" s="86">
        <v>32</v>
      </c>
      <c r="N10" s="86">
        <v>32.700000000000003</v>
      </c>
      <c r="O10" s="86"/>
      <c r="P10" s="86" t="s">
        <v>430</v>
      </c>
      <c r="Q10" s="86">
        <v>1</v>
      </c>
      <c r="R10" s="87"/>
      <c r="S10" s="88" t="s">
        <v>391</v>
      </c>
    </row>
    <row r="11" spans="1:19" ht="30" hidden="1" x14ac:dyDescent="0.25">
      <c r="A11" s="91" t="s">
        <v>7</v>
      </c>
      <c r="B11" s="86" t="s">
        <v>152</v>
      </c>
      <c r="C11" s="86" t="s">
        <v>283</v>
      </c>
      <c r="D11" s="86">
        <v>2014</v>
      </c>
      <c r="E11" s="86" t="s">
        <v>426</v>
      </c>
      <c r="F11" s="86" t="s">
        <v>63</v>
      </c>
      <c r="G11" s="86" t="s">
        <v>64</v>
      </c>
      <c r="H11" s="86">
        <v>1</v>
      </c>
      <c r="I11" s="86">
        <v>16</v>
      </c>
      <c r="J11" s="86" t="s">
        <v>65</v>
      </c>
      <c r="K11" s="86" t="s">
        <v>66</v>
      </c>
      <c r="L11" s="86" t="s">
        <v>154</v>
      </c>
      <c r="M11" s="86" t="s">
        <v>20</v>
      </c>
      <c r="N11" s="86">
        <v>31.5</v>
      </c>
      <c r="O11" s="86" t="s">
        <v>20</v>
      </c>
      <c r="P11" s="86" t="s">
        <v>153</v>
      </c>
      <c r="Q11" s="86">
        <v>0</v>
      </c>
      <c r="R11" s="87" t="s">
        <v>432</v>
      </c>
      <c r="S11" s="88" t="s">
        <v>178</v>
      </c>
    </row>
    <row r="12" spans="1:19" ht="30" x14ac:dyDescent="0.25">
      <c r="A12" s="91" t="s">
        <v>384</v>
      </c>
      <c r="B12" s="86" t="s">
        <v>404</v>
      </c>
      <c r="C12" s="86" t="s">
        <v>283</v>
      </c>
      <c r="D12" s="86">
        <v>2014</v>
      </c>
      <c r="E12" s="86" t="s">
        <v>426</v>
      </c>
      <c r="F12" s="86" t="s">
        <v>406</v>
      </c>
      <c r="G12" s="86" t="s">
        <v>405</v>
      </c>
      <c r="H12" s="86">
        <v>2</v>
      </c>
      <c r="I12" s="86">
        <v>34.5</v>
      </c>
      <c r="J12" s="86">
        <v>20.6</v>
      </c>
      <c r="K12" s="86" t="s">
        <v>430</v>
      </c>
      <c r="L12" s="86" t="s">
        <v>430</v>
      </c>
      <c r="M12" s="86">
        <v>29</v>
      </c>
      <c r="N12" s="86" t="s">
        <v>430</v>
      </c>
      <c r="O12" s="86" t="s">
        <v>380</v>
      </c>
      <c r="P12" s="86" t="s">
        <v>430</v>
      </c>
      <c r="Q12" s="86">
        <v>1</v>
      </c>
      <c r="R12" s="87"/>
      <c r="S12" s="85" t="s">
        <v>403</v>
      </c>
    </row>
    <row r="13" spans="1:19" ht="30" x14ac:dyDescent="0.25">
      <c r="A13" s="91"/>
      <c r="B13" s="86" t="s">
        <v>429</v>
      </c>
      <c r="C13" s="86" t="s">
        <v>283</v>
      </c>
      <c r="D13" s="86" t="s">
        <v>430</v>
      </c>
      <c r="E13" s="86" t="s">
        <v>427</v>
      </c>
      <c r="F13" s="86" t="s">
        <v>37</v>
      </c>
      <c r="G13" s="86" t="s">
        <v>34</v>
      </c>
      <c r="H13" s="86" t="s">
        <v>20</v>
      </c>
      <c r="I13" s="86" t="s">
        <v>430</v>
      </c>
      <c r="J13" s="86">
        <v>32</v>
      </c>
      <c r="K13" s="86">
        <v>31</v>
      </c>
      <c r="L13" s="86">
        <v>6600</v>
      </c>
      <c r="M13" s="86" t="s">
        <v>430</v>
      </c>
      <c r="N13" s="86" t="s">
        <v>430</v>
      </c>
      <c r="O13" s="86" t="s">
        <v>20</v>
      </c>
      <c r="P13" s="86" t="s">
        <v>430</v>
      </c>
      <c r="Q13" s="86">
        <v>1</v>
      </c>
      <c r="R13" s="92"/>
      <c r="S13" s="85" t="s">
        <v>435</v>
      </c>
    </row>
    <row r="14" spans="1:19" ht="30" x14ac:dyDescent="0.25">
      <c r="A14" s="91" t="s">
        <v>118</v>
      </c>
      <c r="B14" s="86" t="s">
        <v>379</v>
      </c>
      <c r="C14" s="86" t="s">
        <v>283</v>
      </c>
      <c r="D14" s="86" t="s">
        <v>430</v>
      </c>
      <c r="E14" s="86" t="s">
        <v>427</v>
      </c>
      <c r="F14" s="86" t="s">
        <v>37</v>
      </c>
      <c r="G14" s="86" t="s">
        <v>378</v>
      </c>
      <c r="H14" s="86" t="s">
        <v>380</v>
      </c>
      <c r="I14" s="86">
        <v>22</v>
      </c>
      <c r="J14" s="86">
        <v>30.5</v>
      </c>
      <c r="K14" s="86">
        <v>30</v>
      </c>
      <c r="L14" s="86">
        <v>4200</v>
      </c>
      <c r="M14" s="86">
        <v>22</v>
      </c>
      <c r="N14" s="86">
        <v>22</v>
      </c>
      <c r="O14" s="86" t="s">
        <v>20</v>
      </c>
      <c r="P14" s="86" t="s">
        <v>430</v>
      </c>
      <c r="Q14" s="86">
        <v>1</v>
      </c>
      <c r="R14" s="87"/>
      <c r="S14" s="88" t="s">
        <v>381</v>
      </c>
    </row>
    <row r="15" spans="1:19" ht="30" x14ac:dyDescent="0.25">
      <c r="A15" s="91" t="s">
        <v>438</v>
      </c>
      <c r="B15" s="86" t="s">
        <v>436</v>
      </c>
      <c r="C15" s="86" t="s">
        <v>283</v>
      </c>
      <c r="D15" s="86">
        <v>2017</v>
      </c>
      <c r="E15" s="86" t="s">
        <v>427</v>
      </c>
      <c r="F15" s="86" t="s">
        <v>37</v>
      </c>
      <c r="G15" s="86"/>
      <c r="H15" s="86"/>
      <c r="I15" s="86"/>
      <c r="J15" s="86">
        <v>26</v>
      </c>
      <c r="K15" s="86"/>
      <c r="L15" s="86"/>
      <c r="M15" s="86">
        <v>40</v>
      </c>
      <c r="N15" s="86"/>
      <c r="O15" s="86"/>
      <c r="P15" s="86"/>
      <c r="Q15" s="86">
        <v>1</v>
      </c>
      <c r="R15" s="87"/>
      <c r="S15" s="97" t="s">
        <v>437</v>
      </c>
    </row>
    <row r="16" spans="1:19" ht="45" x14ac:dyDescent="0.25">
      <c r="A16" s="91" t="s">
        <v>382</v>
      </c>
      <c r="B16" s="86" t="s">
        <v>398</v>
      </c>
      <c r="C16" s="86" t="s">
        <v>283</v>
      </c>
      <c r="D16" s="86">
        <v>2015</v>
      </c>
      <c r="E16" s="86" t="s">
        <v>428</v>
      </c>
      <c r="F16" s="86" t="s">
        <v>397</v>
      </c>
      <c r="G16" s="86" t="s">
        <v>300</v>
      </c>
      <c r="H16" s="86" t="s">
        <v>380</v>
      </c>
      <c r="I16" s="86">
        <v>24</v>
      </c>
      <c r="J16" s="86">
        <v>38.5</v>
      </c>
      <c r="K16" s="86">
        <v>37.5</v>
      </c>
      <c r="L16" s="90">
        <f>8300/0.27</f>
        <v>30740.740740740737</v>
      </c>
      <c r="M16" s="86">
        <v>24</v>
      </c>
      <c r="N16" s="86" t="s">
        <v>20</v>
      </c>
      <c r="O16" s="86" t="s">
        <v>20</v>
      </c>
      <c r="P16" s="86">
        <f>3.6*3.8</f>
        <v>13.68</v>
      </c>
      <c r="Q16" s="86">
        <v>1</v>
      </c>
      <c r="R16" s="87"/>
      <c r="S16" s="85" t="s">
        <v>396</v>
      </c>
    </row>
    <row r="17" spans="1:19" ht="30" x14ac:dyDescent="0.25">
      <c r="A17" s="91" t="s">
        <v>383</v>
      </c>
      <c r="B17" s="86" t="s">
        <v>400</v>
      </c>
      <c r="C17" s="86" t="s">
        <v>283</v>
      </c>
      <c r="D17" s="86">
        <v>2015</v>
      </c>
      <c r="E17" s="86" t="s">
        <v>428</v>
      </c>
      <c r="F17" s="86" t="s">
        <v>397</v>
      </c>
      <c r="G17" s="86" t="s">
        <v>401</v>
      </c>
      <c r="H17" s="86">
        <v>2</v>
      </c>
      <c r="I17" s="86" t="s">
        <v>402</v>
      </c>
      <c r="J17" s="86">
        <v>45.5</v>
      </c>
      <c r="K17" s="86" t="s">
        <v>430</v>
      </c>
      <c r="L17" s="86" t="s">
        <v>430</v>
      </c>
      <c r="M17" s="86">
        <v>32</v>
      </c>
      <c r="N17" s="86" t="s">
        <v>430</v>
      </c>
      <c r="O17" s="86" t="s">
        <v>20</v>
      </c>
      <c r="P17" s="86">
        <v>13.5</v>
      </c>
      <c r="Q17" s="86">
        <v>1</v>
      </c>
      <c r="R17" s="86"/>
      <c r="S17" s="85" t="s">
        <v>399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Architectures</vt:lpstr>
      <vt:lpstr>Link Budget(old)</vt:lpstr>
      <vt:lpstr>Link Budget(new)</vt:lpstr>
      <vt:lpstr>System Specs</vt:lpstr>
      <vt:lpstr>DAC Specs</vt:lpstr>
      <vt:lpstr>PS &amp; VGA Specs</vt:lpstr>
      <vt:lpstr>PA Specs</vt:lpstr>
      <vt:lpstr>PA Specs 28GHz</vt:lpstr>
      <vt:lpstr>PA Specs 28GHz_new</vt:lpstr>
      <vt:lpstr>Digital</vt:lpstr>
      <vt:lpstr>Sub Array</vt:lpstr>
      <vt:lpstr>Full Conn Hybrd</vt:lpstr>
      <vt:lpstr>Power Chart</vt:lpstr>
      <vt:lpstr>Area Chart</vt:lpstr>
      <vt:lpstr>DA Scaling</vt:lpstr>
      <vt:lpstr>SA Scaling</vt:lpstr>
      <vt:lpstr>DA new</vt:lpstr>
      <vt:lpstr>SA new</vt:lpstr>
      <vt:lpstr>FH new</vt:lpstr>
      <vt:lpstr>Full Conn</vt:lpstr>
    </vt:vector>
  </TitlesOfParts>
  <Company>Maxlinear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Ramesh</dc:creator>
  <cp:lastModifiedBy>Han</cp:lastModifiedBy>
  <dcterms:created xsi:type="dcterms:W3CDTF">2017-07-30T19:51:13Z</dcterms:created>
  <dcterms:modified xsi:type="dcterms:W3CDTF">2018-08-13T06:36:54Z</dcterms:modified>
</cp:coreProperties>
</file>