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15075" windowHeight="10755"/>
  </bookViews>
  <sheets>
    <sheet name="単位list" sheetId="1" r:id="rId1"/>
    <sheet name="Top" sheetId="2" r:id="rId2"/>
    <sheet name="Report" sheetId="3" r:id="rId3"/>
    <sheet name="項目list" sheetId="4" r:id="rId4"/>
    <sheet name="配点について" sheetId="5" r:id="rId5"/>
    <sheet name="配点区分" sheetId="6" r:id="rId6"/>
    <sheet name="評価指針" sheetId="7" r:id="rId7"/>
  </sheets>
  <externalReferences>
    <externalReference r:id="rId8"/>
    <externalReference r:id="rId9"/>
    <externalReference r:id="rId10"/>
  </externalReferences>
  <definedNames>
    <definedName name="_xlnm._FilterDatabase" localSheetId="3" hidden="1">項目list!$I$5:$K$5</definedName>
    <definedName name="_xlnm._FilterDatabase" localSheetId="0" hidden="1">単位list!$C$24:$D$73</definedName>
    <definedName name="_xlnm._FilterDatabase" localSheetId="5" hidden="1">配点区分!$I$5:$J$5</definedName>
    <definedName name="_xlnm._FilterDatabase" localSheetId="6" hidden="1">評価指針!$I$5:$K$5</definedName>
    <definedName name="Pivot1">項目list!$C$5:$X$9</definedName>
    <definedName name="Pivot製品">項目list!$C$5:$AA$40</definedName>
    <definedName name="Pivot範囲">Report!$B$42:$H$70</definedName>
    <definedName name="Pivot範囲1">Report!#REF!</definedName>
    <definedName name="Pivot範囲2">Report!$B$42:$N$70</definedName>
    <definedName name="_xlnm.Print_Area" localSheetId="2">Report!$A$1:$O$10</definedName>
    <definedName name="_xlnm.Print_Titles" localSheetId="3">項目list!$1:$5</definedName>
    <definedName name="pv範囲" localSheetId="1">OFFSET(#REF!,,,COUNTA(#REF!),54)</definedName>
    <definedName name="pv範囲" localSheetId="3">OFFSET(#REF!,,,COUNTA(#REF!),54)</definedName>
    <definedName name="pv範囲">OFFSET(#REF!,,,COUNTA(#REF!),54)</definedName>
    <definedName name="pv範囲診断">OFFSET(#REF!,,,COUNTA(#REF!),54)</definedName>
    <definedName name="しくみパターン">配点区分!$B$14:$B$19</definedName>
    <definedName name="しくみ配点区分">配点区分!$B$10:$B$14</definedName>
    <definedName name="しくみ評価">配点区分!$F$12:$J$12</definedName>
    <definedName name="パターン" localSheetId="2">[2]配点区分!$B$6:$B$19</definedName>
    <definedName name="リサイクルの管理レベル">配点区分!$F$10:$J$10</definedName>
    <definedName name="圧力">単位list!$D$66:$D$73</definedName>
    <definedName name="割合">単位list!$D$58</definedName>
    <definedName name="管理レベル">配点区分!$F$11:$J$11</definedName>
    <definedName name="管理レベルの評価">[3]配点区分!$F$10:$H$10</definedName>
    <definedName name="管理レベル評価">配点区分!$F$16:$J$16</definedName>
    <definedName name="空気消費量">単位list!$D$37</definedName>
    <definedName name="向上率_5">[3]配点区分!#REF!</definedName>
    <definedName name="向上率１0">[3]配点区分!#REF!</definedName>
    <definedName name="向上率20">[3]配点区分!#REF!+[3]配点区分!#REF!</definedName>
    <definedName name="向上率50">[3]配点区分!#REF!</definedName>
    <definedName name="削減率_5">[3]配点区分!#REF!</definedName>
    <definedName name="削減率10">[3]配点区分!#REF!</definedName>
    <definedName name="削減率20">[3]配点区分!#REF!</definedName>
    <definedName name="仕組みの評価">[3]配点区分!$F$11:$H$11</definedName>
    <definedName name="時間">単位list!$D$59:$D$64</definedName>
    <definedName name="重量">単位list!$D$26:$D$30</definedName>
    <definedName name="上限">配点区分!$F$16:$J$16</definedName>
    <definedName name="数量">単位list!$D$54:$D$57</definedName>
    <definedName name="節湯区分">配点区分!$F$12:$J$12</definedName>
    <definedName name="選択NA" localSheetId="2">[2]配点区分!$L$2:$L$3</definedName>
    <definedName name="選択区分">[3]配点区分!$B$16:$B$17</definedName>
    <definedName name="対象有無">配点区分!$F$18:$J$18</definedName>
    <definedName name="達成率">配点区分!$F$13:$J$13</definedName>
    <definedName name="単位">#REF!</definedName>
    <definedName name="単位list">単位list!$A$23:$B$71</definedName>
    <definedName name="単位分類list">単位list!$C$6:$C$18</definedName>
    <definedName name="単位分類名">単位list!$A$6:$C$18</definedName>
    <definedName name="単位分類名ID">単位list!$A$6:$A$18</definedName>
    <definedName name="単位名">単位list!$C$25:$D$73</definedName>
    <definedName name="単位名リスト">単位list!$C$25:$D$73</definedName>
    <definedName name="長さ">単位list!$D$45:$D$48</definedName>
    <definedName name="定性値">単位list!$D$25</definedName>
    <definedName name="電力量">単位list!$D$49:$D$53</definedName>
    <definedName name="配点区分">配点区分!$B$6:$B$14</definedName>
    <definedName name="配点表" localSheetId="2">[2]配点区分!$B$6:$J$19</definedName>
    <definedName name="配点表">配点区分!$A$6:$J$14</definedName>
    <definedName name="配点表1">配点区分!$B$6:$J$14</definedName>
    <definedName name="必須確認数">項目list!$AA$3</definedName>
    <definedName name="弁座漏れ量">単位list!$D$38:$D$40</definedName>
    <definedName name="面積">単位list!$D$41:$D$44</definedName>
    <definedName name="有無">配点区分!$F$14:$J$14</definedName>
    <definedName name="容積">単位list!$D$31:$D$36</definedName>
    <definedName name="力">単位list!$D$65</definedName>
  </definedNames>
  <calcPr calcId="144525"/>
  <pivotCaches>
    <pivotCache cacheId="22" r:id="rId11"/>
  </pivotCaches>
</workbook>
</file>

<file path=xl/calcChain.xml><?xml version="1.0" encoding="utf-8"?>
<calcChain xmlns="http://schemas.openxmlformats.org/spreadsheetml/2006/main">
  <c r="D40" i="7" l="1"/>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AA40" i="4"/>
  <c r="Z40" i="4"/>
  <c r="Y40" i="4"/>
  <c r="W40" i="4"/>
  <c r="T40" i="4"/>
  <c r="P40" i="4"/>
  <c r="X40" i="4" s="1"/>
  <c r="N40" i="4"/>
  <c r="AA39" i="4"/>
  <c r="Z39" i="4"/>
  <c r="Y39" i="4"/>
  <c r="W39" i="4"/>
  <c r="T39" i="4"/>
  <c r="P39" i="4"/>
  <c r="X39" i="4" s="1"/>
  <c r="N39" i="4"/>
  <c r="AA38" i="4"/>
  <c r="Z38" i="4"/>
  <c r="Y38" i="4"/>
  <c r="W38" i="4"/>
  <c r="T38" i="4"/>
  <c r="P38" i="4"/>
  <c r="X38" i="4" s="1"/>
  <c r="N38" i="4"/>
  <c r="AA37" i="4"/>
  <c r="Z37" i="4"/>
  <c r="Y37" i="4"/>
  <c r="W37" i="4"/>
  <c r="T37" i="4"/>
  <c r="P37" i="4"/>
  <c r="X37" i="4" s="1"/>
  <c r="N37" i="4"/>
  <c r="AA36" i="4"/>
  <c r="Z36" i="4"/>
  <c r="Y36" i="4"/>
  <c r="W36" i="4"/>
  <c r="T36" i="4"/>
  <c r="P36" i="4"/>
  <c r="X36" i="4" s="1"/>
  <c r="N36" i="4"/>
  <c r="AA35" i="4"/>
  <c r="Z35" i="4"/>
  <c r="Y35" i="4"/>
  <c r="W35" i="4"/>
  <c r="T35" i="4"/>
  <c r="P35" i="4"/>
  <c r="X35" i="4" s="1"/>
  <c r="N35" i="4"/>
  <c r="AA34" i="4"/>
  <c r="Z34" i="4"/>
  <c r="Y34" i="4"/>
  <c r="W34" i="4"/>
  <c r="T34" i="4"/>
  <c r="P34" i="4"/>
  <c r="X34" i="4" s="1"/>
  <c r="N34" i="4"/>
  <c r="AA33" i="4"/>
  <c r="Z33" i="4"/>
  <c r="Y33" i="4"/>
  <c r="W33" i="4"/>
  <c r="T33" i="4"/>
  <c r="P33" i="4"/>
  <c r="X33" i="4" s="1"/>
  <c r="N33" i="4"/>
  <c r="AA32" i="4"/>
  <c r="Z32" i="4"/>
  <c r="Y32" i="4"/>
  <c r="W32" i="4"/>
  <c r="T32" i="4"/>
  <c r="P32" i="4"/>
  <c r="X32" i="4" s="1"/>
  <c r="N32" i="4"/>
  <c r="AA31" i="4"/>
  <c r="Z31" i="4"/>
  <c r="Y31" i="4"/>
  <c r="W31" i="4"/>
  <c r="T31" i="4"/>
  <c r="P31" i="4"/>
  <c r="X31" i="4" s="1"/>
  <c r="N31" i="4"/>
  <c r="AA30" i="4"/>
  <c r="Z30" i="4"/>
  <c r="Y30" i="4"/>
  <c r="W30" i="4"/>
  <c r="T30" i="4"/>
  <c r="P30" i="4"/>
  <c r="X30" i="4" s="1"/>
  <c r="N30" i="4"/>
  <c r="AA29" i="4"/>
  <c r="Z29" i="4"/>
  <c r="Y29" i="4"/>
  <c r="W29" i="4"/>
  <c r="T29" i="4"/>
  <c r="P29" i="4"/>
  <c r="X29" i="4" s="1"/>
  <c r="N29" i="4"/>
  <c r="AA28" i="4"/>
  <c r="Z28" i="4"/>
  <c r="Y28" i="4"/>
  <c r="W28" i="4"/>
  <c r="T28" i="4"/>
  <c r="P28" i="4"/>
  <c r="X28" i="4" s="1"/>
  <c r="N28" i="4"/>
  <c r="AA27" i="4"/>
  <c r="Z27" i="4"/>
  <c r="Y27" i="4"/>
  <c r="W27" i="4"/>
  <c r="T27" i="4"/>
  <c r="P27" i="4"/>
  <c r="X27" i="4" s="1"/>
  <c r="N27" i="4"/>
  <c r="AA26" i="4"/>
  <c r="Z26" i="4"/>
  <c r="Y26" i="4"/>
  <c r="W26" i="4"/>
  <c r="T26" i="4"/>
  <c r="P26" i="4"/>
  <c r="X26" i="4" s="1"/>
  <c r="N26" i="4"/>
  <c r="AA25" i="4"/>
  <c r="Z25" i="4"/>
  <c r="Y25" i="4"/>
  <c r="W25" i="4"/>
  <c r="T25" i="4"/>
  <c r="P25" i="4"/>
  <c r="X25" i="4" s="1"/>
  <c r="N25" i="4"/>
  <c r="AA24" i="4"/>
  <c r="Z24" i="4"/>
  <c r="Y24" i="4"/>
  <c r="W24" i="4"/>
  <c r="T24" i="4"/>
  <c r="P24" i="4"/>
  <c r="X24" i="4" s="1"/>
  <c r="N24" i="4"/>
  <c r="AA23" i="4"/>
  <c r="Z23" i="4"/>
  <c r="Y23" i="4"/>
  <c r="W23" i="4"/>
  <c r="T23" i="4"/>
  <c r="P23" i="4"/>
  <c r="X23" i="4" s="1"/>
  <c r="N23" i="4"/>
  <c r="AA22" i="4"/>
  <c r="Z22" i="4"/>
  <c r="Y22" i="4"/>
  <c r="W22" i="4"/>
  <c r="T22" i="4"/>
  <c r="P22" i="4"/>
  <c r="X22" i="4" s="1"/>
  <c r="N22" i="4"/>
  <c r="AA21" i="4"/>
  <c r="Z21" i="4"/>
  <c r="Y21" i="4"/>
  <c r="W21" i="4"/>
  <c r="T21" i="4"/>
  <c r="P21" i="4"/>
  <c r="X21" i="4" s="1"/>
  <c r="N21" i="4"/>
  <c r="AA20" i="4"/>
  <c r="Z20" i="4"/>
  <c r="Y20" i="4"/>
  <c r="W20" i="4"/>
  <c r="T20" i="4"/>
  <c r="P20" i="4"/>
  <c r="X20" i="4" s="1"/>
  <c r="N20" i="4"/>
  <c r="AA19" i="4"/>
  <c r="Z19" i="4"/>
  <c r="Y19" i="4"/>
  <c r="W19" i="4"/>
  <c r="T19" i="4"/>
  <c r="P19" i="4"/>
  <c r="X19" i="4" s="1"/>
  <c r="N19" i="4"/>
  <c r="AA18" i="4"/>
  <c r="Z18" i="4"/>
  <c r="Y18" i="4"/>
  <c r="W18" i="4"/>
  <c r="T18" i="4"/>
  <c r="P18" i="4"/>
  <c r="X18" i="4" s="1"/>
  <c r="N18" i="4"/>
  <c r="AA17" i="4"/>
  <c r="Z17" i="4"/>
  <c r="Y17" i="4"/>
  <c r="W17" i="4"/>
  <c r="T17" i="4"/>
  <c r="P17" i="4"/>
  <c r="X17" i="4" s="1"/>
  <c r="N17" i="4"/>
  <c r="AA16" i="4"/>
  <c r="Z16" i="4"/>
  <c r="Y16" i="4"/>
  <c r="W16" i="4"/>
  <c r="T16" i="4"/>
  <c r="P16" i="4"/>
  <c r="X16" i="4" s="1"/>
  <c r="N16" i="4"/>
  <c r="AA15" i="4"/>
  <c r="Z15" i="4"/>
  <c r="Y15" i="4"/>
  <c r="W15" i="4"/>
  <c r="T15" i="4"/>
  <c r="P15" i="4"/>
  <c r="X15" i="4" s="1"/>
  <c r="N15" i="4"/>
  <c r="AA14" i="4"/>
  <c r="Z14" i="4"/>
  <c r="Y14" i="4"/>
  <c r="W14" i="4"/>
  <c r="T14" i="4"/>
  <c r="P14" i="4"/>
  <c r="X14" i="4" s="1"/>
  <c r="N14" i="4"/>
  <c r="AA13" i="4"/>
  <c r="Z13" i="4"/>
  <c r="Y13" i="4"/>
  <c r="W13" i="4"/>
  <c r="T13" i="4"/>
  <c r="P13" i="4"/>
  <c r="X13" i="4" s="1"/>
  <c r="N13" i="4"/>
  <c r="AA12" i="4"/>
  <c r="Z12" i="4"/>
  <c r="Y12" i="4"/>
  <c r="W12" i="4"/>
  <c r="T12" i="4"/>
  <c r="P12" i="4"/>
  <c r="X12" i="4" s="1"/>
  <c r="N12" i="4"/>
  <c r="AA11" i="4"/>
  <c r="Z11" i="4"/>
  <c r="Y11" i="4"/>
  <c r="W11" i="4"/>
  <c r="T11" i="4"/>
  <c r="P11" i="4"/>
  <c r="X11" i="4" s="1"/>
  <c r="N11" i="4"/>
  <c r="AA10" i="4"/>
  <c r="Z10" i="4"/>
  <c r="Y10" i="4"/>
  <c r="W10" i="4"/>
  <c r="T10" i="4"/>
  <c r="P10" i="4"/>
  <c r="X10" i="4" s="1"/>
  <c r="N10" i="4"/>
  <c r="AA9" i="4"/>
  <c r="Z9" i="4"/>
  <c r="Y9" i="4"/>
  <c r="W9" i="4"/>
  <c r="T9" i="4"/>
  <c r="P9" i="4"/>
  <c r="X9" i="4" s="1"/>
  <c r="N9" i="4"/>
  <c r="AA8" i="4"/>
  <c r="Z8" i="4"/>
  <c r="Y8" i="4"/>
  <c r="W8" i="4"/>
  <c r="T8" i="4"/>
  <c r="P8" i="4"/>
  <c r="X8" i="4" s="1"/>
  <c r="N8" i="4"/>
  <c r="AA7" i="4"/>
  <c r="Z7" i="4"/>
  <c r="Y7" i="4"/>
  <c r="W7" i="4"/>
  <c r="T7" i="4"/>
  <c r="P7" i="4"/>
  <c r="X7" i="4" s="1"/>
  <c r="N7" i="4"/>
  <c r="AA6" i="4"/>
  <c r="Z6" i="4"/>
  <c r="Y6" i="4"/>
  <c r="W6" i="4"/>
  <c r="T6" i="4"/>
  <c r="P6" i="4"/>
  <c r="X6" i="4" s="1"/>
  <c r="N6" i="4"/>
  <c r="AA3" i="4"/>
  <c r="J3" i="4"/>
  <c r="I3" i="4"/>
  <c r="J2" i="4"/>
  <c r="I2" i="4"/>
  <c r="N70" i="3"/>
  <c r="M70" i="3"/>
  <c r="L70" i="3"/>
  <c r="K70" i="3"/>
  <c r="J70" i="3"/>
  <c r="N69" i="3"/>
  <c r="L69" i="3"/>
  <c r="J69" i="3"/>
  <c r="N68" i="3"/>
  <c r="M68" i="3"/>
  <c r="L68" i="3"/>
  <c r="K68" i="3"/>
  <c r="J68" i="3"/>
  <c r="N67" i="3"/>
  <c r="L67" i="3"/>
  <c r="J67" i="3"/>
  <c r="N66" i="3"/>
  <c r="M66" i="3"/>
  <c r="L66" i="3"/>
  <c r="K66" i="3"/>
  <c r="J66" i="3"/>
  <c r="N65" i="3"/>
  <c r="L65" i="3"/>
  <c r="J65" i="3"/>
  <c r="N64" i="3"/>
  <c r="M64" i="3"/>
  <c r="L64" i="3"/>
  <c r="K64" i="3"/>
  <c r="J64" i="3"/>
  <c r="N63" i="3"/>
  <c r="M63" i="3"/>
  <c r="L63" i="3"/>
  <c r="K63" i="3"/>
  <c r="J63" i="3"/>
  <c r="N62" i="3"/>
  <c r="M62" i="3"/>
  <c r="L62" i="3"/>
  <c r="K62" i="3"/>
  <c r="J62" i="3"/>
  <c r="N61" i="3"/>
  <c r="L61" i="3"/>
  <c r="J61" i="3"/>
  <c r="N60" i="3"/>
  <c r="M60" i="3"/>
  <c r="L60" i="3"/>
  <c r="K60" i="3"/>
  <c r="J60" i="3"/>
  <c r="N59" i="3"/>
  <c r="M59" i="3"/>
  <c r="L59" i="3"/>
  <c r="K59" i="3"/>
  <c r="J59" i="3"/>
  <c r="N58" i="3"/>
  <c r="L58" i="3"/>
  <c r="J58" i="3"/>
  <c r="N57" i="3"/>
  <c r="M57" i="3"/>
  <c r="L57" i="3"/>
  <c r="K57" i="3"/>
  <c r="J57" i="3"/>
  <c r="N56" i="3"/>
  <c r="M56" i="3"/>
  <c r="L56" i="3"/>
  <c r="K56" i="3"/>
  <c r="J56" i="3"/>
  <c r="N55" i="3"/>
  <c r="L55" i="3"/>
  <c r="J55" i="3"/>
  <c r="N54" i="3"/>
  <c r="M54" i="3"/>
  <c r="L54" i="3"/>
  <c r="K54" i="3"/>
  <c r="J54" i="3"/>
  <c r="N53" i="3"/>
  <c r="M53" i="3"/>
  <c r="L53" i="3"/>
  <c r="K53" i="3"/>
  <c r="J53" i="3"/>
  <c r="N52" i="3"/>
  <c r="M52" i="3"/>
  <c r="L52" i="3"/>
  <c r="K52" i="3"/>
  <c r="J52" i="3"/>
  <c r="N51" i="3"/>
  <c r="M51" i="3"/>
  <c r="L51" i="3"/>
  <c r="K51" i="3"/>
  <c r="J51" i="3"/>
  <c r="N50" i="3"/>
  <c r="M50" i="3"/>
  <c r="L50" i="3"/>
  <c r="K50" i="3"/>
  <c r="J50" i="3"/>
  <c r="N49" i="3"/>
  <c r="M49" i="3"/>
  <c r="L49" i="3"/>
  <c r="K49" i="3"/>
  <c r="J49" i="3"/>
  <c r="N48" i="3"/>
  <c r="M48" i="3"/>
  <c r="L48" i="3"/>
  <c r="K48" i="3"/>
  <c r="J48" i="3"/>
  <c r="N47" i="3"/>
  <c r="L47" i="3"/>
  <c r="J47" i="3"/>
  <c r="N46" i="3"/>
  <c r="M46" i="3"/>
  <c r="L46" i="3"/>
  <c r="K46" i="3"/>
  <c r="J46" i="3"/>
  <c r="N45" i="3"/>
  <c r="M45" i="3"/>
  <c r="L45" i="3"/>
  <c r="K45" i="3"/>
  <c r="J45" i="3"/>
  <c r="N44" i="3"/>
  <c r="M44" i="3"/>
  <c r="L44" i="3"/>
  <c r="K44" i="3"/>
  <c r="J44" i="3"/>
  <c r="J12" i="3"/>
  <c r="I11" i="3"/>
  <c r="H11" i="3"/>
  <c r="I10" i="3"/>
  <c r="H10" i="3"/>
  <c r="I9" i="3"/>
  <c r="H9" i="3"/>
  <c r="I8" i="3"/>
  <c r="H8" i="3"/>
  <c r="I7" i="3"/>
  <c r="H7" i="3"/>
  <c r="I6" i="3"/>
  <c r="H6" i="3"/>
  <c r="I5" i="3"/>
  <c r="H5" i="3"/>
  <c r="H12" i="3" s="1"/>
  <c r="G6" i="2"/>
  <c r="F5" i="2"/>
  <c r="K58" i="3"/>
  <c r="M58" i="3"/>
  <c r="M61" i="3"/>
  <c r="M69" i="3"/>
  <c r="K67" i="3"/>
  <c r="M65" i="3"/>
  <c r="K55" i="3"/>
  <c r="K47" i="3"/>
  <c r="I12" i="3" l="1"/>
  <c r="K5" i="3"/>
  <c r="K6" i="3"/>
  <c r="L9" i="3"/>
  <c r="K10" i="3"/>
  <c r="L11" i="3"/>
  <c r="L8" i="3"/>
  <c r="L7" i="3"/>
  <c r="K7" i="3"/>
  <c r="M55" i="3"/>
  <c r="K61" i="3"/>
  <c r="K65" i="3"/>
  <c r="M47" i="3"/>
  <c r="M67" i="3"/>
  <c r="K69" i="3"/>
  <c r="M7" i="3" l="1"/>
  <c r="N7" i="3" s="1"/>
  <c r="K11" i="3"/>
  <c r="M11" i="3" s="1"/>
  <c r="N11" i="3" s="1"/>
  <c r="L10" i="3"/>
  <c r="M10" i="3" s="1"/>
  <c r="N10" i="3" s="1"/>
  <c r="L5" i="3"/>
  <c r="K9" i="3"/>
  <c r="K8" i="3"/>
  <c r="K12" i="3" s="1"/>
  <c r="L6" i="3"/>
  <c r="M6" i="3" s="1"/>
  <c r="N6" i="3" s="1"/>
  <c r="M9" i="3"/>
  <c r="N9" i="3" s="1"/>
  <c r="M8" i="3" l="1"/>
  <c r="N8" i="3" s="1"/>
  <c r="M5" i="3"/>
  <c r="L12" i="3"/>
  <c r="N5" i="3" l="1"/>
  <c r="M12" i="3"/>
  <c r="N12" i="3" s="1"/>
</calcChain>
</file>

<file path=xl/comments1.xml><?xml version="1.0" encoding="utf-8"?>
<comments xmlns="http://schemas.openxmlformats.org/spreadsheetml/2006/main">
  <authors>
    <author>kohey</author>
  </authors>
  <commentList>
    <comment ref="J2" authorId="0">
      <text>
        <r>
          <rPr>
            <sz val="9"/>
            <color indexed="81"/>
            <rFont val="ＭＳ Ｐゴシック"/>
            <family val="3"/>
            <charset val="128"/>
          </rPr>
          <t>ヘッダー情報はレポートシートに記入</t>
        </r>
      </text>
    </comment>
    <comment ref="J3" authorId="0">
      <text>
        <r>
          <rPr>
            <sz val="9"/>
            <color indexed="81"/>
            <rFont val="ＭＳ Ｐゴシック"/>
            <family val="3"/>
            <charset val="128"/>
          </rPr>
          <t>ヘッダー情報はレポートシートに記入</t>
        </r>
      </text>
    </comment>
  </commentList>
</comments>
</file>

<file path=xl/sharedStrings.xml><?xml version="1.0" encoding="utf-8"?>
<sst xmlns="http://schemas.openxmlformats.org/spreadsheetml/2006/main" count="585" uniqueCount="372">
  <si>
    <t>単位ID</t>
  </si>
  <si>
    <t>順</t>
  </si>
  <si>
    <t>分類名</t>
  </si>
  <si>
    <t>定性値</t>
  </si>
  <si>
    <t>重量</t>
  </si>
  <si>
    <t>容積</t>
  </si>
  <si>
    <t>空気消費量</t>
  </si>
  <si>
    <t>弁座漏れ量</t>
  </si>
  <si>
    <t>面積</t>
  </si>
  <si>
    <t>長さ</t>
  </si>
  <si>
    <t>電力量</t>
  </si>
  <si>
    <t>数量</t>
  </si>
  <si>
    <t>割合</t>
  </si>
  <si>
    <t>時間</t>
  </si>
  <si>
    <t>力</t>
  </si>
  <si>
    <t>圧力</t>
  </si>
  <si>
    <t>単位</t>
  </si>
  <si>
    <t>－</t>
  </si>
  <si>
    <t>ｔ</t>
  </si>
  <si>
    <t>CO2ｔ</t>
  </si>
  <si>
    <t>kg</t>
  </si>
  <si>
    <t>g</t>
  </si>
  <si>
    <t>㎜g</t>
  </si>
  <si>
    <t>立方m</t>
  </si>
  <si>
    <t>立方㎝</t>
  </si>
  <si>
    <t>立方㎜</t>
  </si>
  <si>
    <t>㍑</t>
  </si>
  <si>
    <t>mm㍑</t>
  </si>
  <si>
    <t>㏄</t>
  </si>
  <si>
    <t>Nm3</t>
  </si>
  <si>
    <t>定格CV値</t>
  </si>
  <si>
    <t>㍑/h</t>
  </si>
  <si>
    <t>mm㍑/min</t>
  </si>
  <si>
    <t>平方㌔</t>
  </si>
  <si>
    <t>平方m</t>
  </si>
  <si>
    <t>平方㎝</t>
  </si>
  <si>
    <t>平方㎜</t>
  </si>
  <si>
    <t>㎞</t>
  </si>
  <si>
    <t>m</t>
  </si>
  <si>
    <t>㎝</t>
  </si>
  <si>
    <t>㎜</t>
  </si>
  <si>
    <t>kWh</t>
  </si>
  <si>
    <t>Wh</t>
  </si>
  <si>
    <t>kW</t>
  </si>
  <si>
    <t>W</t>
  </si>
  <si>
    <t>mW</t>
  </si>
  <si>
    <t>個</t>
  </si>
  <si>
    <t>点</t>
  </si>
  <si>
    <t>回</t>
  </si>
  <si>
    <t>種類</t>
  </si>
  <si>
    <t>％</t>
  </si>
  <si>
    <t>年</t>
  </si>
  <si>
    <t>月</t>
  </si>
  <si>
    <t>日</t>
  </si>
  <si>
    <t>分</t>
  </si>
  <si>
    <t>秒</t>
  </si>
  <si>
    <t>N(kg.m/s2）</t>
  </si>
  <si>
    <t>kPa</t>
  </si>
  <si>
    <t>Pa</t>
  </si>
  <si>
    <t>bar</t>
  </si>
  <si>
    <t>mbar</t>
  </si>
  <si>
    <t>kg/cm2</t>
  </si>
  <si>
    <t>mmH2O</t>
  </si>
  <si>
    <t>psi</t>
  </si>
  <si>
    <t>㎜Hg</t>
  </si>
  <si>
    <t>Ver.</t>
    <phoneticPr fontId="1"/>
  </si>
  <si>
    <t>機種名称 :</t>
    <rPh sb="0" eb="2">
      <t>キシュ</t>
    </rPh>
    <rPh sb="2" eb="4">
      <t>メイショウ</t>
    </rPh>
    <phoneticPr fontId="1"/>
  </si>
  <si>
    <t>評価モデル :</t>
    <rPh sb="0" eb="2">
      <t>ヒョウカ</t>
    </rPh>
    <phoneticPr fontId="1"/>
  </si>
  <si>
    <t>参考情報</t>
    <rPh sb="0" eb="2">
      <t>サンコウ</t>
    </rPh>
    <rPh sb="2" eb="4">
      <t>ジョウホウ</t>
    </rPh>
    <phoneticPr fontId="1"/>
  </si>
  <si>
    <t>レアメタル・レアアース一覧</t>
    <rPh sb="11" eb="13">
      <t>イチラン</t>
    </rPh>
    <phoneticPr fontId="1"/>
  </si>
  <si>
    <t>管理の成熟度モデル　ISO15540</t>
    <rPh sb="0" eb="2">
      <t>カンリ</t>
    </rPh>
    <rPh sb="3" eb="6">
      <t>セイジュクド</t>
    </rPh>
    <phoneticPr fontId="1"/>
  </si>
  <si>
    <t>このツールの評価配点方法について</t>
    <rPh sb="6" eb="8">
      <t>ヒョウカ</t>
    </rPh>
    <rPh sb="8" eb="10">
      <t>ハイテン</t>
    </rPh>
    <rPh sb="10" eb="12">
      <t>ホウホウ</t>
    </rPh>
    <phoneticPr fontId="1"/>
  </si>
  <si>
    <t>評価配点表</t>
    <rPh sb="0" eb="2">
      <t>ヒョウカ</t>
    </rPh>
    <rPh sb="2" eb="4">
      <t>ハイテン</t>
    </rPh>
    <rPh sb="4" eb="5">
      <t>ヒョウ</t>
    </rPh>
    <phoneticPr fontId="1"/>
  </si>
  <si>
    <t>ヘッダー情報</t>
  </si>
  <si>
    <t>バルブ機種</t>
  </si>
  <si>
    <t>給水栓（洗面用・電気式）</t>
  </si>
  <si>
    <t>大分類</t>
  </si>
  <si>
    <t>ポイント計</t>
  </si>
  <si>
    <t>データの個数</t>
  </si>
  <si>
    <t>評価項目がない小分類数</t>
  </si>
  <si>
    <t>データが無い小分類数</t>
  </si>
  <si>
    <t>選択がない小分類数</t>
  </si>
  <si>
    <t>補正済みデータ個数</t>
  </si>
  <si>
    <t>平均点</t>
  </si>
  <si>
    <t>ID1</t>
  </si>
  <si>
    <t>ValveID</t>
  </si>
  <si>
    <t>省エネルギー</t>
  </si>
  <si>
    <t>1 集計</t>
  </si>
  <si>
    <t>ID</t>
  </si>
  <si>
    <t>リデュース</t>
  </si>
  <si>
    <t>2 集計</t>
  </si>
  <si>
    <t>NewModel</t>
  </si>
  <si>
    <t>サンプル</t>
  </si>
  <si>
    <t>リユース</t>
  </si>
  <si>
    <t>3 集計</t>
  </si>
  <si>
    <t>OldModel</t>
  </si>
  <si>
    <t/>
  </si>
  <si>
    <t>リサイクル</t>
  </si>
  <si>
    <t>4 集計</t>
  </si>
  <si>
    <t>Company</t>
  </si>
  <si>
    <t>sample</t>
  </si>
  <si>
    <t>環境・安全</t>
  </si>
  <si>
    <t>6 集計</t>
  </si>
  <si>
    <t>担当</t>
  </si>
  <si>
    <t>sample.sample</t>
  </si>
  <si>
    <t>情報提供</t>
  </si>
  <si>
    <t>7 集計</t>
  </si>
  <si>
    <t>日付</t>
  </si>
  <si>
    <t>管理</t>
  </si>
  <si>
    <t>8 集計</t>
  </si>
  <si>
    <t>備考</t>
  </si>
  <si>
    <t>既定評価項目sample</t>
  </si>
  <si>
    <t>合計</t>
  </si>
  <si>
    <t>値</t>
  </si>
  <si>
    <t>小分類コード</t>
  </si>
  <si>
    <t xml:space="preserve">point計 </t>
  </si>
  <si>
    <t xml:space="preserve">Data数 </t>
  </si>
  <si>
    <t>項目数</t>
  </si>
  <si>
    <t>選択・必須数</t>
  </si>
  <si>
    <t>小分類範囲</t>
  </si>
  <si>
    <t>データが無い小分類コード</t>
  </si>
  <si>
    <t>「選択」が無い小分類数</t>
  </si>
  <si>
    <t>「選択」が無い小分類コード</t>
  </si>
  <si>
    <t>1.1.1</t>
  </si>
  <si>
    <t>1.1.2</t>
  </si>
  <si>
    <t>1.1.3</t>
  </si>
  <si>
    <t>2.1.1</t>
  </si>
  <si>
    <t>2.1.2</t>
  </si>
  <si>
    <t>2.1.3</t>
  </si>
  <si>
    <t>2.1.5</t>
  </si>
  <si>
    <t>2.2.1</t>
  </si>
  <si>
    <t>2.3.1</t>
  </si>
  <si>
    <t>2.3.2</t>
  </si>
  <si>
    <t>3.1.1</t>
  </si>
  <si>
    <t>3.1.2</t>
  </si>
  <si>
    <t>4.1.1</t>
  </si>
  <si>
    <t>4.2.2</t>
  </si>
  <si>
    <t>6.1.1</t>
  </si>
  <si>
    <t>6.2.1</t>
  </si>
  <si>
    <t>6.3.1</t>
  </si>
  <si>
    <t>7.1.1</t>
  </si>
  <si>
    <t>8.3.0</t>
  </si>
  <si>
    <t>総計</t>
  </si>
  <si>
    <t>必須確認数</t>
  </si>
  <si>
    <t>％　↓</t>
  </si>
  <si>
    <t>番号</t>
  </si>
  <si>
    <t>ID2</t>
  </si>
  <si>
    <t>ID3</t>
  </si>
  <si>
    <t>ID4</t>
  </si>
  <si>
    <t>選択</t>
  </si>
  <si>
    <t>中分類</t>
  </si>
  <si>
    <t>小分類</t>
  </si>
  <si>
    <t>評価項目</t>
  </si>
  <si>
    <t>評価基準</t>
  </si>
  <si>
    <t>評価指針</t>
  </si>
  <si>
    <t>配点区分番号</t>
  </si>
  <si>
    <t>配点区分</t>
  </si>
  <si>
    <t>単位</t>
    <phoneticPr fontId="1"/>
  </si>
  <si>
    <t>NewData</t>
  </si>
  <si>
    <t>OldData</t>
  </si>
  <si>
    <t>Point</t>
  </si>
  <si>
    <t>単位分類</t>
  </si>
  <si>
    <t>中間結果</t>
  </si>
  <si>
    <t>選択列</t>
  </si>
  <si>
    <t>必須確認</t>
  </si>
  <si>
    <t>1.1.1.1</t>
  </si>
  <si>
    <t>必須</t>
  </si>
  <si>
    <t>燃料・電気・熱</t>
  </si>
  <si>
    <t>製品消費エネルギーの低減</t>
  </si>
  <si>
    <t>動作時の消費電力量の削減</t>
  </si>
  <si>
    <t>製品の消費電力（定格電力）の削減率</t>
  </si>
  <si>
    <t>1.1.1.3</t>
  </si>
  <si>
    <t>待機時の消費電力の削減</t>
  </si>
  <si>
    <t>製品待機時の消費電力の削減率</t>
  </si>
  <si>
    <t>1.1.2.1</t>
  </si>
  <si>
    <t>流体エネルギー消費の低減</t>
  </si>
  <si>
    <t>節湯機能の有無</t>
  </si>
  <si>
    <t>工業会の節湯区分</t>
  </si>
  <si>
    <t>1.1.3.1</t>
  </si>
  <si>
    <t>製造・組立時のエネルギー消費削減</t>
  </si>
  <si>
    <t>生産設備、工程改善、不良率低減による製品製造時のエネルギー消費量の削減</t>
  </si>
  <si>
    <t>年間消費電力量（生産ラインもしくは該当工程別）の削減率</t>
  </si>
  <si>
    <t>1.1.3.2</t>
  </si>
  <si>
    <t>製品設計改善による製品製造時のエネルギー消費量の削減</t>
  </si>
  <si>
    <t>2.1.1.1</t>
  </si>
  <si>
    <t>省資源化（減量化、減容化）</t>
  </si>
  <si>
    <t>製品の小型化及び／又は軽量化</t>
  </si>
  <si>
    <t>製品の軽量化
(製品全体の重量削減)</t>
  </si>
  <si>
    <t>製品全体の重量の削減率</t>
  </si>
  <si>
    <t>2.1.1.2</t>
  </si>
  <si>
    <t>製品の小型化
(製品全体の寸法、容積（体積）)</t>
  </si>
  <si>
    <t>製品全体の寸法又は体積の削減率</t>
  </si>
  <si>
    <t>2.1.1.3</t>
  </si>
  <si>
    <t>生産時の歩留まり改善による素材使用量の削減</t>
  </si>
  <si>
    <t>素材使用量の削減率</t>
  </si>
  <si>
    <t>2.1.2.1</t>
  </si>
  <si>
    <t>部品点数削減・部品共通化</t>
  </si>
  <si>
    <t>部品点数削減</t>
  </si>
  <si>
    <t>部品点数の削減率</t>
  </si>
  <si>
    <t>2.1.2.2</t>
  </si>
  <si>
    <t>標準部品使用の拡大</t>
  </si>
  <si>
    <t>部品標準化率（＝使用標準部品点数÷総部品点数）の向上率</t>
  </si>
  <si>
    <t>2.1.3.1</t>
  </si>
  <si>
    <t>包装の減量化･減容化</t>
  </si>
  <si>
    <t>梱包材、包装材の重量及び／又は体積の削減</t>
  </si>
  <si>
    <t>使い捨て包装材、梱包材の重量及び／又は体積の削減率</t>
  </si>
  <si>
    <t>2.1.5.1</t>
  </si>
  <si>
    <t>流体の無駄な消費の低減（節水、漏れ削減）</t>
  </si>
  <si>
    <t>使用時の節水</t>
  </si>
  <si>
    <t>節水機能の有無</t>
  </si>
  <si>
    <t>2.1.5.2</t>
  </si>
  <si>
    <t>バルブ閉時の弁座漏れ量の低減</t>
  </si>
  <si>
    <t>弁座漏れ量の削減率</t>
  </si>
  <si>
    <t>2.1.5.3</t>
  </si>
  <si>
    <t>バルブ使用時の流体の漏れ削減（出口以外）</t>
  </si>
  <si>
    <t>気密性を確保する機能（設計）の有無
（接合部から外部への漏れ対策が考慮されているか）</t>
  </si>
  <si>
    <t>2.2.1.1</t>
  </si>
  <si>
    <t>長寿命化</t>
  </si>
  <si>
    <t>製品・部品・材料等の長寿命化</t>
  </si>
  <si>
    <t>製品、部品・材料（ボトルネックになるもの）の耐用年数（時間）の延長化</t>
  </si>
  <si>
    <t>耐用年数（時間）及び／又は耐用動作回数の向上率</t>
  </si>
  <si>
    <t>2.3.1.1</t>
  </si>
  <si>
    <t>廃棄物削減</t>
  </si>
  <si>
    <t>ライフサイクルを通して発生する廃棄物削減</t>
  </si>
  <si>
    <t>製造過程で発生する廃棄物（リサイクル、リユースの出来ないもの）の削減</t>
  </si>
  <si>
    <t>廃棄物発生量の削減率</t>
  </si>
  <si>
    <t>2.3.2.1</t>
  </si>
  <si>
    <t>消耗品の消費削減</t>
  </si>
  <si>
    <t>一定条件下で使用した場合の消耗品の消費量削減</t>
  </si>
  <si>
    <t>年間の消耗品消費量の削減率又は消耗品の耐久時間の向上率</t>
  </si>
  <si>
    <t>3.1.1.1</t>
  </si>
  <si>
    <t>メンテナンスの容易性</t>
  </si>
  <si>
    <t>交換可能部品の使用範囲拡大</t>
  </si>
  <si>
    <t>交換可能部品の使用率及び／又は交換可能部品数の向上率</t>
  </si>
  <si>
    <t>3.1.2.1</t>
  </si>
  <si>
    <t>分解、再組み付け容易性</t>
  </si>
  <si>
    <t>交換部品の標準化</t>
  </si>
  <si>
    <t>交換部品の標準化率（＝標準化された交換部品数÷交換部品総数）の向上率</t>
  </si>
  <si>
    <t>3.1.2.2</t>
  </si>
  <si>
    <t>部品の交換容易性</t>
  </si>
  <si>
    <t>交換時間の短縮率及び／又は交換容易性指標（時間、交換容易性が指標化されている場合）</t>
  </si>
  <si>
    <t>4.1.1.1</t>
  </si>
  <si>
    <t>リサイクル性向上</t>
  </si>
  <si>
    <t>リサイクルが可能な資源・材料の使用範囲拡大</t>
  </si>
  <si>
    <t>リサイクル可能な材料を使用した部品の使用範囲拡大</t>
  </si>
  <si>
    <t>リサイクル可能な材料の使用率（＝リサイクル可能な材料で作られた部品の体積又は重量÷製品全体の体積又は重量）の向上率</t>
  </si>
  <si>
    <t>4.1.1.2</t>
  </si>
  <si>
    <t>リサイクルされた材料を使用した部品、梱包材の使用範囲拡大</t>
  </si>
  <si>
    <t>リサイクルされた材料使用率（＝リサイクルされた材料で作られた部品の体積又は重量÷製品全体の体積又は重量）の向上率</t>
  </si>
  <si>
    <t>4.2.2.1</t>
  </si>
  <si>
    <t>解体・分離・分別容易性</t>
  </si>
  <si>
    <t xml:space="preserve">破砕・選別処理の容易性 </t>
  </si>
  <si>
    <t>解体時、分別がしやすいように、リサイクル可能な材料を使用した部品の識別表示を行うための管理のレベル</t>
  </si>
  <si>
    <t>次に示すどのレベルにあるかを評価する。採点は管理レベルの得点区分にならう。_x000D_
a）重さが製品全重量の5%未満の部品について、解体分離に関する表示ができている（製品本体、ドキュメント類等で）。_x000D_
b）重さが製品全重量の5%以上～10%未満の部品について、解体分離に関する表示ができている（同）。_x000D_
c）重さが製品全重量の10%以上の部品について、解体分離に関する表示ができている（同）。_x000D_
d）表示をしていない。</t>
  </si>
  <si>
    <t>4.2.2.2</t>
  </si>
  <si>
    <t>解体・分別する対象物は取り外し容易性</t>
  </si>
  <si>
    <t>解体・分別する対象物の取り外し容易性</t>
  </si>
  <si>
    <t>4.2.2.3</t>
  </si>
  <si>
    <t>リサイクル可能材種類数の低減</t>
  </si>
  <si>
    <t>リサイクル可能な材料の種類数の低減</t>
  </si>
  <si>
    <t>6.1.1.1</t>
  </si>
  <si>
    <t>安全に関わる適用法令の遵守性</t>
  </si>
  <si>
    <t>製品に適用される関連法規制への遵守性</t>
  </si>
  <si>
    <t>該当製品に対する関連法規制とその遵守を確認した書類の有無</t>
  </si>
  <si>
    <t>技術資料の有無</t>
  </si>
  <si>
    <t>6.2.1.1</t>
  </si>
  <si>
    <t>CO2（環境負荷物質）削減</t>
  </si>
  <si>
    <t>各段階での CO2 の排出量削減、代替化、発生回避の推進</t>
  </si>
  <si>
    <t>製品材料の生産過程で発生したCO2排出量の削減</t>
  </si>
  <si>
    <t>材料別CO2排出量の削減率</t>
  </si>
  <si>
    <t>6.3.1.1</t>
  </si>
  <si>
    <t>有害化学物質管理</t>
  </si>
  <si>
    <t>関連法規制に適応し、製品、包装の各材料に含まれる有害化学物質の使用回避・管理</t>
  </si>
  <si>
    <t>浸出基準への適応性管理のレベル</t>
  </si>
  <si>
    <t>従来製品からの改善の有無</t>
  </si>
  <si>
    <t>6.3.1.2</t>
  </si>
  <si>
    <t>該当製品に対する有害化学物質管理のレベル</t>
  </si>
  <si>
    <t>7.1.1.1</t>
  </si>
  <si>
    <t>適切な情報提供</t>
  </si>
  <si>
    <t>製品のライフサイクル関係者への必要な情報提供とその方法の適切性</t>
  </si>
  <si>
    <t>製品のライフサイクル（選定、購入、使用）関係者が、選定・購入前に知っておくべき製品情報の提供</t>
  </si>
  <si>
    <t>ライフサイクル関係者に有益な情報の提供量の増加率</t>
  </si>
  <si>
    <t>7.1.1.2</t>
  </si>
  <si>
    <t>製品のライフサイクル（選定、購入、使用）関係者が知っておくべき必要情報の提供（特定化学物質を使った指定製品の場合）</t>
  </si>
  <si>
    <t>環境規制及び労働安全衛生法で規制対象となっている化学物質に関する情報提供の有無</t>
  </si>
  <si>
    <t>7.1.1.3</t>
  </si>
  <si>
    <t>製品のライフサイクル（流通、据付、使用、メンテナンス、廃棄）関係者が、購入後、開梱時、据え付け時、使用時、保守時、廃棄時等に知っておくべき製品の取り扱い、及び、環境安全性についての必要情報の提供</t>
  </si>
  <si>
    <t>7.1.1.4</t>
  </si>
  <si>
    <t>機器本体に表示すべき情報の表示の見やすさ</t>
  </si>
  <si>
    <t>見やすさの改善の有無</t>
  </si>
  <si>
    <t>7.1.1.5</t>
  </si>
  <si>
    <t>提供情報へのアクセスのしやすさ</t>
  </si>
  <si>
    <t>情報のデジタル化（Web等）率</t>
  </si>
  <si>
    <t>8.3.0.1</t>
  </si>
  <si>
    <t>DFE(環境配慮設計）の取り組み</t>
  </si>
  <si>
    <t>DFE（環境配慮設計）の取り組み</t>
  </si>
  <si>
    <t>重点評価項目（事前に3項目以上を設定しておく）における設計目標値の達成率</t>
  </si>
  <si>
    <t>達成率の平均が次に示すどのレベルにあるかを評価する。_x000D_
a） 100％以上_x000D_
b）　80％～100％未満_x000D_
c）　60％～80％未満_x000D_
d）　59％未満</t>
  </si>
  <si>
    <t xml:space="preserve">　　　　　　　　　　　　　評価項目の配点方法_x000D_
_x000D_
１　評価区分（パターン_x000D_と配点区分）
評価項目の評価データを入力する際、その評価区分のパターンに設定してある評価配点に従って、自動的に配点が計算されます。_x000D_配点は　4点から0点の間で評価されます_x000D_
パターンは、最初は規定値が設定されていますが、リストから選択し変更ができます_x000D_
_x000D_①　数値データ(定量的評価）の場合：　旧製品と新製品の改善割合を％で計算し配点区分に従って評価します。
　例　
　　　　　　　　　　　　　　　　　　　　　パターン　　削減率　新製品　　旧製品　　評価計算結果
　製品重量は軽減されているか　削減率10%　　20%　　800g　　　1000g　　　　　　　4点　　　　　　
②　文字列データ（定性的評価）の場合：　新製品のみの評価結果に応じた配点区分の配点で評価します（.旧製品の時の評価は不要です）。　
　例　　　　
　　　　　　　　　　　　　　　　　　　　　パターン　　　　　　　　新製品　　旧製品　　評価計算結果
　QMS(ISO9000)への取り組み　　有無　　　　　　　　　　　有り　　　　　　　　　　　　　　4点　　　　　　
　はされているか
２　総合評価の平均点計算方法_x000D_
_x000D_
①　総合評価は評価項目の大分類ごとの平均点でも評価できます。_x000D_
②　大分類毎の平均点の出し方_x000D_
　　　　平均点　＝　評価点合計　÷　(評価項目数　＋　不足小分類数）　％
③　評価項目数_x000D_
　　　　実際に評価データが入力された個別評価項目数_x000D_
④　不足小分類数
　大分類に中の小分類で評価データがなかった小分類数
　少なくも各小分類に一つは評価されるものとします。_x000D_
小分類に該当評価項目がないときでもその小分類には評価項目数として各一つが加えられます（この場合の小分類の配点が0点となります）.。._x000D_
</t>
    <rPh sb="39" eb="41">
      <t>ハイテン</t>
    </rPh>
    <rPh sb="41" eb="43">
      <t>クブン</t>
    </rPh>
    <rPh sb="45" eb="47">
      <t>ヒョウカ</t>
    </rPh>
    <rPh sb="47" eb="49">
      <t>コウモク</t>
    </rPh>
    <rPh sb="50" eb="52">
      <t>ヒョウカ</t>
    </rPh>
    <rPh sb="56" eb="58">
      <t>ニュウリョク</t>
    </rPh>
    <rPh sb="60" eb="61">
      <t>サイ</t>
    </rPh>
    <rPh sb="132" eb="134">
      <t>サイショ</t>
    </rPh>
    <rPh sb="135" eb="138">
      <t>キテイチ</t>
    </rPh>
    <rPh sb="139" eb="141">
      <t>セッテイ</t>
    </rPh>
    <rPh sb="154" eb="156">
      <t>センタク</t>
    </rPh>
    <rPh sb="157" eb="159">
      <t>ヘンコウ</t>
    </rPh>
    <rPh sb="170" eb="172">
      <t>スウチ</t>
    </rPh>
    <rPh sb="176" eb="179">
      <t>テイリョウテキ</t>
    </rPh>
    <rPh sb="179" eb="181">
      <t>ヒョウカ</t>
    </rPh>
    <rPh sb="183" eb="185">
      <t>バアイ</t>
    </rPh>
    <rPh sb="187" eb="190">
      <t>キュウセイヒン</t>
    </rPh>
    <rPh sb="191" eb="194">
      <t>シンセイヒン</t>
    </rPh>
    <rPh sb="195" eb="197">
      <t>カイゼン</t>
    </rPh>
    <rPh sb="197" eb="199">
      <t>ワリアイ</t>
    </rPh>
    <rPh sb="202" eb="204">
      <t>ケイサン</t>
    </rPh>
    <rPh sb="205" eb="207">
      <t>ハイテン</t>
    </rPh>
    <rPh sb="207" eb="209">
      <t>クブン</t>
    </rPh>
    <rPh sb="210" eb="211">
      <t>シタガ</t>
    </rPh>
    <rPh sb="213" eb="215">
      <t>ヒョウカ</t>
    </rPh>
    <rPh sb="273" eb="275">
      <t>セイヒン</t>
    </rPh>
    <rPh sb="275" eb="277">
      <t>ジュウリョウ</t>
    </rPh>
    <rPh sb="278" eb="280">
      <t>ケイゲン</t>
    </rPh>
    <rPh sb="287" eb="290">
      <t>サクゲンリツ</t>
    </rPh>
    <rPh sb="320" eb="321">
      <t>テン</t>
    </rPh>
    <rPh sb="341" eb="343">
      <t>ヒョウカ</t>
    </rPh>
    <rPh sb="345" eb="347">
      <t>バアイ</t>
    </rPh>
    <rPh sb="349" eb="352">
      <t>シンセイヒン</t>
    </rPh>
    <rPh sb="355" eb="357">
      <t>ヒョウカ</t>
    </rPh>
    <rPh sb="357" eb="359">
      <t>ケッカ</t>
    </rPh>
    <rPh sb="360" eb="361">
      <t>オウ</t>
    </rPh>
    <rPh sb="363" eb="365">
      <t>ハイテン</t>
    </rPh>
    <rPh sb="365" eb="367">
      <t>クブン</t>
    </rPh>
    <rPh sb="368" eb="370">
      <t>ハイテン</t>
    </rPh>
    <rPh sb="371" eb="373">
      <t>ヒョウカ</t>
    </rPh>
    <rPh sb="378" eb="381">
      <t>キュウセイヒン</t>
    </rPh>
    <rPh sb="382" eb="383">
      <t>トキ</t>
    </rPh>
    <rPh sb="384" eb="386">
      <t>ヒョウカ</t>
    </rPh>
    <rPh sb="387" eb="389">
      <t>フヨウ</t>
    </rPh>
    <rPh sb="435" eb="438">
      <t>シンセイヒン</t>
    </rPh>
    <rPh sb="440" eb="441">
      <t>キュウ</t>
    </rPh>
    <rPh sb="445" eb="447">
      <t>ヒョウカ</t>
    </rPh>
    <rPh sb="447" eb="449">
      <t>ケイサン</t>
    </rPh>
    <rPh sb="449" eb="451">
      <t>ケッカ</t>
    </rPh>
    <rPh sb="467" eb="468">
      <t>ト</t>
    </rPh>
    <rPh sb="469" eb="470">
      <t>ク</t>
    </rPh>
    <rPh sb="473" eb="475">
      <t>ウム</t>
    </rPh>
    <rPh sb="486" eb="487">
      <t>ア</t>
    </rPh>
    <rPh sb="503" eb="504">
      <t>テン</t>
    </rPh>
    <rPh sb="523" eb="525">
      <t>ソウゴウ</t>
    </rPh>
    <rPh sb="525" eb="527">
      <t>ヒョウカ</t>
    </rPh>
    <rPh sb="528" eb="531">
      <t>ヘイキンテン</t>
    </rPh>
    <rPh sb="573" eb="576">
      <t>ダイブンルイ</t>
    </rPh>
    <rPh sb="576" eb="577">
      <t>ゴト</t>
    </rPh>
    <rPh sb="614" eb="616">
      <t>フソク</t>
    </rPh>
    <rPh sb="616" eb="619">
      <t>ショウブンルイ</t>
    </rPh>
    <rPh sb="619" eb="620">
      <t>スウ</t>
    </rPh>
    <rPh sb="662" eb="664">
      <t>フソク</t>
    </rPh>
    <rPh sb="664" eb="667">
      <t>ショウブンルイ</t>
    </rPh>
    <rPh sb="667" eb="668">
      <t>スウ</t>
    </rPh>
    <rPh sb="670" eb="673">
      <t>ダイブンルイ</t>
    </rPh>
    <rPh sb="674" eb="675">
      <t>ナカ</t>
    </rPh>
    <rPh sb="676" eb="679">
      <t>ショウブンルイ</t>
    </rPh>
    <rPh sb="754" eb="755">
      <t>カク</t>
    </rPh>
    <phoneticPr fontId="1"/>
  </si>
  <si>
    <t>配点</t>
    <phoneticPr fontId="1"/>
  </si>
  <si>
    <t>書式</t>
  </si>
  <si>
    <t>区分単位</t>
  </si>
  <si>
    <t>範囲</t>
  </si>
  <si>
    <t>配点区分1</t>
  </si>
  <si>
    <t>配点区分2</t>
  </si>
  <si>
    <t>配点区分3</t>
  </si>
  <si>
    <t>配点区分4</t>
  </si>
  <si>
    <t>配点区分5</t>
  </si>
  <si>
    <t>向上率 5%</t>
  </si>
  <si>
    <t>数値</t>
  </si>
  <si>
    <t>%</t>
  </si>
  <si>
    <t>Up</t>
  </si>
  <si>
    <t>向上率10%</t>
  </si>
  <si>
    <t>削減率 5%</t>
  </si>
  <si>
    <t>Down</t>
  </si>
  <si>
    <t>削減率10%</t>
  </si>
  <si>
    <t>リサイクルの管理レベル</t>
  </si>
  <si>
    <t>文字列</t>
  </si>
  <si>
    <t>特定値</t>
  </si>
  <si>
    <t>重さが製品全重量の5%未満の部品について、解体分離に関する表示ができている（製品本体、ドキュメント類等で）。</t>
  </si>
  <si>
    <t>重さが製品全重量の5%以上～10%未満の部品について、解体分離に関する表示ができている（同）。</t>
  </si>
  <si>
    <t>重さが製品全重量の10%以上の部品について、解体分離に関する表示ができている（同）。</t>
  </si>
  <si>
    <t>表示をしていない。</t>
  </si>
  <si>
    <t>管理レベル</t>
  </si>
  <si>
    <t>プロセスが標準化及び文書化され、その遵守状況の把握・測定が可能。プロセスが有効に機能していない場合は修正が行われ、継続的に改善されている。</t>
  </si>
  <si>
    <t>プロセスが標準化及び文書化され、訓練により伝達されている。しかし、このようなプロセスは個人に依存しており、逸脱が存在する可能性がある。</t>
  </si>
  <si>
    <t>手続きは確立しているが、標準化は不十分で、訓練や伝達も存在しない。個人の知識に依存している程度が高く、過ちが発生しがちである。</t>
  </si>
  <si>
    <t>実施すべき手続きが欠落している。組織として対応すべき問題を認識できても、個人ごと、あるいはケースバイケースの思いつきにより対応している。運用していない</t>
  </si>
  <si>
    <t>節湯区分</t>
  </si>
  <si>
    <t>工業会標準に準拠</t>
  </si>
  <si>
    <t>自社標準に準拠節湯B</t>
  </si>
  <si>
    <t>部分的にある</t>
  </si>
  <si>
    <t>無</t>
  </si>
  <si>
    <t>達成率</t>
  </si>
  <si>
    <t>100%以上</t>
  </si>
  <si>
    <t>80％以上</t>
  </si>
  <si>
    <t>60％以上</t>
  </si>
  <si>
    <t>60％未満</t>
  </si>
  <si>
    <t>マイナス</t>
  </si>
  <si>
    <t>有無</t>
  </si>
  <si>
    <t>有</t>
  </si>
  <si>
    <t>番号　　　　　</t>
  </si>
  <si>
    <t>・製品評価時に、エネルギー消費削減量を計るときは、母数に、生産台数、売上額などを適宜設定する。_x000D_
・評価対象製品の全製造工程のエネルギー消費量を厳密に測定するのが難しい場合は、事業者で一定の決めを設け、測定対象範囲を限定して評価してもよい（鋳物製造工程に限定する、加工に時間がかかり使用電力が大きい弁体や弁箱等の大きな部品の製造工程に限定する、等）。</t>
  </si>
  <si>
    <t>・製品評価時に、エネルギー消費削減量を計るときは、母数に、生産台数、売上額などを適宜設定する。
・評価対象製品の全製造工程のエネルギー消費量を厳密に測定するのが難しい場合は、事業者で一定の決めを設け、測定対象範囲を限定して評価してもよい（鋳物製造工程に限定する、加工に時間がかかり使用電力が大きい弁体や弁箱等の大きな部品の製造工程に限定する、等）。</t>
  </si>
  <si>
    <t>・これら項目の評価では、全構成部品の個別素材重量、完成品重量、寸法、体積が把握管理されていることが必要。
・体積については、厳密に求めた数値を用いるか、外形寸法を用いるかは事業者で一定の決めを設定する。</t>
  </si>
  <si>
    <t>製品全体の重量が変わらない場合も、設計改善（歩留まり、不良率改善等）による材料の削減量を評価する。歩留まり、不良率評価は、設計試作、量産試作段階で実施する。</t>
  </si>
  <si>
    <t>_x000D_
【標準部品とは】_x000D_
本ガイドラインでは、一般規格部品、複数の製品で使用可能な部品、同一製品内でも複数使用する部品などを標準部品とするが、詳細な定義は事業者が決めてもよい。_x000D_
【部品の共通化とは】_x000D_
設計段階で標準部品が設定された結果、その部品を共通利用することで、調達、在庫管理、生産、保守など大幅なコスト削減が望める</t>
  </si>
  <si>
    <t>_x000D_【標準部品とは】
本ガイドラインでは、一般規格部品、複数の製品で使用可能な部品、同一製品内でも複数使用する部品などを標準部品とするが、詳細な定義は事業者が決めてもよい。
【部品の共通化とは】
設計段階で標準部品が設定された結果、その部品を共通利用することで、調達、在庫管理、生産、保守など大幅なコスト削減が望める</t>
  </si>
  <si>
    <t>製造時の部品梱包材及び製品の使い捨て包装材や梱包材を対象とし、重量及び／又は体積を指標とする。
【使い捨て材とは】
事業者が回収せず、購入者側が処分する材料のことをいう。
【チェックシートへの記入】
・梱包材や包装材を使用していない場合は、項目の「必須／選択」欄で「非該当」を選ぶ。
・通い箱を活用している場合は削減率100%とするか、又は回収率で評価して、その旨を備考欄に記入する。</t>
  </si>
  <si>
    <t>【チェックシートへの記入】
節水機能に関係しない製品は、項目の「必須／選択」欄で「非該当」を選ぶ。</t>
  </si>
  <si>
    <t xml:space="preserve">・この項目は、エネルギー消費ではなく資源消費の観点で評価する。
・漏れの測定方法を明確に規定する（工業用弁の場合、API、ANSI等の規定に基づく評価試験、客先仕様等）。
【チェックシートへの記入】
漏れ量が0と評価される場合は、便宜上「New Data」に0を、「Old Data」に1を入力する。
</t>
  </si>
  <si>
    <t>【チェックシートへの記入】
漏れ量の具体的数値を入力する。または、接合部（駆動部、シャフト、フランジ、パッキンなど）に使われる部品を耐久性のあるものに変更した場合は、「有／無」を単位として、「有」を選択する。
【漏れ量測定に使える指標】
工業用弁では、ISO15848にパッキンからの許容漏れ量の規定がある。</t>
  </si>
  <si>
    <t>以下の点を考慮に入れて寿命又は耐久性を計る評価方法を明確に定め、評価を行う。
①耐用寿命時間
②耐用動作回数
③高耐久性の部品や材料への変更
【寿命の定義・基準作成の参考となる規格】
・SIL認証: IEC61508シリーズ（邦訳版標題「電気/電子/プログラム可能電子安全関連システムの機能安全」）。
・JIS S 3200シリーズ（水道用器具の性能試験）。</t>
  </si>
  <si>
    <t>・上記例を参考に、削減対象廃棄物とその削減目標値は事業者で決める。
・評価範囲は、評価対象製品の製造工程単位、生産ライン単位等、事業者が一定の決めで定める。
・必要であれば体積削減率を指標としてもよいが、重量換算した数値を指標とするのが適当であろう。</t>
  </si>
  <si>
    <t xml:space="preserve">・消費量は消耗品の耐用寿命、交換周期で置き換えて目標値設定してもよい。
・製品評価では、長寿命のパッキン、ガスケット等に仕様を変更した場合、消耗品の消費量を削減したと評価できる（耐用寿命や交換周期の改善率が向上したとみなす）。
【消耗品の例】
パッキン、ガスケット、潤滑油、バッテリ等。
【チェックシートへの記入】
製品使用時に発生する消耗品がない場合は、項目の「必須／選択」欄で「非該当」を選ぶ。
</t>
  </si>
  <si>
    <t>【交換可能部品とは】
ユーザー、メンテナンス担当者が、全体を交換せずにその部品のみ（市場で入手可能なもの）を交換することで復帰できる部品をいう。</t>
  </si>
  <si>
    <t>・製品設計、生産段階での部品標準化の一部としてとらえられるが、保守交換部品に絞った評価を行う。
・2.1.2.2（標準部品使用の拡大）と重複しているが、ここでは交換部品に特定して評価する。
【交換部品の標準化とは】
ユーザー又はメンテ担当者に部品交換の容易性を提供するため、部品の仕様が明示され、単独で管理（生産、販売）され、他機種との互換性を持つように設計されていることをいう
【チェックシートへの記入】
・全て規格品で構成されている場合は、「New Data」に1を、「Old Data」に0を入力し、規格品である旨を備考に記述する。
・使い捨て製品で、交換部品がない製品は、項目の「必須／選択」欄で「非該当」を選ぶ。</t>
  </si>
  <si>
    <t>・部品、モジュールなどの交換が容易に出来るよう、工具レス、少ない工具、特殊工具使用の削減など考慮されているかを加味し、実際の交換時間を測定評価する
【チェックシートへの記入】
使い捨て製品で、交換部品がない製品は、項目の「必須／選択」欄で「非該当」を選ぶ。</t>
  </si>
  <si>
    <t>・管理対象とするリサイクル可能な材料及び／又はリサイクルされた材料は、事業者にて設定する。
・リサイクル可能な材料、リサイクルされた材料ともに、製品全体の体積又は重量に対する使用率を指標として評価する。</t>
  </si>
  <si>
    <t xml:space="preserve">・取扱説明書、HP、図面、注意書き等への表示の有無と見やすさを評価する。_x000D_
・重さで部品を分類し、どれくらい細かい部品にまで識別表示ができているかを評価する。_x000D_
</t>
  </si>
  <si>
    <t>分解に要する時間を測定し、評価する。</t>
  </si>
  <si>
    <t xml:space="preserve">【リサイクル可能な材料の種類数低減の例】
従来品はSUS304と316を使用⇒最新モデルでは316に統一。
</t>
  </si>
  <si>
    <t xml:space="preserve">関連国内法だけではなく、近年はCEマーキングを要求されることが多く、次のような関連指令を考慮、管理する必要がある。
①EC EMC(電磁両立性）指令
②EC 機械指令指令
③EC 低電圧指令（LTV)
④EC 圧力機器指令
</t>
  </si>
  <si>
    <t>【個々の製品製造時におけるCO2排出量削減方法の例】
①CO2排出量の少ない材料の選定
②材料削減による排出量削減
③工程改善による排出量削減</t>
  </si>
  <si>
    <t>評価指針!D33</t>
  </si>
  <si>
    <t>【有害物質関連規制の例】
欧州関連指令（REACH、RoHSなど）、化審法、化管法、浸出基準など。RoHS自体の適応対象は電気電子製品ではあるが、機械部品でも装置に組み込まれることが多い場合は、RoHS対応は必要となっている。
【チェックシートへの記入】
該当する指令・法規制が対象になくても、含有成分を把握し、「ない」と言うことを管理すべきであるので、「非該当」は選択できない。</t>
  </si>
  <si>
    <t>7.1.1.1の「知っておくべき製品情報」とは、製品の仕様、特性、性能、機能などを指す。</t>
  </si>
  <si>
    <t>7.1.1.2は、法令により定められた特定の化学物質を使用している指定製品の場合の評価項目。自社製品に関係する法令の内容を把握・理解（＝しくみ評価）した上で、製品の個々のレベルでも、定められた表示をできているかを評価する。</t>
  </si>
  <si>
    <t xml:space="preserve">7.1.1.3では、製品説明書、取り扱い説明書などで適切に情報提供できているか、特に法令により定められた表示が必要な場合、それを行っているかを評価する。
</t>
  </si>
  <si>
    <t>【評価時の視点】
・表示内容が理解しやすいか。
・見やすい位置にあるか。
・読みやすい表示になっているか（表示の大きさなど）。</t>
  </si>
  <si>
    <t>利用者が必要情報（カタログ、仕様書、図面、取扱説明書、含有物質リスト、RoHS証明書、その他環境関連の証明書等）にいつでもペーパーレスでアクセスできる環境を提供できているか、デジタル化率として評価する。</t>
  </si>
  <si>
    <t xml:space="preserve">製品開発時点で、関連部署を包括した環境配慮設計実施のためのプロジェクトが構成され、環境配慮設計の目標値管理、評価、レビューなどを行うしくみが準備されていることが必要となる。_x000D_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</si>
</sst>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_ "/>
  </numFmts>
  <fonts count="8">
    <font>
      <sz val="11"/>
      <name val="ＭＳ Ｐゴシック"/>
      <family val="3"/>
      <charset val="128"/>
    </font>
    <font>
      <sz val="6"/>
      <name val="ＭＳ Ｐゴシック"/>
      <family val="3"/>
      <charset val="128"/>
    </font>
    <font>
      <sz val="16"/>
      <color theme="3"/>
      <name val="ＭＳ Ｐゴシック"/>
      <family val="3"/>
      <charset val="128"/>
    </font>
    <font>
      <u/>
      <sz val="11"/>
      <color theme="10"/>
      <name val="ＭＳ Ｐゴシック"/>
      <family val="3"/>
      <charset val="128"/>
    </font>
    <font>
      <sz val="11"/>
      <color theme="10"/>
      <name val="ＭＳ Ｐゴシック"/>
      <family val="3"/>
      <charset val="128"/>
    </font>
    <font>
      <sz val="11"/>
      <color theme="0"/>
      <name val="ＭＳ Ｐゴシック"/>
      <family val="3"/>
      <charset val="128"/>
    </font>
    <font>
      <sz val="9"/>
      <color indexed="81"/>
      <name val="ＭＳ Ｐゴシック"/>
      <family val="3"/>
      <charset val="128"/>
    </font>
    <font>
      <sz val="11"/>
      <color theme="1"/>
      <name val="ＭＳ Ｐゴシック"/>
      <family val="2"/>
      <scheme val="minor"/>
    </font>
  </fonts>
  <fills count="5">
    <fill>
      <patternFill patternType="none"/>
    </fill>
    <fill>
      <patternFill patternType="gray125"/>
    </fill>
    <fill>
      <patternFill patternType="solid">
        <fgColor theme="4" tint="0.79995117038483843"/>
        <bgColor indexed="64"/>
      </patternFill>
    </fill>
    <fill>
      <patternFill patternType="solid">
        <fgColor theme="8" tint="0.79995117038483843"/>
        <bgColor indexed="64"/>
      </patternFill>
    </fill>
    <fill>
      <patternFill patternType="solid">
        <fgColor theme="5" tint="0.7999511703848384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7" fillId="0" borderId="0"/>
  </cellStyleXfs>
  <cellXfs count="50">
    <xf numFmtId="0" fontId="0" fillId="0" borderId="0" xfId="0">
      <alignment vertical="center"/>
    </xf>
    <xf numFmtId="0" fontId="0" fillId="2" borderId="1" xfId="0"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right" vertical="center"/>
    </xf>
    <xf numFmtId="14" fontId="0" fillId="0" borderId="0" xfId="0" applyNumberFormat="1">
      <alignment vertical="center"/>
    </xf>
    <xf numFmtId="0" fontId="2" fillId="0" borderId="0" xfId="0" applyFont="1">
      <alignment vertical="center"/>
    </xf>
    <xf numFmtId="0" fontId="3" fillId="0" borderId="0" xfId="1" applyAlignment="1">
      <alignment vertical="center"/>
    </xf>
    <xf numFmtId="0" fontId="0" fillId="3" borderId="1" xfId="0" applyFill="1" applyBorder="1">
      <alignment vertical="center"/>
    </xf>
    <xf numFmtId="0" fontId="0" fillId="0" borderId="1" xfId="0" applyBorder="1" applyAlignment="1">
      <alignment horizontal="left" vertical="center" wrapText="1"/>
    </xf>
    <xf numFmtId="176" fontId="0" fillId="2" borderId="1" xfId="0" applyNumberFormat="1" applyFill="1" applyBorder="1" applyAlignment="1">
      <alignment horizontal="center" vertical="center" wrapText="1"/>
    </xf>
    <xf numFmtId="176" fontId="0" fillId="0" borderId="1" xfId="0" applyNumberFormat="1" applyBorder="1">
      <alignment vertical="center"/>
    </xf>
    <xf numFmtId="9" fontId="0" fillId="0" borderId="1" xfId="0" applyNumberFormat="1" applyBorder="1">
      <alignment vertical="center"/>
    </xf>
    <xf numFmtId="14" fontId="0" fillId="0" borderId="1" xfId="0" applyNumberFormat="1" applyBorder="1" applyAlignment="1">
      <alignment horizontal="left" vertical="center" wrapText="1"/>
    </xf>
    <xf numFmtId="0" fontId="0" fillId="0" borderId="0" xfId="0" applyAlignment="1">
      <alignment vertical="center" wrapText="1"/>
    </xf>
    <xf numFmtId="0" fontId="0" fillId="0" borderId="0" xfId="0" applyNumberFormat="1">
      <alignment vertical="center"/>
    </xf>
    <xf numFmtId="0" fontId="0" fillId="0" borderId="1" xfId="0" applyBorder="1">
      <alignment vertical="center"/>
    </xf>
    <xf numFmtId="0" fontId="0" fillId="0" borderId="0" xfId="0" applyProtection="1">
      <alignment vertical="center"/>
    </xf>
    <xf numFmtId="0" fontId="0" fillId="0" borderId="0" xfId="0" applyAlignment="1" applyProtection="1">
      <alignment horizontal="left" vertical="top" wrapText="1" justifyLastLine="1"/>
    </xf>
    <xf numFmtId="0" fontId="0" fillId="0" borderId="0" xfId="0" applyFont="1" applyProtection="1">
      <alignment vertical="center"/>
    </xf>
    <xf numFmtId="0" fontId="0" fillId="0" borderId="1" xfId="0" applyBorder="1" applyProtection="1">
      <alignment vertical="center"/>
    </xf>
    <xf numFmtId="0" fontId="0" fillId="0" borderId="1" xfId="0" applyBorder="1" applyAlignment="1" applyProtection="1">
      <alignment horizontal="left" vertical="top" wrapText="1" justifyLastLine="1"/>
    </xf>
    <xf numFmtId="14" fontId="0" fillId="0" borderId="1" xfId="0" applyNumberFormat="1" applyBorder="1" applyAlignment="1" applyProtection="1">
      <alignment horizontal="left" vertical="top" wrapText="1" justifyLastLine="1"/>
    </xf>
    <xf numFmtId="0" fontId="0" fillId="2" borderId="1" xfId="0" applyFill="1" applyBorder="1" applyAlignment="1" applyProtection="1">
      <alignment horizontal="center" vertical="center" wrapText="1"/>
    </xf>
    <xf numFmtId="0" fontId="0" fillId="2" borderId="1" xfId="0" applyFill="1" applyBorder="1" applyAlignment="1" applyProtection="1">
      <alignment horizontal="center" vertical="center" wrapText="1" justifyLastLine="1"/>
    </xf>
    <xf numFmtId="0" fontId="0" fillId="2" borderId="1" xfId="0" applyFont="1" applyFill="1" applyBorder="1" applyAlignment="1" applyProtection="1">
      <alignment horizontal="center" vertical="center" wrapText="1"/>
    </xf>
    <xf numFmtId="0" fontId="0" fillId="0" borderId="1" xfId="0" applyBorder="1" applyAlignment="1" applyProtection="1">
      <alignment vertical="center" wrapText="1"/>
    </xf>
    <xf numFmtId="0" fontId="0" fillId="0" borderId="2" xfId="0" applyBorder="1" applyAlignment="1" applyProtection="1">
      <alignment vertical="center" wrapText="1"/>
    </xf>
    <xf numFmtId="0" fontId="0" fillId="0" borderId="2" xfId="0" applyBorder="1" applyAlignment="1" applyProtection="1">
      <alignment horizontal="left" vertical="top" wrapText="1" justifyLastLine="1"/>
    </xf>
    <xf numFmtId="0" fontId="4" fillId="0" borderId="1" xfId="1" applyFont="1" applyBorder="1" applyAlignment="1" applyProtection="1">
      <alignment horizontal="left" vertical="top" wrapText="1" justifyLastLine="1"/>
      <protection locked="0"/>
    </xf>
    <xf numFmtId="0" fontId="0" fillId="4" borderId="1" xfId="0" applyFill="1" applyBorder="1" applyAlignment="1" applyProtection="1">
      <alignment vertical="center" wrapText="1"/>
      <protection locked="0"/>
    </xf>
    <xf numFmtId="176" fontId="0" fillId="4" borderId="1" xfId="0" applyNumberFormat="1" applyFill="1" applyBorder="1" applyAlignment="1" applyProtection="1">
      <alignment horizontal="right" vertical="center" wrapText="1"/>
      <protection locked="0"/>
    </xf>
    <xf numFmtId="176" fontId="0" fillId="0" borderId="1" xfId="0" applyNumberFormat="1" applyBorder="1" applyAlignment="1" applyProtection="1">
      <alignment horizontal="right" vertical="center" wrapText="1"/>
    </xf>
    <xf numFmtId="177" fontId="0" fillId="0" borderId="1" xfId="0" applyNumberFormat="1" applyBorder="1" applyAlignment="1">
      <alignment horizontal="right" vertical="center" wrapText="1"/>
    </xf>
    <xf numFmtId="0" fontId="0" fillId="0" borderId="1" xfId="0" applyBorder="1" applyAlignment="1" applyProtection="1">
      <alignment vertical="center" wrapText="1"/>
      <protection locked="0"/>
    </xf>
    <xf numFmtId="0" fontId="5" fillId="0" borderId="3" xfId="0" applyFont="1" applyBorder="1" applyAlignment="1" applyProtection="1">
      <alignment vertical="center" wrapText="1"/>
    </xf>
    <xf numFmtId="0" fontId="5" fillId="0" borderId="3" xfId="0" applyFont="1" applyBorder="1" applyAlignment="1" applyProtection="1">
      <alignment horizontal="left" vertical="top" wrapText="1" justifyLastLine="1"/>
    </xf>
    <xf numFmtId="0" fontId="5" fillId="0" borderId="4" xfId="0" applyFont="1" applyBorder="1" applyAlignment="1" applyProtection="1">
      <alignment horizontal="left" vertical="top" wrapText="1" justifyLastLine="1"/>
    </xf>
    <xf numFmtId="176" fontId="0" fillId="4" borderId="1" xfId="0" applyNumberFormat="1" applyFill="1" applyBorder="1" applyAlignment="1" applyProtection="1">
      <alignment horizontal="right" vertical="center" wrapText="1"/>
    </xf>
    <xf numFmtId="0" fontId="5" fillId="0" borderId="4" xfId="0" applyFont="1" applyBorder="1" applyAlignment="1" applyProtection="1">
      <alignment vertical="center" wrapText="1"/>
    </xf>
    <xf numFmtId="0" fontId="3" fillId="0" borderId="0" xfId="1">
      <alignment vertical="center"/>
    </xf>
    <xf numFmtId="0" fontId="0" fillId="0" borderId="0" xfId="0" applyAlignment="1">
      <alignment vertical="center" wrapText="1"/>
    </xf>
    <xf numFmtId="0" fontId="0" fillId="0" borderId="0" xfId="0" applyAlignment="1">
      <alignment vertical="center"/>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0" fontId="0" fillId="2" borderId="7" xfId="0" applyFill="1" applyBorder="1" applyAlignment="1" applyProtection="1">
      <alignment horizontal="center" vertical="center" wrapText="1"/>
    </xf>
    <xf numFmtId="0" fontId="0" fillId="0" borderId="1" xfId="0" applyBorder="1" applyAlignment="1" applyProtection="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pivotButton="1">
      <alignment vertical="center"/>
    </xf>
    <xf numFmtId="0" fontId="0" fillId="0" borderId="0" xfId="0" pivotButton="1" applyAlignment="1">
      <alignment vertical="center" wrapText="1"/>
    </xf>
  </cellXfs>
  <cellStyles count="3">
    <cellStyle name="ハイパーリンク" xfId="1" builtinId="8"/>
    <cellStyle name="標準" xfId="0" builtinId="0"/>
    <cellStyle name="標準 2" xfId="2"/>
  </cellStyles>
  <dxfs count="6">
    <dxf>
      <fill>
        <patternFill>
          <fgColor indexed="64"/>
          <bgColor indexed="65"/>
        </patternFill>
      </fill>
    </dxf>
    <dxf>
      <font>
        <color theme="0"/>
      </font>
      <fill>
        <patternFill patternType="none">
          <bgColor indexed="65"/>
        </patternFill>
      </fill>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評価データの個数とポイント</a:t>
            </a:r>
          </a:p>
        </c:rich>
      </c:tx>
      <c:overlay val="0"/>
    </c:title>
    <c:autoTitleDeleted val="0"/>
    <c:plotArea>
      <c:layout>
        <c:manualLayout>
          <c:layoutTarget val="inner"/>
          <c:xMode val="edge"/>
          <c:yMode val="edge"/>
          <c:x val="9.3035820087880625E-2"/>
          <c:y val="0.13833897893197364"/>
          <c:w val="0.85005061867266596"/>
          <c:h val="0.66999175471137973"/>
        </c:manualLayout>
      </c:layout>
      <c:barChart>
        <c:barDir val="col"/>
        <c:grouping val="clustered"/>
        <c:varyColors val="0"/>
        <c:ser>
          <c:idx val="0"/>
          <c:order val="0"/>
          <c:tx>
            <c:strRef>
              <c:f>Report!$H$4</c:f>
              <c:strCache>
                <c:ptCount val="1"/>
                <c:pt idx="0">
                  <c:v>ポイント計</c:v>
                </c:pt>
              </c:strCache>
            </c:strRef>
          </c:tx>
          <c:invertIfNegative val="0"/>
          <c:cat>
            <c:strRef>
              <c:f>Report!$G$5:$G$11</c:f>
              <c:strCache>
                <c:ptCount val="7"/>
                <c:pt idx="0">
                  <c:v>省エネルギー</c:v>
                </c:pt>
                <c:pt idx="1">
                  <c:v>リデュース</c:v>
                </c:pt>
                <c:pt idx="2">
                  <c:v>リユース</c:v>
                </c:pt>
                <c:pt idx="3">
                  <c:v>リサイクル</c:v>
                </c:pt>
                <c:pt idx="4">
                  <c:v>環境・安全</c:v>
                </c:pt>
                <c:pt idx="5">
                  <c:v>情報提供</c:v>
                </c:pt>
                <c:pt idx="6">
                  <c:v>管理</c:v>
                </c:pt>
              </c:strCache>
            </c:strRef>
          </c:cat>
          <c:val>
            <c:numRef>
              <c:f>Report!$H$5:$H$11</c:f>
              <c:numCache>
                <c:formatCode>0_ </c:formatCode>
                <c:ptCount val="7"/>
                <c:pt idx="0">
                  <c:v>0</c:v>
                </c:pt>
                <c:pt idx="1">
                  <c:v>0</c:v>
                </c:pt>
                <c:pt idx="2">
                  <c:v>0</c:v>
                </c:pt>
                <c:pt idx="3">
                  <c:v>0</c:v>
                </c:pt>
                <c:pt idx="4">
                  <c:v>0</c:v>
                </c:pt>
                <c:pt idx="5">
                  <c:v>0</c:v>
                </c:pt>
                <c:pt idx="6">
                  <c:v>0</c:v>
                </c:pt>
              </c:numCache>
            </c:numRef>
          </c:val>
        </c:ser>
        <c:ser>
          <c:idx val="1"/>
          <c:order val="1"/>
          <c:tx>
            <c:strRef>
              <c:f>Report!$I$4</c:f>
              <c:strCache>
                <c:ptCount val="1"/>
                <c:pt idx="0">
                  <c:v>データの個数</c:v>
                </c:pt>
              </c:strCache>
            </c:strRef>
          </c:tx>
          <c:invertIfNegative val="0"/>
          <c:cat>
            <c:strRef>
              <c:f>Report!$G$5:$G$11</c:f>
              <c:strCache>
                <c:ptCount val="7"/>
                <c:pt idx="0">
                  <c:v>省エネルギー</c:v>
                </c:pt>
                <c:pt idx="1">
                  <c:v>リデュース</c:v>
                </c:pt>
                <c:pt idx="2">
                  <c:v>リユース</c:v>
                </c:pt>
                <c:pt idx="3">
                  <c:v>リサイクル</c:v>
                </c:pt>
                <c:pt idx="4">
                  <c:v>環境・安全</c:v>
                </c:pt>
                <c:pt idx="5">
                  <c:v>情報提供</c:v>
                </c:pt>
                <c:pt idx="6">
                  <c:v>管理</c:v>
                </c:pt>
              </c:strCache>
            </c:strRef>
          </c:cat>
          <c:val>
            <c:numRef>
              <c:f>Report!$I$5:$I$11</c:f>
              <c:numCache>
                <c:formatCode>0_ </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axId val="414296320"/>
        <c:axId val="414302208"/>
      </c:barChart>
      <c:catAx>
        <c:axId val="414296320"/>
        <c:scaling>
          <c:orientation val="minMax"/>
        </c:scaling>
        <c:delete val="0"/>
        <c:axPos val="b"/>
        <c:numFmt formatCode="General" sourceLinked="1"/>
        <c:majorTickMark val="out"/>
        <c:minorTickMark val="none"/>
        <c:tickLblPos val="nextTo"/>
        <c:crossAx val="414302208"/>
        <c:crosses val="autoZero"/>
        <c:auto val="1"/>
        <c:lblAlgn val="ctr"/>
        <c:lblOffset val="100"/>
        <c:noMultiLvlLbl val="0"/>
      </c:catAx>
      <c:valAx>
        <c:axId val="414302208"/>
        <c:scaling>
          <c:orientation val="minMax"/>
          <c:min val="0"/>
        </c:scaling>
        <c:delete val="0"/>
        <c:axPos val="l"/>
        <c:majorGridlines/>
        <c:numFmt formatCode="0_ " sourceLinked="1"/>
        <c:majorTickMark val="out"/>
        <c:minorTickMark val="none"/>
        <c:tickLblPos val="nextTo"/>
        <c:spPr>
          <a:solidFill>
            <a:sysClr val="window" lastClr="FFFFFF">
              <a:lumMod val="100000"/>
            </a:sysClr>
          </a:solidFill>
        </c:spPr>
        <c:crossAx val="414296320"/>
        <c:crosses val="autoZero"/>
        <c:crossBetween val="between"/>
      </c:valAx>
    </c:plotArea>
    <c:legend>
      <c:legendPos val="t"/>
      <c:overlay val="1"/>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6"/>
          <c:order val="0"/>
          <c:tx>
            <c:strRef>
              <c:f>Report!$N$4</c:f>
              <c:strCache>
                <c:ptCount val="1"/>
                <c:pt idx="0">
                  <c:v>平均点</c:v>
                </c:pt>
              </c:strCache>
            </c:strRef>
          </c:tx>
          <c:spPr>
            <a:ln w="41275">
              <a:solidFill>
                <a:schemeClr val="tx2"/>
              </a:solidFill>
            </a:ln>
          </c:spPr>
          <c:marker>
            <c:spPr>
              <a:ln w="63500">
                <a:solidFill>
                  <a:schemeClr val="tx1"/>
                </a:solidFill>
              </a:ln>
            </c:spPr>
          </c:marker>
          <c:cat>
            <c:strRef>
              <c:f>Report!$G$5:$G$10</c:f>
              <c:strCache>
                <c:ptCount val="6"/>
                <c:pt idx="0">
                  <c:v>省エネルギー</c:v>
                </c:pt>
                <c:pt idx="1">
                  <c:v>リデュース</c:v>
                </c:pt>
                <c:pt idx="2">
                  <c:v>リユース</c:v>
                </c:pt>
                <c:pt idx="3">
                  <c:v>リサイクル</c:v>
                </c:pt>
                <c:pt idx="4">
                  <c:v>環境・安全</c:v>
                </c:pt>
                <c:pt idx="5">
                  <c:v>情報提供</c:v>
                </c:pt>
              </c:strCache>
            </c:strRef>
          </c:cat>
          <c:val>
            <c:numRef>
              <c:f>Report!$N$5:$N$10</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411024768"/>
        <c:axId val="414475776"/>
      </c:radarChart>
      <c:catAx>
        <c:axId val="411024768"/>
        <c:scaling>
          <c:orientation val="minMax"/>
        </c:scaling>
        <c:delete val="0"/>
        <c:axPos val="b"/>
        <c:majorGridlines/>
        <c:numFmt formatCode="General" sourceLinked="1"/>
        <c:majorTickMark val="out"/>
        <c:minorTickMark val="none"/>
        <c:tickLblPos val="nextTo"/>
        <c:crossAx val="414475776"/>
        <c:crosses val="autoZero"/>
        <c:auto val="1"/>
        <c:lblAlgn val="ctr"/>
        <c:lblOffset val="100"/>
        <c:noMultiLvlLbl val="0"/>
      </c:catAx>
      <c:valAx>
        <c:axId val="414475776"/>
        <c:scaling>
          <c:orientation val="minMax"/>
          <c:max val="1"/>
          <c:min val="0"/>
        </c:scaling>
        <c:delete val="0"/>
        <c:axPos val="l"/>
        <c:majorGridlines/>
        <c:numFmt formatCode="0%" sourceLinked="1"/>
        <c:majorTickMark val="out"/>
        <c:minorTickMark val="none"/>
        <c:tickLblPos val="nextTo"/>
        <c:crossAx val="41102476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4.png"/><Relationship Id="rId2" Type="http://schemas.openxmlformats.org/officeDocument/2006/relationships/hyperlink" Target="#Report!A1"/><Relationship Id="rId1" Type="http://schemas.openxmlformats.org/officeDocument/2006/relationships/hyperlink" Target="#&#38917;&#30446;list!A1"/><Relationship Id="rId6" Type="http://schemas.openxmlformats.org/officeDocument/2006/relationships/hyperlink" Target="#Document!A1"/><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Pivot&#31684;&#22258;"/><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hyperlink" Target="#&#37197;&#28857;&#21306;&#20998;!A1"/><Relationship Id="rId1" Type="http://schemas.openxmlformats.org/officeDocument/2006/relationships/hyperlink" Target="#Top!A1"/></Relationships>
</file>

<file path=xl/drawings/_rels/drawing6.xml.rels><?xml version="1.0" encoding="UTF-8" standalone="yes"?>
<Relationships xmlns="http://schemas.openxmlformats.org/package/2006/relationships"><Relationship Id="rId1" Type="http://schemas.openxmlformats.org/officeDocument/2006/relationships/hyperlink" Target="#&#37197;&#28857;&#12395;&#12388;&#12356;&#12390;!A1"/></Relationships>
</file>

<file path=xl/drawings/drawing1.xml><?xml version="1.0" encoding="utf-8"?>
<xdr:wsDr xmlns:xdr="http://schemas.openxmlformats.org/drawingml/2006/spreadsheetDrawing" xmlns:a="http://schemas.openxmlformats.org/drawingml/2006/main">
  <xdr:twoCellAnchor>
    <xdr:from>
      <xdr:col>0</xdr:col>
      <xdr:colOff>190500</xdr:colOff>
      <xdr:row>1</xdr:row>
      <xdr:rowOff>57150</xdr:rowOff>
    </xdr:from>
    <xdr:to>
      <xdr:col>3</xdr:col>
      <xdr:colOff>520700</xdr:colOff>
      <xdr:row>2</xdr:row>
      <xdr:rowOff>139700</xdr:rowOff>
    </xdr:to>
    <xdr:sp macro="" textlink="">
      <xdr:nvSpPr>
        <xdr:cNvPr id="2" name="テキスト ボックス 1"/>
        <xdr:cNvSpPr txBox="1"/>
      </xdr:nvSpPr>
      <xdr:spPr>
        <a:xfrm>
          <a:off x="190500" y="228600"/>
          <a:ext cx="19685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algn="ctr"/>
          <a:r>
            <a:rPr kumimoji="1" lang="ja-JP" altLang="en-US" sz="1100"/>
            <a:t>単位分類名リスト</a:t>
          </a:r>
        </a:p>
      </xdr:txBody>
    </xdr:sp>
    <xdr:clientData/>
  </xdr:twoCellAnchor>
  <xdr:twoCellAnchor>
    <xdr:from>
      <xdr:col>0</xdr:col>
      <xdr:colOff>190500</xdr:colOff>
      <xdr:row>20</xdr:row>
      <xdr:rowOff>38100</xdr:rowOff>
    </xdr:from>
    <xdr:to>
      <xdr:col>3</xdr:col>
      <xdr:colOff>520700</xdr:colOff>
      <xdr:row>21</xdr:row>
      <xdr:rowOff>120650</xdr:rowOff>
    </xdr:to>
    <xdr:sp macro="" textlink="">
      <xdr:nvSpPr>
        <xdr:cNvPr id="3" name="テキスト ボックス 2"/>
        <xdr:cNvSpPr txBox="1"/>
      </xdr:nvSpPr>
      <xdr:spPr>
        <a:xfrm>
          <a:off x="190500" y="3467100"/>
          <a:ext cx="19685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indent="0" algn="ctr"/>
          <a:r>
            <a:rPr kumimoji="1" lang="ja-JP" altLang="en-US" sz="1100"/>
            <a:t>単位名リスト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320040</xdr:colOff>
      <xdr:row>17</xdr:row>
      <xdr:rowOff>160020</xdr:rowOff>
    </xdr:from>
    <xdr:to>
      <xdr:col>3</xdr:col>
      <xdr:colOff>99060</xdr:colOff>
      <xdr:row>20</xdr:row>
      <xdr:rowOff>121920</xdr:rowOff>
    </xdr:to>
    <xdr:sp macro="" textlink="">
      <xdr:nvSpPr>
        <xdr:cNvPr id="2" name="正方形/長方形 1">
          <a:hlinkClick xmlns:r="http://schemas.openxmlformats.org/officeDocument/2006/relationships" r:id="rId1"/>
        </xdr:cNvPr>
        <xdr:cNvSpPr/>
      </xdr:nvSpPr>
      <xdr:spPr>
        <a:xfrm>
          <a:off x="320040" y="3493770"/>
          <a:ext cx="1836420" cy="4762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評価データ入力シート</a:t>
          </a:r>
        </a:p>
      </xdr:txBody>
    </xdr:sp>
    <xdr:clientData/>
  </xdr:twoCellAnchor>
  <xdr:twoCellAnchor>
    <xdr:from>
      <xdr:col>0</xdr:col>
      <xdr:colOff>342900</xdr:colOff>
      <xdr:row>22</xdr:row>
      <xdr:rowOff>137160</xdr:rowOff>
    </xdr:from>
    <xdr:to>
      <xdr:col>3</xdr:col>
      <xdr:colOff>76200</xdr:colOff>
      <xdr:row>25</xdr:row>
      <xdr:rowOff>68580</xdr:rowOff>
    </xdr:to>
    <xdr:sp macro="" textlink="">
      <xdr:nvSpPr>
        <xdr:cNvPr id="3" name="角丸四角形 2">
          <a:hlinkClick xmlns:r="http://schemas.openxmlformats.org/officeDocument/2006/relationships" r:id="rId2"/>
        </xdr:cNvPr>
        <xdr:cNvSpPr/>
      </xdr:nvSpPr>
      <xdr:spPr>
        <a:xfrm>
          <a:off x="342900" y="4328160"/>
          <a:ext cx="1790700" cy="44577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　総合評価レポート　　　　　　　　　　　　　　　　</a:t>
          </a:r>
        </a:p>
      </xdr:txBody>
    </xdr:sp>
    <xdr:clientData/>
  </xdr:twoCellAnchor>
  <xdr:twoCellAnchor editAs="oneCell">
    <xdr:from>
      <xdr:col>6</xdr:col>
      <xdr:colOff>311979</xdr:colOff>
      <xdr:row>23</xdr:row>
      <xdr:rowOff>21246</xdr:rowOff>
    </xdr:from>
    <xdr:to>
      <xdr:col>7</xdr:col>
      <xdr:colOff>555818</xdr:colOff>
      <xdr:row>26</xdr:row>
      <xdr:rowOff>32578</xdr:rowOff>
    </xdr:to>
    <xdr:pic>
      <xdr:nvPicPr>
        <xdr:cNvPr id="4" name="図 3"/>
        <xdr:cNvPicPr>
          <a:picLocks noChangeAspect="1"/>
        </xdr:cNvPicPr>
      </xdr:nvPicPr>
      <xdr:blipFill>
        <a:blip xmlns:r="http://schemas.openxmlformats.org/officeDocument/2006/relationships" r:embed="rId3"/>
        <a:stretch>
          <a:fillRect/>
        </a:stretch>
      </xdr:blipFill>
      <xdr:spPr>
        <a:xfrm>
          <a:off x="4426779" y="4383696"/>
          <a:ext cx="929639" cy="525682"/>
        </a:xfrm>
        <a:prstGeom prst="rect">
          <a:avLst/>
        </a:prstGeom>
      </xdr:spPr>
    </xdr:pic>
    <xdr:clientData/>
  </xdr:twoCellAnchor>
  <xdr:twoCellAnchor editAs="oneCell">
    <xdr:from>
      <xdr:col>5</xdr:col>
      <xdr:colOff>76422</xdr:colOff>
      <xdr:row>23</xdr:row>
      <xdr:rowOff>32917</xdr:rowOff>
    </xdr:from>
    <xdr:to>
      <xdr:col>6</xdr:col>
      <xdr:colOff>295194</xdr:colOff>
      <xdr:row>26</xdr:row>
      <xdr:rowOff>41523</xdr:rowOff>
    </xdr:to>
    <xdr:pic>
      <xdr:nvPicPr>
        <xdr:cNvPr id="5" name="図 4"/>
        <xdr:cNvPicPr>
          <a:picLocks noChangeAspect="1"/>
        </xdr:cNvPicPr>
      </xdr:nvPicPr>
      <xdr:blipFill>
        <a:blip xmlns:r="http://schemas.openxmlformats.org/officeDocument/2006/relationships" r:embed="rId4"/>
        <a:stretch>
          <a:fillRect/>
        </a:stretch>
      </xdr:blipFill>
      <xdr:spPr>
        <a:xfrm>
          <a:off x="3505422" y="4395367"/>
          <a:ext cx="904572" cy="522956"/>
        </a:xfrm>
        <a:prstGeom prst="rect">
          <a:avLst/>
        </a:prstGeom>
      </xdr:spPr>
    </xdr:pic>
    <xdr:clientData/>
  </xdr:twoCellAnchor>
  <xdr:twoCellAnchor editAs="oneCell">
    <xdr:from>
      <xdr:col>4</xdr:col>
      <xdr:colOff>501043</xdr:colOff>
      <xdr:row>18</xdr:row>
      <xdr:rowOff>11043</xdr:rowOff>
    </xdr:from>
    <xdr:to>
      <xdr:col>6</xdr:col>
      <xdr:colOff>467275</xdr:colOff>
      <xdr:row>21</xdr:row>
      <xdr:rowOff>18663</xdr:rowOff>
    </xdr:to>
    <xdr:pic>
      <xdr:nvPicPr>
        <xdr:cNvPr id="6" name="図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244243" y="3516243"/>
          <a:ext cx="1337832" cy="52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327660</xdr:colOff>
      <xdr:row>13</xdr:row>
      <xdr:rowOff>137160</xdr:rowOff>
    </xdr:from>
    <xdr:to>
      <xdr:col>3</xdr:col>
      <xdr:colOff>114300</xdr:colOff>
      <xdr:row>16</xdr:row>
      <xdr:rowOff>76200</xdr:rowOff>
    </xdr:to>
    <xdr:sp macro="" textlink="">
      <xdr:nvSpPr>
        <xdr:cNvPr id="7" name="角丸四角形 6">
          <a:hlinkClick xmlns:r="http://schemas.openxmlformats.org/officeDocument/2006/relationships" r:id="rId6"/>
        </xdr:cNvPr>
        <xdr:cNvSpPr/>
      </xdr:nvSpPr>
      <xdr:spPr>
        <a:xfrm>
          <a:off x="327660" y="2785110"/>
          <a:ext cx="1844040" cy="453390"/>
        </a:xfrm>
        <a:prstGeom prst="roundRect">
          <a:avLst/>
        </a:prstGeom>
        <a:gradFill>
          <a:gsLst>
            <a:gs pos="0">
              <a:schemeClr val="bg1"/>
            </a:gs>
            <a:gs pos="35000">
              <a:schemeClr val="accent6">
                <a:lumMod val="20000"/>
                <a:lumOff val="80000"/>
              </a:schemeClr>
            </a:gs>
            <a:gs pos="100000">
              <a:schemeClr val="accent6">
                <a:lumMod val="40000"/>
                <a:lumOff val="60000"/>
              </a:schemeClr>
            </a:gs>
          </a:gsLst>
        </a:gra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　このツールの使い方　　　　　　　　　　　　　　　　</a:t>
          </a:r>
        </a:p>
      </xdr:txBody>
    </xdr:sp>
    <xdr:clientData/>
  </xdr:twoCellAnchor>
  <xdr:oneCellAnchor>
    <xdr:from>
      <xdr:col>3</xdr:col>
      <xdr:colOff>205740</xdr:colOff>
      <xdr:row>14</xdr:row>
      <xdr:rowOff>60960</xdr:rowOff>
    </xdr:from>
    <xdr:ext cx="1997406" cy="275717"/>
    <xdr:sp macro="" textlink="">
      <xdr:nvSpPr>
        <xdr:cNvPr id="8" name="テキスト ボックス 7"/>
        <xdr:cNvSpPr txBox="1"/>
      </xdr:nvSpPr>
      <xdr:spPr>
        <a:xfrm>
          <a:off x="2263140" y="2880360"/>
          <a:ext cx="19974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　クリック　　使用説明書です</a:t>
          </a:r>
          <a:endParaRPr kumimoji="1" lang="en-US" altLang="ja-JP" sz="1100"/>
        </a:p>
      </xdr:txBody>
    </xdr:sp>
    <xdr:clientData/>
  </xdr:oneCellAnchor>
  <xdr:oneCellAnchor>
    <xdr:from>
      <xdr:col>6</xdr:col>
      <xdr:colOff>527326</xdr:colOff>
      <xdr:row>18</xdr:row>
      <xdr:rowOff>77746</xdr:rowOff>
    </xdr:from>
    <xdr:ext cx="2995372" cy="447943"/>
    <xdr:sp macro="" textlink="">
      <xdr:nvSpPr>
        <xdr:cNvPr id="9" name="テキスト ボックス 8"/>
        <xdr:cNvSpPr txBox="1"/>
      </xdr:nvSpPr>
      <xdr:spPr>
        <a:xfrm>
          <a:off x="4642126" y="3582946"/>
          <a:ext cx="2995372" cy="447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該当評価項目に対する評価データを入力します</a:t>
          </a:r>
          <a:endParaRPr kumimoji="1" lang="en-US" altLang="ja-JP" sz="1100"/>
        </a:p>
        <a:p>
          <a:endParaRPr kumimoji="1" lang="en-US" altLang="ja-JP" sz="1100"/>
        </a:p>
      </xdr:txBody>
    </xdr:sp>
    <xdr:clientData/>
  </xdr:oneCellAnchor>
  <xdr:oneCellAnchor>
    <xdr:from>
      <xdr:col>8</xdr:col>
      <xdr:colOff>47488</xdr:colOff>
      <xdr:row>23</xdr:row>
      <xdr:rowOff>41523</xdr:rowOff>
    </xdr:from>
    <xdr:ext cx="2417393" cy="631327"/>
    <xdr:sp macro="" textlink="">
      <xdr:nvSpPr>
        <xdr:cNvPr id="10" name="テキスト ボックス 9"/>
        <xdr:cNvSpPr txBox="1"/>
      </xdr:nvSpPr>
      <xdr:spPr>
        <a:xfrm>
          <a:off x="5533888" y="4403973"/>
          <a:ext cx="2417393" cy="63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入力した評価データをもとに</a:t>
          </a:r>
          <a:endParaRPr kumimoji="1" lang="en-US" altLang="ja-JP" sz="1100"/>
        </a:p>
        <a:p>
          <a:r>
            <a:rPr kumimoji="1" lang="ja-JP" altLang="en-US" sz="1100"/>
            <a:t>総合評価結果を、集計グラフで見ます</a:t>
          </a:r>
          <a:endParaRPr kumimoji="1" lang="en-US" altLang="ja-JP" sz="1100"/>
        </a:p>
        <a:p>
          <a:endParaRPr kumimoji="1" lang="en-US" altLang="ja-JP" sz="1100"/>
        </a:p>
      </xdr:txBody>
    </xdr:sp>
    <xdr:clientData/>
  </xdr:oneCellAnchor>
  <xdr:oneCellAnchor>
    <xdr:from>
      <xdr:col>2</xdr:col>
      <xdr:colOff>263808</xdr:colOff>
      <xdr:row>0</xdr:row>
      <xdr:rowOff>145583</xdr:rowOff>
    </xdr:from>
    <xdr:ext cx="3742584" cy="325730"/>
    <xdr:sp macro="" textlink="">
      <xdr:nvSpPr>
        <xdr:cNvPr id="11" name="テキスト ボックス 10"/>
        <xdr:cNvSpPr txBox="1"/>
      </xdr:nvSpPr>
      <xdr:spPr>
        <a:xfrm>
          <a:off x="1635408" y="145583"/>
          <a:ext cx="3742584" cy="325730"/>
        </a:xfrm>
        <a:prstGeom prst="rect">
          <a:avLst/>
        </a:prstGeom>
        <a:noFill/>
        <a:ln w="41275">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400"/>
            <a:t>製品アセスメント（機種別）チェックシート　　　　</a:t>
          </a:r>
        </a:p>
      </xdr:txBody>
    </xdr:sp>
    <xdr:clientData/>
  </xdr:oneCellAnchor>
  <xdr:oneCellAnchor>
    <xdr:from>
      <xdr:col>2</xdr:col>
      <xdr:colOff>39277</xdr:colOff>
      <xdr:row>6</xdr:row>
      <xdr:rowOff>29936</xdr:rowOff>
    </xdr:from>
    <xdr:ext cx="6108794" cy="631327"/>
    <xdr:sp macro="" textlink="">
      <xdr:nvSpPr>
        <xdr:cNvPr id="12" name="テキスト ボックス 11"/>
        <xdr:cNvSpPr txBox="1"/>
      </xdr:nvSpPr>
      <xdr:spPr>
        <a:xfrm>
          <a:off x="1410877" y="1477736"/>
          <a:ext cx="6108794" cy="63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このツールは　日本バルブ工業会発行の　バルブ製品アセスメントガイドラインに従って</a:t>
          </a:r>
          <a:r>
            <a:rPr kumimoji="1" lang="en-US" altLang="ja-JP" sz="1100"/>
            <a:t>,</a:t>
          </a:r>
          <a:r>
            <a:rPr kumimoji="1" lang="ja-JP" altLang="en-US" sz="1100"/>
            <a:t>実際の製品の環境適合設計する際の製品評価結果を入力し、その総合評価結果を自己評価するためのものです。</a:t>
          </a:r>
          <a:r>
            <a:rPr kumimoji="1" lang="en-US" altLang="ja-JP" sz="1100"/>
            <a:t/>
          </a:r>
          <a:br>
            <a:rPr kumimoji="1" lang="en-US" altLang="ja-JP" sz="1100"/>
          </a:br>
          <a:endParaRPr kumimoji="1" lang="ja-JP" altLang="en-US" sz="1100"/>
        </a:p>
      </xdr:txBody>
    </xdr:sp>
    <xdr:clientData/>
  </xdr:oneCellAnchor>
  <xdr:twoCellAnchor>
    <xdr:from>
      <xdr:col>1</xdr:col>
      <xdr:colOff>228600</xdr:colOff>
      <xdr:row>21</xdr:row>
      <xdr:rowOff>53340</xdr:rowOff>
    </xdr:from>
    <xdr:to>
      <xdr:col>2</xdr:col>
      <xdr:colOff>182880</xdr:colOff>
      <xdr:row>22</xdr:row>
      <xdr:rowOff>91440</xdr:rowOff>
    </xdr:to>
    <xdr:sp macro="" textlink="">
      <xdr:nvSpPr>
        <xdr:cNvPr id="13" name="下矢印 12"/>
        <xdr:cNvSpPr/>
      </xdr:nvSpPr>
      <xdr:spPr>
        <a:xfrm>
          <a:off x="914400" y="4072890"/>
          <a:ext cx="640080" cy="2095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227827</xdr:colOff>
      <xdr:row>18</xdr:row>
      <xdr:rowOff>105134</xdr:rowOff>
    </xdr:from>
    <xdr:ext cx="935577" cy="275717"/>
    <xdr:sp macro="" textlink="">
      <xdr:nvSpPr>
        <xdr:cNvPr id="14" name="テキスト ボックス 13"/>
        <xdr:cNvSpPr txBox="1"/>
      </xdr:nvSpPr>
      <xdr:spPr>
        <a:xfrm>
          <a:off x="2285227" y="3610334"/>
          <a:ext cx="9355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　クリック　</a:t>
          </a:r>
          <a:endParaRPr kumimoji="1" lang="en-US" altLang="ja-JP" sz="1100"/>
        </a:p>
      </xdr:txBody>
    </xdr:sp>
    <xdr:clientData/>
  </xdr:oneCellAnchor>
  <xdr:oneCellAnchor>
    <xdr:from>
      <xdr:col>3</xdr:col>
      <xdr:colOff>205740</xdr:colOff>
      <xdr:row>23</xdr:row>
      <xdr:rowOff>116177</xdr:rowOff>
    </xdr:from>
    <xdr:ext cx="935577" cy="275717"/>
    <xdr:sp macro="" textlink="">
      <xdr:nvSpPr>
        <xdr:cNvPr id="15" name="テキスト ボックス 14"/>
        <xdr:cNvSpPr txBox="1"/>
      </xdr:nvSpPr>
      <xdr:spPr>
        <a:xfrm>
          <a:off x="2263140" y="4478627"/>
          <a:ext cx="9355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　クリック　</a:t>
          </a:r>
          <a:endParaRPr kumimoji="1" lang="en-US" altLang="ja-JP" sz="1100"/>
        </a:p>
      </xdr:txBody>
    </xdr:sp>
    <xdr:clientData/>
  </xdr:oneCellAnchor>
  <xdr:twoCellAnchor editAs="oneCell">
    <xdr:from>
      <xdr:col>1</xdr:col>
      <xdr:colOff>52486</xdr:colOff>
      <xdr:row>1</xdr:row>
      <xdr:rowOff>99619</xdr:rowOff>
    </xdr:from>
    <xdr:to>
      <xdr:col>2</xdr:col>
      <xdr:colOff>176677</xdr:colOff>
      <xdr:row>6</xdr:row>
      <xdr:rowOff>42601</xdr:rowOff>
    </xdr:to>
    <xdr:pic>
      <xdr:nvPicPr>
        <xdr:cNvPr id="16" name="図 15"/>
        <xdr:cNvPicPr>
          <a:picLocks noChangeAspect="1"/>
        </xdr:cNvPicPr>
      </xdr:nvPicPr>
      <xdr:blipFill>
        <a:blip xmlns:r="http://schemas.openxmlformats.org/officeDocument/2006/relationships" r:embed="rId7"/>
        <a:stretch>
          <a:fillRect/>
        </a:stretch>
      </xdr:blipFill>
      <xdr:spPr>
        <a:xfrm>
          <a:off x="738286" y="271069"/>
          <a:ext cx="809991" cy="12193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836323</xdr:colOff>
      <xdr:row>0</xdr:row>
      <xdr:rowOff>58951</xdr:rowOff>
    </xdr:from>
    <xdr:to>
      <xdr:col>7</xdr:col>
      <xdr:colOff>443632</xdr:colOff>
      <xdr:row>2</xdr:row>
      <xdr:rowOff>45434</xdr:rowOff>
    </xdr:to>
    <xdr:sp macro="" textlink="">
      <xdr:nvSpPr>
        <xdr:cNvPr id="2" name="テキスト ボックス 1"/>
        <xdr:cNvSpPr txBox="1"/>
      </xdr:nvSpPr>
      <xdr:spPr>
        <a:xfrm>
          <a:off x="3112798" y="58951"/>
          <a:ext cx="2874384" cy="329383"/>
        </a:xfrm>
        <a:prstGeom prst="rect">
          <a:avLst/>
        </a:prstGeom>
        <a:solidFill>
          <a:schemeClr val="accent5">
            <a:lumMod val="40000"/>
            <a:lumOff val="6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spAutoFit/>
        </a:bodyPr>
        <a:lstStyle/>
        <a:p>
          <a:pPr algn="ctr"/>
          <a:r>
            <a:rPr kumimoji="1" lang="ja-JP" altLang="en-US" sz="1400" b="1"/>
            <a:t>総合評価結果</a:t>
          </a:r>
        </a:p>
      </xdr:txBody>
    </xdr:sp>
    <xdr:clientData/>
  </xdr:twoCellAnchor>
  <xdr:twoCellAnchor>
    <xdr:from>
      <xdr:col>0</xdr:col>
      <xdr:colOff>639350</xdr:colOff>
      <xdr:row>15</xdr:row>
      <xdr:rowOff>104381</xdr:rowOff>
    </xdr:from>
    <xdr:to>
      <xdr:col>7</xdr:col>
      <xdr:colOff>26096</xdr:colOff>
      <xdr:row>36</xdr:row>
      <xdr:rowOff>72549</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561060</xdr:colOff>
      <xdr:row>15</xdr:row>
      <xdr:rowOff>78288</xdr:rowOff>
    </xdr:from>
    <xdr:to>
      <xdr:col>14</xdr:col>
      <xdr:colOff>247911</xdr:colOff>
      <xdr:row>36</xdr:row>
      <xdr:rowOff>52191</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13047</xdr:colOff>
      <xdr:row>1</xdr:row>
      <xdr:rowOff>39144</xdr:rowOff>
    </xdr:from>
    <xdr:to>
      <xdr:col>14</xdr:col>
      <xdr:colOff>509064</xdr:colOff>
      <xdr:row>2</xdr:row>
      <xdr:rowOff>135435</xdr:rowOff>
    </xdr:to>
    <xdr:sp macro="" textlink="">
      <xdr:nvSpPr>
        <xdr:cNvPr id="5" name="テキスト ボックス 4"/>
        <xdr:cNvSpPr txBox="1"/>
      </xdr:nvSpPr>
      <xdr:spPr>
        <a:xfrm>
          <a:off x="9176097" y="210594"/>
          <a:ext cx="2924892" cy="267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平均点計算用　　基礎データ</a:t>
          </a:r>
        </a:p>
      </xdr:txBody>
    </xdr:sp>
    <xdr:clientData/>
  </xdr:twoCellAnchor>
  <xdr:twoCellAnchor>
    <xdr:from>
      <xdr:col>10</xdr:col>
      <xdr:colOff>13046</xdr:colOff>
      <xdr:row>39</xdr:row>
      <xdr:rowOff>156575</xdr:rowOff>
    </xdr:from>
    <xdr:to>
      <xdr:col>12</xdr:col>
      <xdr:colOff>769630</xdr:colOff>
      <xdr:row>41</xdr:row>
      <xdr:rowOff>91336</xdr:rowOff>
    </xdr:to>
    <xdr:sp macro="" textlink="">
      <xdr:nvSpPr>
        <xdr:cNvPr id="6" name="テキスト ボックス 5"/>
        <xdr:cNvSpPr txBox="1"/>
      </xdr:nvSpPr>
      <xdr:spPr>
        <a:xfrm>
          <a:off x="7985471" y="7490825"/>
          <a:ext cx="2756834" cy="277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集計表計算用データ</a:t>
          </a:r>
        </a:p>
      </xdr:txBody>
    </xdr:sp>
    <xdr:clientData/>
  </xdr:twoCellAnchor>
  <xdr:twoCellAnchor>
    <xdr:from>
      <xdr:col>2</xdr:col>
      <xdr:colOff>326196</xdr:colOff>
      <xdr:row>38</xdr:row>
      <xdr:rowOff>130480</xdr:rowOff>
    </xdr:from>
    <xdr:to>
      <xdr:col>4</xdr:col>
      <xdr:colOff>626102</xdr:colOff>
      <xdr:row>40</xdr:row>
      <xdr:rowOff>65240</xdr:rowOff>
    </xdr:to>
    <xdr:sp macro="" textlink="">
      <xdr:nvSpPr>
        <xdr:cNvPr id="7" name="テキスト ボックス 6"/>
        <xdr:cNvSpPr txBox="1"/>
      </xdr:nvSpPr>
      <xdr:spPr>
        <a:xfrm>
          <a:off x="1821621" y="7293280"/>
          <a:ext cx="1919156" cy="27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チャート表示用ピボット表</a:t>
          </a:r>
        </a:p>
      </xdr:txBody>
    </xdr:sp>
    <xdr:clientData/>
  </xdr:twoCellAnchor>
  <xdr:twoCellAnchor>
    <xdr:from>
      <xdr:col>5</xdr:col>
      <xdr:colOff>443630</xdr:colOff>
      <xdr:row>11</xdr:row>
      <xdr:rowOff>104383</xdr:rowOff>
    </xdr:from>
    <xdr:to>
      <xdr:col>11</xdr:col>
      <xdr:colOff>430582</xdr:colOff>
      <xdr:row>15</xdr:row>
      <xdr:rowOff>1</xdr:rowOff>
    </xdr:to>
    <xdr:sp macro="" textlink="">
      <xdr:nvSpPr>
        <xdr:cNvPr id="8" name="テキスト ボックス 7">
          <a:hlinkClick xmlns:r="http://schemas.openxmlformats.org/officeDocument/2006/relationships" r:id="rId3"/>
        </xdr:cNvPr>
        <xdr:cNvSpPr txBox="1"/>
      </xdr:nvSpPr>
      <xdr:spPr>
        <a:xfrm>
          <a:off x="4367930" y="2333233"/>
          <a:ext cx="5225702" cy="752868"/>
        </a:xfrm>
        <a:prstGeom prst="rect">
          <a:avLst/>
        </a:prstGeom>
        <a:solidFill>
          <a:schemeClr val="lt1"/>
        </a:solidFill>
        <a:ln w="38100" cmpd="sng">
          <a:solidFill>
            <a:schemeClr val="tx2"/>
          </a:solidFill>
        </a:ln>
        <a:scene3d>
          <a:camera prst="orthographicFront"/>
          <a:lightRig rig="threePt" dir="t"/>
        </a:scene3d>
        <a:sp3d prstMaterial="dkEdge">
          <a:bevelT w="12700" h="825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0">
              <a:solidFill>
                <a:srgbClr val="C00000"/>
              </a:solidFill>
              <a:latin typeface="+mj-ea"/>
              <a:ea typeface="+mj-ea"/>
            </a:rPr>
            <a:t>重要　！！　評価データは、下表ピボット表を更新すると反映されます　</a:t>
          </a:r>
          <a:endParaRPr kumimoji="1" lang="en-US" altLang="ja-JP" sz="1200" b="0">
            <a:solidFill>
              <a:srgbClr val="C00000"/>
            </a:solidFill>
            <a:latin typeface="+mj-ea"/>
            <a:ea typeface="+mj-ea"/>
          </a:endParaRPr>
        </a:p>
        <a:p>
          <a:r>
            <a:rPr kumimoji="1" lang="ja-JP" altLang="en-US" sz="1200" b="0">
              <a:solidFill>
                <a:srgbClr val="C00000"/>
              </a:solidFill>
              <a:latin typeface="+mj-ea"/>
              <a:ea typeface="+mj-ea"/>
            </a:rPr>
            <a:t>　　　ここをクリックし、リンク先の</a:t>
          </a:r>
          <a:endParaRPr kumimoji="1" lang="en-US" altLang="ja-JP" sz="1200" b="0">
            <a:solidFill>
              <a:srgbClr val="C00000"/>
            </a:solidFill>
            <a:latin typeface="+mj-ea"/>
            <a:ea typeface="+mj-ea"/>
          </a:endParaRPr>
        </a:p>
        <a:p>
          <a:r>
            <a:rPr kumimoji="1" lang="ja-JP" altLang="en-US" sz="1200" b="0">
              <a:solidFill>
                <a:srgbClr val="C00000"/>
              </a:solidFill>
              <a:latin typeface="+mj-ea"/>
              <a:ea typeface="+mj-ea"/>
            </a:rPr>
            <a:t>　　　　　　　　ピボット表→　右クリック　メニューから　→「更新」</a:t>
          </a:r>
          <a:endParaRPr kumimoji="1" lang="en-US" altLang="ja-JP" sz="1200" b="0">
            <a:solidFill>
              <a:srgbClr val="C00000"/>
            </a:solidFill>
            <a:latin typeface="+mj-ea"/>
            <a:ea typeface="+mj-ea"/>
          </a:endParaRPr>
        </a:p>
        <a:p>
          <a:endParaRPr kumimoji="1" lang="ja-JP" alt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22225</xdr:colOff>
      <xdr:row>0</xdr:row>
      <xdr:rowOff>86358</xdr:rowOff>
    </xdr:from>
    <xdr:to>
      <xdr:col>12</xdr:col>
      <xdr:colOff>407670</xdr:colOff>
      <xdr:row>3</xdr:row>
      <xdr:rowOff>97793</xdr:rowOff>
    </xdr:to>
    <xdr:sp macro="" textlink="">
      <xdr:nvSpPr>
        <xdr:cNvPr id="2" name="テキスト ボックス 1"/>
        <xdr:cNvSpPr txBox="1"/>
      </xdr:nvSpPr>
      <xdr:spPr>
        <a:xfrm>
          <a:off x="5080000" y="86358"/>
          <a:ext cx="3176270" cy="525785"/>
        </a:xfrm>
        <a:prstGeom prst="rect">
          <a:avLst/>
        </a:prstGeom>
        <a:solidFill>
          <a:schemeClr val="accent5">
            <a:lumMod val="40000"/>
            <a:lumOff val="6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vert="horz" rtlCol="0" anchor="ctr">
          <a:spAutoFit/>
        </a:bodyPr>
        <a:lstStyle/>
        <a:p>
          <a:pPr indent="0" algn="ctr"/>
          <a:r>
            <a:rPr kumimoji="1" lang="ja-JP" altLang="en-US" sz="1500" b="1">
              <a:solidFill>
                <a:schemeClr val="dk1">
                  <a:lumMod val="100000"/>
                </a:schemeClr>
              </a:solidFill>
              <a:latin typeface="+mn-lt"/>
              <a:ea typeface="+mn-ea"/>
              <a:cs typeface="+mn-cs"/>
            </a:rPr>
            <a:t>製品評価チェックシート　 </a:t>
          </a:r>
        </a:p>
        <a:p>
          <a:pPr algn="ctr"/>
          <a:r>
            <a:rPr kumimoji="1" lang="ja-JP" altLang="en-US" sz="1100" b="1"/>
            <a:t>　評価機種：　調節弁（電動）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99060</xdr:colOff>
      <xdr:row>0</xdr:row>
      <xdr:rowOff>38101</xdr:rowOff>
    </xdr:from>
    <xdr:to>
      <xdr:col>0</xdr:col>
      <xdr:colOff>561378</xdr:colOff>
      <xdr:row>0</xdr:row>
      <xdr:rowOff>259080</xdr:rowOff>
    </xdr:to>
    <xdr:sp macro="" textlink="">
      <xdr:nvSpPr>
        <xdr:cNvPr id="2" name="テキスト ボックス 1">
          <a:hlinkClick xmlns:r="http://schemas.openxmlformats.org/officeDocument/2006/relationships" r:id="rId1"/>
        </xdr:cNvPr>
        <xdr:cNvSpPr txBox="1"/>
      </xdr:nvSpPr>
      <xdr:spPr>
        <a:xfrm>
          <a:off x="99060" y="38101"/>
          <a:ext cx="462318" cy="220979"/>
        </a:xfrm>
        <a:prstGeom prst="rect">
          <a:avLst/>
        </a:prstGeom>
        <a:solidFill>
          <a:srgbClr val="1F497D">
            <a:lumMod val="40000"/>
            <a:lumOff val="60000"/>
          </a:srgbClr>
        </a:solidFill>
        <a:ln w="9525" cmpd="sng">
          <a:solidFill>
            <a:sysClr val="window" lastClr="FFFFFF">
              <a:shade val="50000"/>
            </a:sysClr>
          </a:solidFill>
        </a:ln>
        <a:effectLst/>
        <a:scene3d>
          <a:camera prst="orthographicFront"/>
          <a:lightRig rig="threePt" dir="t"/>
        </a:scene3d>
        <a:sp3d>
          <a:bevelT/>
        </a:sp3d>
      </xdr:spPr>
      <xdr:txBody>
        <a:bodyPr vertOverflow="clip" horzOverflow="clip" vert="horz"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none" strike="noStrike" kern="0" cap="none" spc="0" normalizeH="0" baseline="0" noProof="0">
              <a:ln>
                <a:noFill/>
              </a:ln>
              <a:solidFill>
                <a:sysClr val="window" lastClr="FFFFFF"/>
              </a:solidFill>
              <a:effectLst/>
              <a:uLnTx/>
              <a:uFillTx/>
              <a:latin typeface="Calibri"/>
              <a:ea typeface="ＭＳ Ｐゴシック"/>
            </a:rPr>
            <a:t>戻る</a:t>
          </a:r>
        </a:p>
      </xdr:txBody>
    </xdr:sp>
    <xdr:clientData/>
  </xdr:twoCellAnchor>
  <xdr:twoCellAnchor>
    <xdr:from>
      <xdr:col>0</xdr:col>
      <xdr:colOff>1043940</xdr:colOff>
      <xdr:row>0</xdr:row>
      <xdr:rowOff>83820</xdr:rowOff>
    </xdr:from>
    <xdr:to>
      <xdr:col>0</xdr:col>
      <xdr:colOff>2293620</xdr:colOff>
      <xdr:row>1</xdr:row>
      <xdr:rowOff>38100</xdr:rowOff>
    </xdr:to>
    <xdr:sp macro="" textlink="">
      <xdr:nvSpPr>
        <xdr:cNvPr id="3" name="テキスト ボックス 2">
          <a:hlinkClick xmlns:r="http://schemas.openxmlformats.org/officeDocument/2006/relationships" r:id="rId2"/>
        </xdr:cNvPr>
        <xdr:cNvSpPr txBox="1"/>
      </xdr:nvSpPr>
      <xdr:spPr>
        <a:xfrm>
          <a:off x="1043940" y="83820"/>
          <a:ext cx="1249680" cy="220980"/>
        </a:xfrm>
        <a:prstGeom prst="rect">
          <a:avLst/>
        </a:prstGeom>
        <a:solidFill>
          <a:sysClr val="window" lastClr="FFFFFF">
            <a:lumMod val="75000"/>
          </a:sysClr>
        </a:solidFill>
        <a:ln w="9525" cmpd="sng">
          <a:solidFill>
            <a:sysClr val="window" lastClr="FFFFFF">
              <a:shade val="50000"/>
            </a:sysClr>
          </a:solidFill>
        </a:ln>
        <a:effectLst/>
        <a:scene3d>
          <a:camera prst="orthographicFront"/>
          <a:lightRig rig="threePt" dir="t"/>
        </a:scene3d>
        <a:sp3d extrusionH="38100" contourW="12700">
          <a:bevelT w="6350" h="82550"/>
          <a:bevelB w="6350" h="82550"/>
        </a:sp3d>
      </xdr:spPr>
      <xdr:txBody>
        <a:bodyPr vertOverflow="clip" horzOverflow="clip" vert="horz"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900" b="1" i="0" u="none" strike="noStrike" kern="0" cap="none" spc="0" normalizeH="0" baseline="0" noProof="0">
              <a:ln>
                <a:noFill/>
              </a:ln>
              <a:solidFill>
                <a:sysClr val="windowText" lastClr="000000"/>
              </a:solidFill>
              <a:effectLst/>
              <a:uLnTx/>
              <a:uFillTx/>
              <a:latin typeface="Calibri"/>
              <a:ea typeface="ＭＳ Ｐゴシック"/>
            </a:rPr>
            <a:t>→配点表へ</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2</xdr:col>
      <xdr:colOff>457200</xdr:colOff>
      <xdr:row>0</xdr:row>
      <xdr:rowOff>29782</xdr:rowOff>
    </xdr:from>
    <xdr:ext cx="1082040" cy="275717"/>
    <xdr:sp macro="" textlink="">
      <xdr:nvSpPr>
        <xdr:cNvPr id="2" name="テキスト ボックス 1"/>
        <xdr:cNvSpPr txBox="1"/>
      </xdr:nvSpPr>
      <xdr:spPr>
        <a:xfrm>
          <a:off x="1914525" y="29782"/>
          <a:ext cx="1082040" cy="275717"/>
        </a:xfrm>
        <a:prstGeom prst="rect">
          <a:avLst/>
        </a:prstGeom>
        <a:solidFill>
          <a:schemeClr val="accent5">
            <a:lumMod val="40000"/>
            <a:lumOff val="6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spAutoFit/>
        </a:bodyPr>
        <a:lstStyle/>
        <a:p>
          <a:pPr algn="ctr"/>
          <a:r>
            <a:rPr kumimoji="1" lang="ja-JP" altLang="en-US" sz="1100" b="1"/>
            <a:t>配点表</a:t>
          </a:r>
        </a:p>
      </xdr:txBody>
    </xdr:sp>
    <xdr:clientData/>
  </xdr:oneCellAnchor>
  <xdr:twoCellAnchor>
    <xdr:from>
      <xdr:col>0</xdr:col>
      <xdr:colOff>182880</xdr:colOff>
      <xdr:row>2</xdr:row>
      <xdr:rowOff>38100</xdr:rowOff>
    </xdr:from>
    <xdr:to>
      <xdr:col>2</xdr:col>
      <xdr:colOff>434340</xdr:colOff>
      <xdr:row>3</xdr:row>
      <xdr:rowOff>91440</xdr:rowOff>
    </xdr:to>
    <xdr:sp macro="" textlink="">
      <xdr:nvSpPr>
        <xdr:cNvPr id="3" name="テキスト ボックス 2">
          <a:hlinkClick xmlns:r="http://schemas.openxmlformats.org/officeDocument/2006/relationships" r:id="rId1"/>
        </xdr:cNvPr>
        <xdr:cNvSpPr txBox="1"/>
      </xdr:nvSpPr>
      <xdr:spPr>
        <a:xfrm>
          <a:off x="182880" y="381000"/>
          <a:ext cx="1708785" cy="224790"/>
        </a:xfrm>
        <a:prstGeom prst="rect">
          <a:avLst/>
        </a:prstGeom>
        <a:solidFill>
          <a:schemeClr val="bg1">
            <a:lumMod val="75000"/>
          </a:schemeClr>
        </a:solidFill>
        <a:ln w="9525" cmpd="sng">
          <a:solidFill>
            <a:sysClr val="window" lastClr="FFFFFF">
              <a:shade val="50000"/>
            </a:sysClr>
          </a:solidFill>
        </a:ln>
        <a:effectLst/>
        <a:scene3d>
          <a:camera prst="orthographicFront"/>
          <a:lightRig rig="threePt" dir="t"/>
        </a:scene3d>
        <a:sp3d extrusionH="38100" contourW="12700">
          <a:bevelT w="6350" h="82550"/>
          <a:bevelB w="6350" h="82550"/>
        </a:sp3d>
      </xdr:spPr>
      <xdr:txBody>
        <a:bodyPr vertOverflow="clip" horzOverflow="clip" vert="horz"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900" b="1" i="0" u="none" strike="noStrike" kern="0" cap="none" spc="0" normalizeH="0" baseline="0" noProof="0">
              <a:ln>
                <a:noFill/>
              </a:ln>
              <a:solidFill>
                <a:sysClr val="windowText" lastClr="000000"/>
              </a:solidFill>
              <a:effectLst/>
              <a:uLnTx/>
              <a:uFillTx/>
              <a:latin typeface="Calibri"/>
              <a:ea typeface="ＭＳ Ｐゴシック"/>
            </a:rPr>
            <a:t>→配点方法について</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3463925</xdr:colOff>
      <xdr:row>1</xdr:row>
      <xdr:rowOff>103441</xdr:rowOff>
    </xdr:from>
    <xdr:to>
      <xdr:col>4</xdr:col>
      <xdr:colOff>2147570</xdr:colOff>
      <xdr:row>3</xdr:row>
      <xdr:rowOff>36258</xdr:rowOff>
    </xdr:to>
    <xdr:sp macro="" textlink="">
      <xdr:nvSpPr>
        <xdr:cNvPr id="2" name="テキスト ボックス 1"/>
        <xdr:cNvSpPr txBox="1"/>
      </xdr:nvSpPr>
      <xdr:spPr>
        <a:xfrm>
          <a:off x="4445000" y="274891"/>
          <a:ext cx="2541270" cy="275717"/>
        </a:xfrm>
        <a:prstGeom prst="rect">
          <a:avLst/>
        </a:prstGeom>
        <a:solidFill>
          <a:schemeClr val="accent5">
            <a:lumMod val="40000"/>
            <a:lumOff val="6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vert="horz" rtlCol="0" anchor="ctr">
          <a:spAutoFit/>
        </a:bodyPr>
        <a:lstStyle/>
        <a:p>
          <a:pPr algn="ctr"/>
          <a:r>
            <a:rPr kumimoji="1" lang="ja-JP" altLang="en-US" sz="1100" b="1"/>
            <a:t>製品評価チェックシート</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29992;desktopJVMAmenu/Checklis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wxlc0f\asict\&#65321;&#65332;&#65315;\&#12463;&#12521;&#12452;&#12450;&#12531;&#12488;\&#12496;&#12523;&#12502;&#24037;&#26989;&#20250;\&#37096;&#20250;\&#29872;&#22659;WG\&#12484;&#12540;&#12523;\Hyper\Valve\JVMAmenu\Checklist_Apr2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ublic/Desktop/&#12496;&#12523;&#12502;%20%20Desktop/WG2014Sep25/&#31777;&#26131;&#33258;&#24049;&#35386;&#260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ニュアル"/>
      <sheetName val="Report (2)"/>
      <sheetName val="単位list"/>
      <sheetName val="簡易診断"/>
      <sheetName val="診断list"/>
      <sheetName val="診断レポート"/>
      <sheetName val="使用説明（しくみ）"/>
      <sheetName val="Top"/>
      <sheetName val="Report"/>
      <sheetName val="項目list"/>
      <sheetName val="Document"/>
      <sheetName val="評価list"/>
      <sheetName val="レアメタル"/>
      <sheetName val="成熟度モデル"/>
      <sheetName val="配点について"/>
      <sheetName val="評価分類list"/>
      <sheetName val="既定評価項目list"/>
      <sheetName val="配点区分"/>
      <sheetName val="評価指針"/>
      <sheetName val="Sheet1"/>
      <sheetName val="Sheet2"/>
    </sheetNames>
    <sheetDataSet>
      <sheetData sheetId="0"/>
      <sheetData sheetId="1"/>
      <sheetData sheetId="2"/>
      <sheetData sheetId="3"/>
      <sheetData sheetId="4"/>
      <sheetData sheetId="5"/>
      <sheetData sheetId="6"/>
      <sheetData sheetId="7"/>
      <sheetData sheetId="8">
        <row r="4">
          <cell r="H4" t="str">
            <v>ポイント計</v>
          </cell>
          <cell r="I4" t="str">
            <v>データの個数</v>
          </cell>
          <cell r="N4" t="str">
            <v>平均点</v>
          </cell>
        </row>
        <row r="5">
          <cell r="G5" t="str">
            <v>省エネルギー</v>
          </cell>
          <cell r="H5">
            <v>0</v>
          </cell>
          <cell r="I5">
            <v>0</v>
          </cell>
          <cell r="N5">
            <v>0</v>
          </cell>
        </row>
        <row r="6">
          <cell r="G6" t="str">
            <v>リデュース</v>
          </cell>
          <cell r="H6">
            <v>0</v>
          </cell>
          <cell r="I6">
            <v>0</v>
          </cell>
          <cell r="N6">
            <v>0</v>
          </cell>
        </row>
        <row r="7">
          <cell r="G7" t="str">
            <v>リユース</v>
          </cell>
          <cell r="H7">
            <v>0</v>
          </cell>
          <cell r="I7">
            <v>0</v>
          </cell>
          <cell r="N7">
            <v>0</v>
          </cell>
        </row>
        <row r="8">
          <cell r="G8" t="str">
            <v>リサイクル</v>
          </cell>
          <cell r="H8">
            <v>0</v>
          </cell>
          <cell r="I8">
            <v>0</v>
          </cell>
          <cell r="N8">
            <v>0</v>
          </cell>
        </row>
        <row r="9">
          <cell r="G9" t="str">
            <v>環境・安全</v>
          </cell>
          <cell r="H9">
            <v>0</v>
          </cell>
          <cell r="I9">
            <v>0</v>
          </cell>
          <cell r="N9">
            <v>0</v>
          </cell>
        </row>
        <row r="10">
          <cell r="G10" t="str">
            <v>情報提供</v>
          </cell>
          <cell r="H10">
            <v>0</v>
          </cell>
          <cell r="I10">
            <v>0</v>
          </cell>
          <cell r="N10">
            <v>0</v>
          </cell>
        </row>
        <row r="11">
          <cell r="G11" t="str">
            <v>管理</v>
          </cell>
          <cell r="H11">
            <v>0</v>
          </cell>
          <cell r="I11">
            <v>0</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ニュアル"/>
      <sheetName val="Top"/>
      <sheetName val="Report"/>
      <sheetName val="項目list"/>
      <sheetName val="評価list"/>
      <sheetName val="Document"/>
      <sheetName val="レアメタル"/>
      <sheetName val="成熟度モデル"/>
      <sheetName val="Sheet3"/>
      <sheetName val="Graph1"/>
      <sheetName val="配点について"/>
      <sheetName val="評価分類list"/>
      <sheetName val="既定評価項目list"/>
      <sheetName val="配点区分"/>
    </sheetNames>
    <sheetDataSet>
      <sheetData sheetId="0" refreshError="1"/>
      <sheetData sheetId="1" refreshError="1"/>
      <sheetData sheetId="2">
        <row r="15">
          <cell r="C15" t="str">
            <v>ポイント計</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L2" t="str">
            <v>選択</v>
          </cell>
        </row>
        <row r="3">
          <cell r="L3" t="str">
            <v>NA</v>
          </cell>
        </row>
        <row r="6">
          <cell r="B6" t="str">
            <v>向上率　5%</v>
          </cell>
          <cell r="C6" t="str">
            <v>数値</v>
          </cell>
          <cell r="D6" t="str">
            <v>%</v>
          </cell>
          <cell r="E6" t="str">
            <v>Up</v>
          </cell>
          <cell r="F6">
            <v>5</v>
          </cell>
          <cell r="G6">
            <v>2.5</v>
          </cell>
          <cell r="H6">
            <v>1</v>
          </cell>
          <cell r="I6">
            <v>0.5</v>
          </cell>
          <cell r="J6">
            <v>0.5</v>
          </cell>
        </row>
        <row r="7">
          <cell r="B7" t="str">
            <v>向上率１0%</v>
          </cell>
          <cell r="C7" t="str">
            <v>数値</v>
          </cell>
          <cell r="D7" t="str">
            <v>%</v>
          </cell>
          <cell r="E7" t="str">
            <v>Up</v>
          </cell>
          <cell r="F7">
            <v>10</v>
          </cell>
          <cell r="G7">
            <v>5</v>
          </cell>
          <cell r="H7">
            <v>2</v>
          </cell>
          <cell r="I7">
            <v>1</v>
          </cell>
          <cell r="J7">
            <v>1</v>
          </cell>
        </row>
        <row r="8">
          <cell r="B8" t="str">
            <v>向上率20%</v>
          </cell>
          <cell r="C8" t="str">
            <v>数値</v>
          </cell>
          <cell r="D8" t="str">
            <v>%</v>
          </cell>
          <cell r="E8" t="str">
            <v>Up</v>
          </cell>
          <cell r="F8">
            <v>20</v>
          </cell>
          <cell r="G8">
            <v>10</v>
          </cell>
          <cell r="H8">
            <v>5</v>
          </cell>
          <cell r="I8">
            <v>2.5</v>
          </cell>
          <cell r="J8">
            <v>2.5</v>
          </cell>
        </row>
        <row r="9">
          <cell r="B9" t="str">
            <v>向上率50%</v>
          </cell>
          <cell r="C9" t="str">
            <v>数値</v>
          </cell>
          <cell r="D9" t="str">
            <v>%</v>
          </cell>
          <cell r="E9" t="str">
            <v>Up</v>
          </cell>
          <cell r="F9">
            <v>50</v>
          </cell>
          <cell r="G9">
            <v>25</v>
          </cell>
          <cell r="H9">
            <v>10</v>
          </cell>
          <cell r="I9">
            <v>5</v>
          </cell>
          <cell r="J9">
            <v>5</v>
          </cell>
        </row>
        <row r="10">
          <cell r="B10" t="str">
            <v>削減率　5%</v>
          </cell>
          <cell r="C10" t="str">
            <v>数値</v>
          </cell>
          <cell r="D10" t="str">
            <v>%</v>
          </cell>
          <cell r="E10" t="str">
            <v>Down</v>
          </cell>
          <cell r="F10">
            <v>5</v>
          </cell>
          <cell r="G10">
            <v>2.5</v>
          </cell>
          <cell r="H10">
            <v>1</v>
          </cell>
          <cell r="I10">
            <v>0.5</v>
          </cell>
          <cell r="J10">
            <v>0.5</v>
          </cell>
        </row>
        <row r="11">
          <cell r="B11" t="str">
            <v>削減率10%</v>
          </cell>
          <cell r="C11" t="str">
            <v>数値</v>
          </cell>
          <cell r="D11" t="str">
            <v>%</v>
          </cell>
          <cell r="E11" t="str">
            <v>Down</v>
          </cell>
          <cell r="F11">
            <v>10</v>
          </cell>
          <cell r="G11">
            <v>5</v>
          </cell>
          <cell r="H11">
            <v>2</v>
          </cell>
          <cell r="I11">
            <v>1</v>
          </cell>
          <cell r="J11">
            <v>1</v>
          </cell>
        </row>
        <row r="12">
          <cell r="B12" t="str">
            <v>削減率20%</v>
          </cell>
          <cell r="C12" t="str">
            <v>数値</v>
          </cell>
          <cell r="D12" t="str">
            <v>%</v>
          </cell>
          <cell r="E12" t="str">
            <v>Down</v>
          </cell>
          <cell r="F12">
            <v>20</v>
          </cell>
          <cell r="G12">
            <v>10</v>
          </cell>
          <cell r="H12">
            <v>5</v>
          </cell>
          <cell r="I12">
            <v>2.5</v>
          </cell>
          <cell r="J12">
            <v>2.5</v>
          </cell>
        </row>
        <row r="13">
          <cell r="B13" t="str">
            <v>削減率50%</v>
          </cell>
          <cell r="C13" t="str">
            <v>数値</v>
          </cell>
          <cell r="D13" t="str">
            <v>%</v>
          </cell>
          <cell r="E13" t="str">
            <v>Down</v>
          </cell>
          <cell r="F13">
            <v>50</v>
          </cell>
          <cell r="G13">
            <v>25</v>
          </cell>
          <cell r="H13">
            <v>10</v>
          </cell>
          <cell r="I13">
            <v>5</v>
          </cell>
          <cell r="J13">
            <v>5</v>
          </cell>
        </row>
        <row r="14">
          <cell r="B14" t="str">
            <v>規格品</v>
          </cell>
          <cell r="C14" t="str">
            <v>文字列</v>
          </cell>
          <cell r="D14" t="str">
            <v>特定値</v>
          </cell>
          <cell r="F14" t="str">
            <v>規格品</v>
          </cell>
        </row>
        <row r="15">
          <cell r="B15" t="str">
            <v>上限</v>
          </cell>
          <cell r="C15" t="str">
            <v>文字列</v>
          </cell>
          <cell r="D15" t="str">
            <v>特定値</v>
          </cell>
          <cell r="F15" t="str">
            <v>100%</v>
          </cell>
        </row>
        <row r="16">
          <cell r="B16" t="str">
            <v>成熟度</v>
          </cell>
          <cell r="C16" t="str">
            <v>文字列</v>
          </cell>
          <cell r="D16" t="str">
            <v>特定値</v>
          </cell>
          <cell r="F16" t="str">
            <v>効果的に運用</v>
          </cell>
          <cell r="G16" t="str">
            <v>規則通り運用</v>
          </cell>
          <cell r="H16" t="str">
            <v>部分的運用</v>
          </cell>
          <cell r="I16" t="str">
            <v>形だけある</v>
          </cell>
          <cell r="J16" t="str">
            <v>運用していない</v>
          </cell>
        </row>
        <row r="17">
          <cell r="B17" t="str">
            <v>節湯区分</v>
          </cell>
          <cell r="C17" t="str">
            <v>文字列</v>
          </cell>
          <cell r="D17" t="str">
            <v>特定値</v>
          </cell>
          <cell r="F17" t="str">
            <v>工業会標準に準拠</v>
          </cell>
          <cell r="G17" t="str">
            <v>自社標準に準拠節湯B</v>
          </cell>
          <cell r="H17" t="str">
            <v>部分的にある</v>
          </cell>
          <cell r="I17" t="str">
            <v>形だけある</v>
          </cell>
          <cell r="J17" t="str">
            <v>無</v>
          </cell>
        </row>
        <row r="18">
          <cell r="B18" t="str">
            <v>対象有無</v>
          </cell>
          <cell r="C18" t="str">
            <v>文字列</v>
          </cell>
          <cell r="D18" t="str">
            <v>特定値</v>
          </cell>
          <cell r="F18" t="str">
            <v>対象無し</v>
          </cell>
        </row>
        <row r="19">
          <cell r="B19" t="str">
            <v>有無</v>
          </cell>
          <cell r="C19" t="str">
            <v>文字列</v>
          </cell>
          <cell r="D19" t="str">
            <v>特定値</v>
          </cell>
          <cell r="F19" t="str">
            <v>有</v>
          </cell>
          <cell r="J19" t="str">
            <v>無</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Report"/>
      <sheetName val="自己診断項目"/>
      <sheetName val="配点区分"/>
      <sheetName val="レアメタル"/>
      <sheetName val="配点について"/>
    </sheetNames>
    <sheetDataSet>
      <sheetData sheetId="0"/>
      <sheetData sheetId="1"/>
      <sheetData sheetId="2"/>
      <sheetData sheetId="3">
        <row r="10">
          <cell r="F10" t="str">
            <v>目標値、評価結果あり</v>
          </cell>
          <cell r="G10" t="str">
            <v>評価結果のみあり</v>
          </cell>
          <cell r="H10" t="str">
            <v>仕組みがない</v>
          </cell>
        </row>
        <row r="11">
          <cell r="F11" t="str">
            <v>仕組みが、文書により規定されていて、きちんと運用されている
または外部認証がある</v>
          </cell>
          <cell r="G11" t="str">
            <v>部分的に運用されている</v>
          </cell>
          <cell r="H11" t="str">
            <v>仕組みがない</v>
          </cell>
        </row>
        <row r="16">
          <cell r="B16" t="str">
            <v>選択</v>
          </cell>
        </row>
        <row r="17">
          <cell r="B17" t="str">
            <v>該当せず</v>
          </cell>
        </row>
      </sheetData>
      <sheetData sheetId="4"/>
      <sheetData sheetId="5"/>
    </sheetDataSet>
  </externalBook>
</externalLink>
</file>

<file path=xl/pivotCache/pivotCacheDefinition1.xml><?xml version="1.0" encoding="utf-8"?>
<pivotCacheDefinition xmlns="http://schemas.openxmlformats.org/spreadsheetml/2006/main" xmlns:r="http://schemas.openxmlformats.org/officeDocument/2006/relationships" saveData="0" refreshOnLoad="1" refreshedBy="kohey" refreshedDate="42209.36939699074" createdVersion="4" refreshedVersion="4" minRefreshableVersion="3" recordCount="35">
  <cacheSource type="worksheet">
    <worksheetSource name="Pivot製品"/>
  </cacheSource>
  <cacheFields count="25">
    <cacheField name="番号" numFmtId="0">
      <sharedItems/>
    </cacheField>
    <cacheField name="ID1" numFmtId="0">
      <sharedItems containsSemiMixedTypes="0" containsString="0" containsNumber="1" containsInteger="1" minValue="1" maxValue="8" count="7">
        <n v="1"/>
        <n v="2"/>
        <n v="3"/>
        <n v="4"/>
        <n v="6"/>
        <n v="7"/>
        <n v="8"/>
      </sharedItems>
    </cacheField>
    <cacheField name="ID2" numFmtId="0">
      <sharedItems containsSemiMixedTypes="0" containsString="0" containsNumber="1" containsInteger="1" minValue="1" maxValue="3"/>
    </cacheField>
    <cacheField name="ID3" numFmtId="0">
      <sharedItems containsSemiMixedTypes="0" containsString="0" containsNumber="1" containsInteger="1" minValue="0" maxValue="5"/>
    </cacheField>
    <cacheField name="ID4" numFmtId="0">
      <sharedItems containsSemiMixedTypes="0" containsString="0" containsNumber="1" containsInteger="1" minValue="1" maxValue="5"/>
    </cacheField>
    <cacheField name="選択" numFmtId="0">
      <sharedItems/>
    </cacheField>
    <cacheField name="大分類" numFmtId="0">
      <sharedItems count="7">
        <s v="省エネルギー"/>
        <s v="リデュース"/>
        <s v="リユース"/>
        <s v="リサイクル"/>
        <s v="環境・安全"/>
        <s v="情報提供"/>
        <s v="管理"/>
      </sharedItems>
    </cacheField>
    <cacheField name="中分類" numFmtId="0">
      <sharedItems/>
    </cacheField>
    <cacheField name="小分類" numFmtId="0">
      <sharedItems/>
    </cacheField>
    <cacheField name="評価項目" numFmtId="0">
      <sharedItems/>
    </cacheField>
    <cacheField name="評価基準" numFmtId="0">
      <sharedItems/>
    </cacheField>
    <cacheField name="評価指針" numFmtId="0">
      <sharedItems/>
    </cacheField>
    <cacheField name="配点区分番号" numFmtId="0">
      <sharedItems containsSemiMixedTypes="0" containsString="0" containsNumber="1" containsInteger="1" minValue="3" maxValue="27"/>
    </cacheField>
    <cacheField name="配点区分" numFmtId="0">
      <sharedItems/>
    </cacheField>
    <cacheField name="単位" numFmtId="0">
      <sharedItems containsNonDate="0" containsString="0" containsBlank="1"/>
    </cacheField>
    <cacheField name="NewData" numFmtId="176">
      <sharedItems containsNonDate="0" containsString="0" containsBlank="1"/>
    </cacheField>
    <cacheField name="OldData" numFmtId="176">
      <sharedItems containsNonDate="0" containsString="0" containsBlank="1"/>
    </cacheField>
    <cacheField name="Point" numFmtId="176">
      <sharedItems containsSemiMixedTypes="0" containsString="0" containsNumber="1" containsInteger="1" minValue="0" maxValue="0"/>
    </cacheField>
    <cacheField name="備考" numFmtId="0">
      <sharedItems containsNonDate="0" containsString="0" containsBlank="1"/>
    </cacheField>
    <cacheField name="単位ID" numFmtId="0">
      <sharedItems containsSemiMixedTypes="0" containsString="0" containsNumber="1" containsInteger="1" minValue="1" maxValue="13"/>
    </cacheField>
    <cacheField name="単位分類" numFmtId="0">
      <sharedItems/>
    </cacheField>
    <cacheField name="中間結果" numFmtId="177">
      <sharedItems containsMixedTypes="1" containsNumber="1" containsInteger="1" minValue="0" maxValue="0"/>
    </cacheField>
    <cacheField name="小分類コード" numFmtId="0">
      <sharedItems count="19">
        <s v="1.1.1"/>
        <s v="1.1.2"/>
        <s v="1.1.3"/>
        <s v="2.1.1"/>
        <s v="2.1.2"/>
        <s v="2.1.3"/>
        <s v="2.1.5"/>
        <s v="2.2.1"/>
        <s v="2.3.1"/>
        <s v="2.3.2"/>
        <s v="3.1.1"/>
        <s v="3.1.2"/>
        <s v="4.1.1"/>
        <s v="4.2.2"/>
        <s v="6.1.1"/>
        <s v="6.2.1"/>
        <s v="6.3.1"/>
        <s v="7.1.1"/>
        <s v="8.3.0"/>
      </sharedItems>
    </cacheField>
    <cacheField name="選択列" numFmtId="0">
      <sharedItems containsSemiMixedTypes="0" containsString="0" containsNumber="1" containsInteger="1" minValue="1" maxValue="1"/>
    </cacheField>
    <cacheField name="必須確認" numFmtId="176">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22" applyNumberFormats="0" applyBorderFormats="0" applyFontFormats="0" applyPatternFormats="0" applyAlignmentFormats="0" applyWidthHeightFormats="1" dataCaption="値" updatedVersion="4" minRefreshableVersion="3" useAutoFormatting="1" itemPrintTitles="1" createdVersion="4" indent="0" compact="0" compactData="0" gridDropZones="1" multipleFieldFilters="0">
  <location ref="B42:H70" firstHeaderRow="1" firstDataRow="2" firstDataCol="3"/>
  <pivotFields count="25">
    <pivotField compact="0" outline="0" showAll="0"/>
    <pivotField axis="axisRow"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axis="axisRow" compact="0" outline="0" showAll="0" defaultSubtotal="0">
      <items count="7">
        <item x="3"/>
        <item x="1"/>
        <item x="2"/>
        <item x="4"/>
        <item x="6"/>
        <item x="0"/>
        <item x="5"/>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dataField="1" compact="0" numFmtId="176" outline="0" showAll="0"/>
    <pivotField compact="0" outline="0" showAll="0"/>
    <pivotField compact="0" outline="0" showAll="0"/>
    <pivotField compact="0" outline="0" showAll="0"/>
    <pivotField compact="0" outline="0" showAll="0"/>
    <pivotField axis="axisRow" compact="0" outline="0" showAll="0">
      <items count="20">
        <item x="0"/>
        <item x="1"/>
        <item x="2"/>
        <item x="3"/>
        <item x="4"/>
        <item x="5"/>
        <item x="6"/>
        <item x="7"/>
        <item x="8"/>
        <item x="9"/>
        <item x="10"/>
        <item x="11"/>
        <item x="12"/>
        <item x="13"/>
        <item x="14"/>
        <item x="15"/>
        <item x="16"/>
        <item x="17"/>
        <item x="18"/>
        <item t="default"/>
      </items>
    </pivotField>
    <pivotField dataField="1" compact="0" outline="0" showAll="0"/>
    <pivotField compact="0" numFmtId="176" outline="0" showAll="0"/>
  </pivotFields>
  <rowFields count="3">
    <field x="1"/>
    <field x="6"/>
    <field x="22"/>
  </rowFields>
  <rowItems count="27">
    <i>
      <x/>
      <x v="5"/>
      <x/>
    </i>
    <i r="2">
      <x v="1"/>
    </i>
    <i r="2">
      <x v="2"/>
    </i>
    <i t="default">
      <x/>
    </i>
    <i>
      <x v="1"/>
      <x v="1"/>
      <x v="3"/>
    </i>
    <i r="2">
      <x v="4"/>
    </i>
    <i r="2">
      <x v="5"/>
    </i>
    <i r="2">
      <x v="6"/>
    </i>
    <i r="2">
      <x v="7"/>
    </i>
    <i r="2">
      <x v="8"/>
    </i>
    <i r="2">
      <x v="9"/>
    </i>
    <i t="default">
      <x v="1"/>
    </i>
    <i>
      <x v="2"/>
      <x v="2"/>
      <x v="10"/>
    </i>
    <i r="2">
      <x v="11"/>
    </i>
    <i t="default">
      <x v="2"/>
    </i>
    <i>
      <x v="3"/>
      <x/>
      <x v="12"/>
    </i>
    <i r="2">
      <x v="13"/>
    </i>
    <i t="default">
      <x v="3"/>
    </i>
    <i>
      <x v="4"/>
      <x v="3"/>
      <x v="14"/>
    </i>
    <i r="2">
      <x v="15"/>
    </i>
    <i r="2">
      <x v="16"/>
    </i>
    <i t="default">
      <x v="4"/>
    </i>
    <i>
      <x v="5"/>
      <x v="6"/>
      <x v="17"/>
    </i>
    <i t="default">
      <x v="5"/>
    </i>
    <i>
      <x v="6"/>
      <x v="4"/>
      <x v="18"/>
    </i>
    <i t="default">
      <x v="6"/>
    </i>
    <i t="grand">
      <x/>
    </i>
  </rowItems>
  <colFields count="1">
    <field x="-2"/>
  </colFields>
  <colItems count="4">
    <i>
      <x/>
    </i>
    <i i="1">
      <x v="1"/>
    </i>
    <i i="2">
      <x v="2"/>
    </i>
    <i i="3">
      <x v="3"/>
    </i>
  </colItems>
  <dataFields count="4">
    <dataField name="point計 " fld="17" baseField="0" baseItem="0"/>
    <dataField name="Data数 " fld="15" subtotal="count" baseField="0" baseItem="0"/>
    <dataField name="項目数" fld="9" subtotal="count" baseField="0" baseItem="0"/>
    <dataField name="選択・必須数" fld="23" subtotal="count" baseField="0" baseItem="0"/>
  </dataFields>
  <formats count="4">
    <format dxfId="2">
      <pivotArea field="1" type="button" dataOnly="0" labelOnly="1" outline="0" axis="axisRow" fieldPosition="0"/>
    </format>
    <format dxfId="3">
      <pivotArea field="6" type="button" dataOnly="0" labelOnly="1" outline="0" axis="axisRow" fieldPosition="1"/>
    </format>
    <format dxfId="4">
      <pivotArea field="22" type="button" dataOnly="0" labelOnly="1" outline="0" axis="axisRow" fieldPosition="2"/>
    </format>
    <format dxfId="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5:D74"/>
  <sheetViews>
    <sheetView tabSelected="1" topLeftCell="A7" workbookViewId="0">
      <selection activeCell="A24" sqref="A24:XFD24"/>
    </sheetView>
  </sheetViews>
  <sheetFormatPr defaultRowHeight="13.5"/>
  <cols>
    <col min="1" max="1" width="7" bestFit="1" customWidth="1"/>
    <col min="2" max="2" width="3.5" bestFit="1" customWidth="1"/>
    <col min="3" max="3" width="11" bestFit="1" customWidth="1"/>
    <col min="4" max="4" width="10.875" bestFit="1" customWidth="1"/>
  </cols>
  <sheetData>
    <row r="5" spans="1:3">
      <c r="A5" s="1" t="s">
        <v>0</v>
      </c>
      <c r="B5" s="1" t="s">
        <v>1</v>
      </c>
      <c r="C5" s="1" t="s">
        <v>2</v>
      </c>
    </row>
    <row r="6" spans="1:3">
      <c r="A6" s="2">
        <v>1</v>
      </c>
      <c r="B6" s="2">
        <v>1</v>
      </c>
      <c r="C6" s="2" t="s">
        <v>3</v>
      </c>
    </row>
    <row r="7" spans="1:3">
      <c r="A7" s="2">
        <v>13</v>
      </c>
      <c r="B7" s="2">
        <v>2</v>
      </c>
      <c r="C7" s="2" t="s">
        <v>4</v>
      </c>
    </row>
    <row r="8" spans="1:3">
      <c r="A8" s="2">
        <v>2</v>
      </c>
      <c r="B8" s="2">
        <v>3</v>
      </c>
      <c r="C8" s="2" t="s">
        <v>5</v>
      </c>
    </row>
    <row r="9" spans="1:3">
      <c r="A9" s="2">
        <v>3</v>
      </c>
      <c r="B9" s="2">
        <v>4</v>
      </c>
      <c r="C9" s="2" t="s">
        <v>6</v>
      </c>
    </row>
    <row r="10" spans="1:3">
      <c r="A10" s="2">
        <v>4</v>
      </c>
      <c r="B10" s="2">
        <v>5</v>
      </c>
      <c r="C10" s="2" t="s">
        <v>7</v>
      </c>
    </row>
    <row r="11" spans="1:3">
      <c r="A11" s="2">
        <v>5</v>
      </c>
      <c r="B11" s="2">
        <v>6</v>
      </c>
      <c r="C11" s="2" t="s">
        <v>8</v>
      </c>
    </row>
    <row r="12" spans="1:3">
      <c r="A12" s="2">
        <v>6</v>
      </c>
      <c r="B12" s="2">
        <v>7</v>
      </c>
      <c r="C12" s="2" t="s">
        <v>9</v>
      </c>
    </row>
    <row r="13" spans="1:3">
      <c r="A13" s="2">
        <v>7</v>
      </c>
      <c r="B13" s="2">
        <v>8</v>
      </c>
      <c r="C13" s="2" t="s">
        <v>10</v>
      </c>
    </row>
    <row r="14" spans="1:3">
      <c r="A14" s="2">
        <v>8</v>
      </c>
      <c r="B14" s="2">
        <v>9</v>
      </c>
      <c r="C14" s="2" t="s">
        <v>11</v>
      </c>
    </row>
    <row r="15" spans="1:3">
      <c r="A15" s="2">
        <v>9</v>
      </c>
      <c r="B15" s="2">
        <v>10</v>
      </c>
      <c r="C15" s="2" t="s">
        <v>12</v>
      </c>
    </row>
    <row r="16" spans="1:3">
      <c r="A16" s="2">
        <v>10</v>
      </c>
      <c r="B16" s="2">
        <v>11</v>
      </c>
      <c r="C16" s="2" t="s">
        <v>13</v>
      </c>
    </row>
    <row r="17" spans="1:4">
      <c r="A17" s="2">
        <v>11</v>
      </c>
      <c r="B17" s="2">
        <v>12</v>
      </c>
      <c r="C17" s="2" t="s">
        <v>14</v>
      </c>
    </row>
    <row r="18" spans="1:4">
      <c r="A18" s="2">
        <v>12</v>
      </c>
      <c r="B18" s="2">
        <v>13</v>
      </c>
      <c r="C18" s="2" t="s">
        <v>15</v>
      </c>
    </row>
    <row r="24" spans="1:4">
      <c r="A24" s="1" t="s">
        <v>0</v>
      </c>
      <c r="B24" s="1" t="s">
        <v>1</v>
      </c>
      <c r="C24" s="1" t="s">
        <v>2</v>
      </c>
      <c r="D24" s="1" t="s">
        <v>16</v>
      </c>
    </row>
    <row r="25" spans="1:4">
      <c r="A25" s="2">
        <v>1</v>
      </c>
      <c r="B25" s="2">
        <v>1</v>
      </c>
      <c r="C25" s="2" t="s">
        <v>3</v>
      </c>
      <c r="D25" s="2" t="s">
        <v>17</v>
      </c>
    </row>
    <row r="26" spans="1:4">
      <c r="A26" s="2">
        <v>13</v>
      </c>
      <c r="B26" s="2">
        <v>2</v>
      </c>
      <c r="C26" s="2" t="s">
        <v>4</v>
      </c>
      <c r="D26" s="2" t="s">
        <v>18</v>
      </c>
    </row>
    <row r="27" spans="1:4">
      <c r="A27" s="2">
        <v>13</v>
      </c>
      <c r="B27" s="2">
        <v>2</v>
      </c>
      <c r="C27" s="2" t="s">
        <v>4</v>
      </c>
      <c r="D27" s="2" t="s">
        <v>19</v>
      </c>
    </row>
    <row r="28" spans="1:4">
      <c r="A28" s="2">
        <v>13</v>
      </c>
      <c r="B28" s="2">
        <v>2</v>
      </c>
      <c r="C28" s="2" t="s">
        <v>4</v>
      </c>
      <c r="D28" s="2" t="s">
        <v>20</v>
      </c>
    </row>
    <row r="29" spans="1:4">
      <c r="A29" s="2">
        <v>13</v>
      </c>
      <c r="B29" s="2">
        <v>2</v>
      </c>
      <c r="C29" s="2" t="s">
        <v>4</v>
      </c>
      <c r="D29" s="2" t="s">
        <v>21</v>
      </c>
    </row>
    <row r="30" spans="1:4">
      <c r="A30" s="2">
        <v>13</v>
      </c>
      <c r="B30" s="2">
        <v>2</v>
      </c>
      <c r="C30" s="2" t="s">
        <v>4</v>
      </c>
      <c r="D30" s="2" t="s">
        <v>22</v>
      </c>
    </row>
    <row r="31" spans="1:4">
      <c r="A31" s="2">
        <v>2</v>
      </c>
      <c r="B31" s="2">
        <v>3</v>
      </c>
      <c r="C31" s="2" t="s">
        <v>5</v>
      </c>
      <c r="D31" s="2" t="s">
        <v>23</v>
      </c>
    </row>
    <row r="32" spans="1:4">
      <c r="A32" s="2">
        <v>2</v>
      </c>
      <c r="B32" s="2">
        <v>3</v>
      </c>
      <c r="C32" s="2" t="s">
        <v>5</v>
      </c>
      <c r="D32" s="2" t="s">
        <v>24</v>
      </c>
    </row>
    <row r="33" spans="1:4">
      <c r="A33" s="2">
        <v>2</v>
      </c>
      <c r="B33" s="2">
        <v>3</v>
      </c>
      <c r="C33" s="2" t="s">
        <v>5</v>
      </c>
      <c r="D33" s="2" t="s">
        <v>25</v>
      </c>
    </row>
    <row r="34" spans="1:4">
      <c r="A34" s="2">
        <v>2</v>
      </c>
      <c r="B34" s="2">
        <v>3</v>
      </c>
      <c r="C34" s="2" t="s">
        <v>5</v>
      </c>
      <c r="D34" s="2" t="s">
        <v>26</v>
      </c>
    </row>
    <row r="35" spans="1:4">
      <c r="A35" s="2">
        <v>2</v>
      </c>
      <c r="B35" s="2">
        <v>3</v>
      </c>
      <c r="C35" s="2" t="s">
        <v>5</v>
      </c>
      <c r="D35" s="2" t="s">
        <v>27</v>
      </c>
    </row>
    <row r="36" spans="1:4">
      <c r="A36" s="2">
        <v>2</v>
      </c>
      <c r="B36" s="2">
        <v>3</v>
      </c>
      <c r="C36" s="2" t="s">
        <v>5</v>
      </c>
      <c r="D36" s="2" t="s">
        <v>28</v>
      </c>
    </row>
    <row r="37" spans="1:4">
      <c r="A37" s="2">
        <v>3</v>
      </c>
      <c r="B37" s="2">
        <v>4</v>
      </c>
      <c r="C37" s="2" t="s">
        <v>6</v>
      </c>
      <c r="D37" s="2" t="s">
        <v>29</v>
      </c>
    </row>
    <row r="38" spans="1:4">
      <c r="A38" s="2">
        <v>4</v>
      </c>
      <c r="B38" s="2">
        <v>5</v>
      </c>
      <c r="C38" s="2" t="s">
        <v>7</v>
      </c>
      <c r="D38" s="2" t="s">
        <v>30</v>
      </c>
    </row>
    <row r="39" spans="1:4">
      <c r="A39" s="2">
        <v>4</v>
      </c>
      <c r="B39" s="2">
        <v>5</v>
      </c>
      <c r="C39" s="2" t="s">
        <v>7</v>
      </c>
      <c r="D39" s="2" t="s">
        <v>31</v>
      </c>
    </row>
    <row r="40" spans="1:4">
      <c r="A40" s="2">
        <v>4</v>
      </c>
      <c r="B40" s="2">
        <v>5</v>
      </c>
      <c r="C40" s="2" t="s">
        <v>7</v>
      </c>
      <c r="D40" s="2" t="s">
        <v>32</v>
      </c>
    </row>
    <row r="41" spans="1:4">
      <c r="A41" s="2">
        <v>5</v>
      </c>
      <c r="B41" s="2">
        <v>6</v>
      </c>
      <c r="C41" s="2" t="s">
        <v>8</v>
      </c>
      <c r="D41" s="2" t="s">
        <v>33</v>
      </c>
    </row>
    <row r="42" spans="1:4">
      <c r="A42" s="2">
        <v>5</v>
      </c>
      <c r="B42" s="2">
        <v>6</v>
      </c>
      <c r="C42" s="2" t="s">
        <v>8</v>
      </c>
      <c r="D42" s="2" t="s">
        <v>34</v>
      </c>
    </row>
    <row r="43" spans="1:4">
      <c r="A43" s="2">
        <v>5</v>
      </c>
      <c r="B43" s="2">
        <v>6</v>
      </c>
      <c r="C43" s="2" t="s">
        <v>8</v>
      </c>
      <c r="D43" s="2" t="s">
        <v>35</v>
      </c>
    </row>
    <row r="44" spans="1:4">
      <c r="A44" s="2">
        <v>5</v>
      </c>
      <c r="B44" s="2">
        <v>6</v>
      </c>
      <c r="C44" s="2" t="s">
        <v>8</v>
      </c>
      <c r="D44" s="2" t="s">
        <v>36</v>
      </c>
    </row>
    <row r="45" spans="1:4">
      <c r="A45" s="2">
        <v>6</v>
      </c>
      <c r="B45" s="2">
        <v>7</v>
      </c>
      <c r="C45" s="2" t="s">
        <v>9</v>
      </c>
      <c r="D45" s="2" t="s">
        <v>37</v>
      </c>
    </row>
    <row r="46" spans="1:4">
      <c r="A46" s="2">
        <v>6</v>
      </c>
      <c r="B46" s="2">
        <v>7</v>
      </c>
      <c r="C46" s="2" t="s">
        <v>9</v>
      </c>
      <c r="D46" s="2" t="s">
        <v>38</v>
      </c>
    </row>
    <row r="47" spans="1:4">
      <c r="A47" s="2">
        <v>6</v>
      </c>
      <c r="B47" s="2">
        <v>7</v>
      </c>
      <c r="C47" s="2" t="s">
        <v>9</v>
      </c>
      <c r="D47" s="2" t="s">
        <v>39</v>
      </c>
    </row>
    <row r="48" spans="1:4">
      <c r="A48" s="2">
        <v>6</v>
      </c>
      <c r="B48" s="2">
        <v>7</v>
      </c>
      <c r="C48" s="2" t="s">
        <v>9</v>
      </c>
      <c r="D48" s="2" t="s">
        <v>40</v>
      </c>
    </row>
    <row r="49" spans="1:4">
      <c r="A49" s="2">
        <v>7</v>
      </c>
      <c r="B49" s="2">
        <v>8</v>
      </c>
      <c r="C49" s="2" t="s">
        <v>10</v>
      </c>
      <c r="D49" s="2" t="s">
        <v>41</v>
      </c>
    </row>
    <row r="50" spans="1:4">
      <c r="A50" s="2">
        <v>7</v>
      </c>
      <c r="B50" s="2">
        <v>8</v>
      </c>
      <c r="C50" s="2" t="s">
        <v>10</v>
      </c>
      <c r="D50" s="2" t="s">
        <v>42</v>
      </c>
    </row>
    <row r="51" spans="1:4">
      <c r="A51" s="2">
        <v>7</v>
      </c>
      <c r="B51" s="2">
        <v>8</v>
      </c>
      <c r="C51" s="2" t="s">
        <v>10</v>
      </c>
      <c r="D51" s="2" t="s">
        <v>43</v>
      </c>
    </row>
    <row r="52" spans="1:4">
      <c r="A52" s="2">
        <v>7</v>
      </c>
      <c r="B52" s="2">
        <v>8</v>
      </c>
      <c r="C52" s="2" t="s">
        <v>10</v>
      </c>
      <c r="D52" s="2" t="s">
        <v>44</v>
      </c>
    </row>
    <row r="53" spans="1:4">
      <c r="A53" s="2">
        <v>7</v>
      </c>
      <c r="B53" s="2">
        <v>8</v>
      </c>
      <c r="C53" s="2" t="s">
        <v>10</v>
      </c>
      <c r="D53" s="2" t="s">
        <v>45</v>
      </c>
    </row>
    <row r="54" spans="1:4">
      <c r="A54" s="2">
        <v>8</v>
      </c>
      <c r="B54" s="2">
        <v>9</v>
      </c>
      <c r="C54" s="2" t="s">
        <v>11</v>
      </c>
      <c r="D54" s="2" t="s">
        <v>46</v>
      </c>
    </row>
    <row r="55" spans="1:4">
      <c r="A55" s="2">
        <v>8</v>
      </c>
      <c r="B55" s="2">
        <v>9</v>
      </c>
      <c r="C55" s="2" t="s">
        <v>11</v>
      </c>
      <c r="D55" s="2" t="s">
        <v>47</v>
      </c>
    </row>
    <row r="56" spans="1:4">
      <c r="A56" s="2">
        <v>8</v>
      </c>
      <c r="B56" s="2">
        <v>9</v>
      </c>
      <c r="C56" s="2" t="s">
        <v>11</v>
      </c>
      <c r="D56" s="2" t="s">
        <v>48</v>
      </c>
    </row>
    <row r="57" spans="1:4">
      <c r="A57" s="2">
        <v>8</v>
      </c>
      <c r="B57" s="2">
        <v>9</v>
      </c>
      <c r="C57" s="2" t="s">
        <v>11</v>
      </c>
      <c r="D57" s="2" t="s">
        <v>49</v>
      </c>
    </row>
    <row r="58" spans="1:4">
      <c r="A58" s="2">
        <v>9</v>
      </c>
      <c r="B58" s="2">
        <v>10</v>
      </c>
      <c r="C58" s="2" t="s">
        <v>12</v>
      </c>
      <c r="D58" s="2" t="s">
        <v>50</v>
      </c>
    </row>
    <row r="59" spans="1:4">
      <c r="A59" s="2">
        <v>10</v>
      </c>
      <c r="B59" s="2">
        <v>11</v>
      </c>
      <c r="C59" s="2" t="s">
        <v>13</v>
      </c>
      <c r="D59" s="2" t="s">
        <v>51</v>
      </c>
    </row>
    <row r="60" spans="1:4">
      <c r="A60" s="2">
        <v>10</v>
      </c>
      <c r="B60" s="2">
        <v>11</v>
      </c>
      <c r="C60" s="2" t="s">
        <v>13</v>
      </c>
      <c r="D60" s="2" t="s">
        <v>52</v>
      </c>
    </row>
    <row r="61" spans="1:4">
      <c r="A61" s="2">
        <v>10</v>
      </c>
      <c r="B61" s="2">
        <v>11</v>
      </c>
      <c r="C61" s="2" t="s">
        <v>13</v>
      </c>
      <c r="D61" s="2" t="s">
        <v>53</v>
      </c>
    </row>
    <row r="62" spans="1:4">
      <c r="A62" s="2">
        <v>10</v>
      </c>
      <c r="B62" s="2">
        <v>11</v>
      </c>
      <c r="C62" s="2" t="s">
        <v>13</v>
      </c>
      <c r="D62" s="2" t="s">
        <v>13</v>
      </c>
    </row>
    <row r="63" spans="1:4">
      <c r="A63" s="2">
        <v>10</v>
      </c>
      <c r="B63" s="2">
        <v>11</v>
      </c>
      <c r="C63" s="2" t="s">
        <v>13</v>
      </c>
      <c r="D63" s="2" t="s">
        <v>54</v>
      </c>
    </row>
    <row r="64" spans="1:4">
      <c r="A64" s="2">
        <v>10</v>
      </c>
      <c r="B64" s="2">
        <v>11</v>
      </c>
      <c r="C64" s="2" t="s">
        <v>13</v>
      </c>
      <c r="D64" s="2" t="s">
        <v>55</v>
      </c>
    </row>
    <row r="65" spans="1:4">
      <c r="A65" s="2">
        <v>11</v>
      </c>
      <c r="B65" s="2">
        <v>12</v>
      </c>
      <c r="C65" s="2" t="s">
        <v>14</v>
      </c>
      <c r="D65" s="2" t="s">
        <v>56</v>
      </c>
    </row>
    <row r="66" spans="1:4">
      <c r="A66" s="2">
        <v>12</v>
      </c>
      <c r="B66" s="2">
        <v>13</v>
      </c>
      <c r="C66" s="2" t="s">
        <v>15</v>
      </c>
      <c r="D66" s="2" t="s">
        <v>57</v>
      </c>
    </row>
    <row r="67" spans="1:4">
      <c r="A67" s="2">
        <v>12</v>
      </c>
      <c r="B67" s="2">
        <v>13</v>
      </c>
      <c r="C67" s="2" t="s">
        <v>15</v>
      </c>
      <c r="D67" s="2" t="s">
        <v>58</v>
      </c>
    </row>
    <row r="68" spans="1:4">
      <c r="A68" s="2">
        <v>12</v>
      </c>
      <c r="B68" s="2">
        <v>13</v>
      </c>
      <c r="C68" s="2" t="s">
        <v>15</v>
      </c>
      <c r="D68" s="2" t="s">
        <v>59</v>
      </c>
    </row>
    <row r="69" spans="1:4">
      <c r="A69" s="2">
        <v>12</v>
      </c>
      <c r="B69" s="2">
        <v>13</v>
      </c>
      <c r="C69" s="2" t="s">
        <v>15</v>
      </c>
      <c r="D69" s="2" t="s">
        <v>60</v>
      </c>
    </row>
    <row r="70" spans="1:4">
      <c r="A70" s="2">
        <v>12</v>
      </c>
      <c r="B70" s="2">
        <v>13</v>
      </c>
      <c r="C70" s="2" t="s">
        <v>15</v>
      </c>
      <c r="D70" s="2" t="s">
        <v>61</v>
      </c>
    </row>
    <row r="71" spans="1:4">
      <c r="A71" s="2">
        <v>12</v>
      </c>
      <c r="B71" s="2">
        <v>13</v>
      </c>
      <c r="C71" s="2" t="s">
        <v>15</v>
      </c>
      <c r="D71" s="2" t="s">
        <v>62</v>
      </c>
    </row>
    <row r="72" spans="1:4">
      <c r="A72" s="2">
        <v>12</v>
      </c>
      <c r="B72" s="2">
        <v>13</v>
      </c>
      <c r="C72" s="2" t="s">
        <v>15</v>
      </c>
      <c r="D72" s="2" t="s">
        <v>63</v>
      </c>
    </row>
    <row r="73" spans="1:4">
      <c r="A73" s="2">
        <v>12</v>
      </c>
      <c r="B73" s="2">
        <v>13</v>
      </c>
      <c r="C73" s="2" t="s">
        <v>15</v>
      </c>
      <c r="D73" s="2" t="s">
        <v>64</v>
      </c>
    </row>
    <row r="74" spans="1:4" ht="24.75" customHeight="1"/>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howOutlineSymbols="0"/>
  </sheetPr>
  <dimension ref="B3:K39"/>
  <sheetViews>
    <sheetView showGridLines="0" showRowColHeaders="0" showZeros="0" showOutlineSymbols="0" zoomScale="97" zoomScaleNormal="97" workbookViewId="0">
      <selection activeCell="L6" sqref="L6"/>
    </sheetView>
  </sheetViews>
  <sheetFormatPr defaultRowHeight="13.5"/>
  <cols>
    <col min="11" max="11" width="12.625" customWidth="1"/>
  </cols>
  <sheetData>
    <row r="3" spans="4:11">
      <c r="J3" s="3" t="s">
        <v>65</v>
      </c>
      <c r="K3" s="4">
        <v>42209</v>
      </c>
    </row>
    <row r="5" spans="4:11" ht="30.6" customHeight="1">
      <c r="D5" s="5" t="s">
        <v>66</v>
      </c>
      <c r="F5" s="5" t="e">
        <f>Report!#REF!</f>
        <v>#REF!</v>
      </c>
      <c r="H5" s="5"/>
    </row>
    <row r="6" spans="4:11" ht="30.6" customHeight="1">
      <c r="E6" t="s">
        <v>67</v>
      </c>
      <c r="G6" t="e">
        <f>Report!#REF!</f>
        <v>#REF!</v>
      </c>
      <c r="H6" s="5"/>
    </row>
    <row r="33" spans="2:6">
      <c r="B33" t="s">
        <v>68</v>
      </c>
    </row>
    <row r="36" spans="2:6">
      <c r="B36" s="6" t="s">
        <v>69</v>
      </c>
      <c r="C36" s="6"/>
      <c r="D36" s="6"/>
      <c r="E36" s="6"/>
      <c r="F36" s="6"/>
    </row>
    <row r="37" spans="2:6">
      <c r="B37" s="6" t="s">
        <v>70</v>
      </c>
      <c r="C37" s="6"/>
      <c r="D37" s="6"/>
      <c r="E37" s="6"/>
      <c r="F37" s="6"/>
    </row>
    <row r="38" spans="2:6">
      <c r="B38" s="6" t="s">
        <v>71</v>
      </c>
      <c r="C38" s="6"/>
      <c r="D38" s="6"/>
      <c r="E38" s="6"/>
      <c r="F38" s="6"/>
    </row>
    <row r="39" spans="2:6">
      <c r="B39" s="6" t="s">
        <v>72</v>
      </c>
      <c r="C39" s="6"/>
      <c r="D39" s="6"/>
      <c r="E39" s="6"/>
      <c r="F39" s="6"/>
    </row>
  </sheetData>
  <mergeCells count="4">
    <mergeCell ref="B36:F36"/>
    <mergeCell ref="B37:F37"/>
    <mergeCell ref="B38:F38"/>
    <mergeCell ref="B39:F39"/>
  </mergeCells>
  <phoneticPr fontId="1"/>
  <hyperlinks>
    <hyperlink ref="B39:F39" location="配点区分!A1" display="評価配点表"/>
    <hyperlink ref="B38:F38" location="配点について!A1" display="このツールの評価配点方法について"/>
    <hyperlink ref="B37:F37" location="成熟度モデル!A1" display="管理の成熟度モデル　ISO15540"/>
    <hyperlink ref="B36:F36" location="レアメタル!A1" display="レアメタル・レアアース一覧"/>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B2:O70"/>
  <sheetViews>
    <sheetView showGridLines="0" showZeros="0" topLeftCell="A4" zoomScale="60" zoomScaleNormal="60" zoomScaleSheetLayoutView="72" zoomScalePageLayoutView="51" workbookViewId="0">
      <selection activeCell="A4" sqref="A4:XFD4"/>
    </sheetView>
  </sheetViews>
  <sheetFormatPr defaultRowHeight="13.5"/>
  <cols>
    <col min="2" max="3" width="10.625" customWidth="1"/>
    <col min="4" max="4" width="17.375" customWidth="1"/>
    <col min="5" max="5" width="9.5" customWidth="1"/>
    <col min="6" max="6" width="8.875" customWidth="1"/>
    <col min="7" max="7" width="8.625" customWidth="1"/>
    <col min="8" max="8" width="14.5" customWidth="1"/>
    <col min="9" max="10" width="10.625" customWidth="1"/>
    <col min="11" max="11" width="15.625" customWidth="1"/>
    <col min="12" max="14" width="10.625" customWidth="1"/>
    <col min="15" max="15" width="8.625" customWidth="1"/>
    <col min="16" max="16" width="16.125" customWidth="1"/>
    <col min="17" max="17" width="13" customWidth="1"/>
    <col min="19" max="19" width="23.125" customWidth="1"/>
  </cols>
  <sheetData>
    <row r="2" spans="2:15">
      <c r="B2" t="s">
        <v>73</v>
      </c>
    </row>
    <row r="4" spans="2:15" ht="40.5">
      <c r="B4" s="7" t="s">
        <v>74</v>
      </c>
      <c r="C4" s="8" t="s">
        <v>75</v>
      </c>
      <c r="D4" s="8"/>
      <c r="E4" s="8"/>
      <c r="G4" s="9" t="s">
        <v>76</v>
      </c>
      <c r="H4" s="9" t="s">
        <v>77</v>
      </c>
      <c r="I4" s="9" t="s">
        <v>78</v>
      </c>
      <c r="J4" s="9" t="s">
        <v>79</v>
      </c>
      <c r="K4" s="9" t="s">
        <v>80</v>
      </c>
      <c r="L4" s="9" t="s">
        <v>81</v>
      </c>
      <c r="M4" s="9" t="s">
        <v>82</v>
      </c>
      <c r="N4" s="9" t="s">
        <v>83</v>
      </c>
      <c r="O4" s="9" t="s">
        <v>84</v>
      </c>
    </row>
    <row r="5" spans="2:15">
      <c r="B5" s="7" t="s">
        <v>85</v>
      </c>
      <c r="C5" s="8">
        <v>66</v>
      </c>
      <c r="D5" s="8"/>
      <c r="E5" s="8"/>
      <c r="G5" s="10" t="s">
        <v>86</v>
      </c>
      <c r="H5" s="10">
        <f>IF(ISERROR(VLOOKUP($O5,Pivot範囲2,4,FALSE)) = TRUE,0, VLOOKUP($O5,Pivot範囲2,4,FALSE))</f>
        <v>0</v>
      </c>
      <c r="I5" s="10">
        <f>IF(ISERROR(VLOOKUP($O5,Pivot範囲2,5,FALSE)) = TRUE,0, VLOOKUP($O5,Pivot範囲2,5,FALSE))</f>
        <v>0</v>
      </c>
      <c r="J5" s="10"/>
      <c r="K5" s="10">
        <f ca="1">IF(ISERROR(VLOOKUP($O5,Pivot範囲2,10,FALSE)) = TRUE,0, VLOOKUP($O5,Pivot範囲2,10,FALSE))</f>
        <v>3</v>
      </c>
      <c r="L5" s="10">
        <f ca="1">IF(ISERROR(VLOOKUP($O5,Pivot範囲2,12,FALSE)) = TRUE,0, VLOOKUP($O5,Pivot範囲2,12,FALSE))</f>
        <v>0</v>
      </c>
      <c r="M5" s="10">
        <f ca="1">IF(ISERROR(SUM($I$5:$K$5)-$L$5) = TRUE,0,SUM($I$5:$K$5)-$L$5)</f>
        <v>3</v>
      </c>
      <c r="N5" s="11">
        <f ca="1">IF($M$5&gt;0,$H$5/$M$5/3,0)</f>
        <v>0</v>
      </c>
      <c r="O5" s="10" t="s">
        <v>87</v>
      </c>
    </row>
    <row r="6" spans="2:15" ht="13.5" customHeight="1">
      <c r="B6" s="7" t="s">
        <v>88</v>
      </c>
      <c r="C6" s="8">
        <v>1</v>
      </c>
      <c r="D6" s="8"/>
      <c r="E6" s="8"/>
      <c r="G6" s="10" t="s">
        <v>89</v>
      </c>
      <c r="H6" s="10">
        <f>IF(ISERROR(VLOOKUP($O6,Pivot範囲2,4,FALSE)) = TRUE,0, VLOOKUP($O6,Pivot範囲2,4,FALSE))</f>
        <v>0</v>
      </c>
      <c r="I6" s="10">
        <f>IF(ISERROR(VLOOKUP($O6,Pivot範囲2,5,FALSE)) = TRUE,0, VLOOKUP($O6,Pivot範囲2,5,FALSE))</f>
        <v>0</v>
      </c>
      <c r="J6" s="10"/>
      <c r="K6" s="10">
        <f ca="1">IF(ISERROR(VLOOKUP($O6,Pivot範囲2,10,FALSE)) = TRUE,0, VLOOKUP($O6,Pivot範囲2,10,FALSE))</f>
        <v>7</v>
      </c>
      <c r="L6" s="10">
        <f ca="1">IF(ISERROR(VLOOKUP($O6,Pivot範囲2,12,FALSE)) = TRUE,0, VLOOKUP($O6,Pivot範囲2,12,FALSE))</f>
        <v>0</v>
      </c>
      <c r="M6" s="10">
        <f ca="1">IF(ISERROR(SUM($I$6:$K$6)-$L$6) = TRUE,0,SUM($I$6:$K$6)-$L$6)</f>
        <v>7</v>
      </c>
      <c r="N6" s="11">
        <f ca="1">IF($M$6&gt;0,$H$6/$M$6/3,0)</f>
        <v>0</v>
      </c>
      <c r="O6" s="10" t="s">
        <v>90</v>
      </c>
    </row>
    <row r="7" spans="2:15">
      <c r="B7" s="7" t="s">
        <v>91</v>
      </c>
      <c r="C7" s="8" t="s">
        <v>92</v>
      </c>
      <c r="D7" s="8"/>
      <c r="E7" s="8"/>
      <c r="G7" s="10" t="s">
        <v>93</v>
      </c>
      <c r="H7" s="10">
        <f>IF(ISERROR(VLOOKUP($O7,Pivot範囲2,4,FALSE)) = TRUE,0, VLOOKUP($O7,Pivot範囲2,4,FALSE))</f>
        <v>0</v>
      </c>
      <c r="I7" s="10">
        <f>IF(ISERROR(VLOOKUP($O7,Pivot範囲2,5,FALSE)) = TRUE,0, VLOOKUP($O7,Pivot範囲2,5,FALSE))</f>
        <v>0</v>
      </c>
      <c r="J7" s="10"/>
      <c r="K7" s="10">
        <f ca="1">IF(ISERROR(VLOOKUP($O7,Pivot範囲2,10,FALSE)) = TRUE,0, VLOOKUP($O7,Pivot範囲2,10,FALSE))</f>
        <v>2</v>
      </c>
      <c r="L7" s="10">
        <f ca="1">IF(ISERROR(VLOOKUP($O7,Pivot範囲2,12,FALSE)) = TRUE,0, VLOOKUP($O7,Pivot範囲2,12,FALSE))</f>
        <v>0</v>
      </c>
      <c r="M7" s="10">
        <f ca="1">IF(ISERROR(SUM($I$7:$K$7)-$L$7) = TRUE,0,SUM($I$7:$K$7)-$L$7)</f>
        <v>2</v>
      </c>
      <c r="N7" s="11">
        <f ca="1">IF($M$7&gt;0,$H$7/$M$7/3,0)</f>
        <v>0</v>
      </c>
      <c r="O7" s="10" t="s">
        <v>94</v>
      </c>
    </row>
    <row r="8" spans="2:15">
      <c r="B8" s="7" t="s">
        <v>95</v>
      </c>
      <c r="C8" s="8" t="s">
        <v>96</v>
      </c>
      <c r="D8" s="8"/>
      <c r="E8" s="8"/>
      <c r="G8" s="10" t="s">
        <v>97</v>
      </c>
      <c r="H8" s="10">
        <f>IF(ISERROR(VLOOKUP($O8,Pivot範囲2,4,FALSE)) = TRUE,0, VLOOKUP($O8,Pivot範囲2,4,FALSE))</f>
        <v>0</v>
      </c>
      <c r="I8" s="10">
        <f>IF(ISERROR(VLOOKUP($O8,Pivot範囲2,5,FALSE)) = TRUE,0, VLOOKUP($O8,Pivot範囲2,5,FALSE))</f>
        <v>0</v>
      </c>
      <c r="J8" s="10"/>
      <c r="K8" s="10">
        <f ca="1">IF(ISERROR(VLOOKUP($O8,Pivot範囲2,10,FALSE)) = TRUE,0, VLOOKUP($O8,Pivot範囲2,10,FALSE))</f>
        <v>2</v>
      </c>
      <c r="L8" s="10">
        <f ca="1">IF(ISERROR(VLOOKUP($O8,Pivot範囲2,12,FALSE)) = TRUE,0, VLOOKUP($O8,Pivot範囲2,12,FALSE))</f>
        <v>0</v>
      </c>
      <c r="M8" s="10">
        <f ca="1">IF(ISERROR(SUM($I$8:$K$8)-$L$8) = TRUE,0,SUM($I$8:$K$8)-$L$8)</f>
        <v>2</v>
      </c>
      <c r="N8" s="11">
        <f ca="1">IF($M$8&gt;0,$H$8/$M$8/3,0)</f>
        <v>0</v>
      </c>
      <c r="O8" s="10" t="s">
        <v>98</v>
      </c>
    </row>
    <row r="9" spans="2:15">
      <c r="B9" s="7" t="s">
        <v>99</v>
      </c>
      <c r="C9" s="8" t="s">
        <v>100</v>
      </c>
      <c r="D9" s="8"/>
      <c r="E9" s="8"/>
      <c r="G9" s="10" t="s">
        <v>101</v>
      </c>
      <c r="H9" s="10">
        <f>IF(ISERROR(VLOOKUP($O9,Pivot範囲2,4,FALSE)) = TRUE,0, VLOOKUP($O9,Pivot範囲2,4,FALSE))</f>
        <v>0</v>
      </c>
      <c r="I9" s="10">
        <f>IF(ISERROR(VLOOKUP($O9,Pivot範囲2,5,FALSE)) = TRUE,0, VLOOKUP($O9,Pivot範囲2,5,FALSE))</f>
        <v>0</v>
      </c>
      <c r="J9" s="10"/>
      <c r="K9" s="10">
        <f ca="1">IF(ISERROR(VLOOKUP($O9,Pivot範囲2,10,FALSE)) = TRUE,0, VLOOKUP($O9,Pivot範囲2,10,FALSE))</f>
        <v>3</v>
      </c>
      <c r="L9" s="10">
        <f ca="1">IF(ISERROR(VLOOKUP($O9,Pivot範囲2,12,FALSE)) = TRUE,0, VLOOKUP($O9,Pivot範囲2,12,FALSE))</f>
        <v>0</v>
      </c>
      <c r="M9" s="10">
        <f ca="1">IF(ISERROR(SUM($I$9:$K$9)-$L$9) = TRUE,0,SUM($I$9:$K$9)-$L$9)</f>
        <v>3</v>
      </c>
      <c r="N9" s="11">
        <f ca="1">IF($M$9&gt;0,$H$9/$M$9/3,0)</f>
        <v>0</v>
      </c>
      <c r="O9" s="10" t="s">
        <v>102</v>
      </c>
    </row>
    <row r="10" spans="2:15">
      <c r="B10" s="7" t="s">
        <v>103</v>
      </c>
      <c r="C10" s="8" t="s">
        <v>104</v>
      </c>
      <c r="D10" s="8"/>
      <c r="E10" s="8"/>
      <c r="G10" s="10" t="s">
        <v>105</v>
      </c>
      <c r="H10" s="10">
        <f>IF(ISERROR(VLOOKUP($O10,Pivot範囲2,4,FALSE)) = TRUE,0, VLOOKUP($O10,Pivot範囲2,4,FALSE))</f>
        <v>0</v>
      </c>
      <c r="I10" s="10">
        <f>IF(ISERROR(VLOOKUP($O10,Pivot範囲2,5,FALSE)) = TRUE,0, VLOOKUP($O10,Pivot範囲2,5,FALSE))</f>
        <v>0</v>
      </c>
      <c r="J10" s="10"/>
      <c r="K10" s="10">
        <f ca="1">IF(ISERROR(VLOOKUP($O10,Pivot範囲2,10,FALSE)) = TRUE,0, VLOOKUP($O10,Pivot範囲2,10,FALSE))</f>
        <v>1</v>
      </c>
      <c r="L10" s="10">
        <f ca="1">IF(ISERROR(VLOOKUP($O10,Pivot範囲2,12,FALSE)) = TRUE,0, VLOOKUP($O10,Pivot範囲2,12,FALSE))</f>
        <v>0</v>
      </c>
      <c r="M10" s="10">
        <f ca="1">IF(ISERROR(SUM($I$10:$K$10)-$L$10) = TRUE,0,SUM($I$10:$K$10)-$L$10)</f>
        <v>1</v>
      </c>
      <c r="N10" s="11">
        <f ca="1">IF($M$10&gt;0,$H$10/$M$10/3,0)</f>
        <v>0</v>
      </c>
      <c r="O10" s="10" t="s">
        <v>106</v>
      </c>
    </row>
    <row r="11" spans="2:15">
      <c r="B11" s="7" t="s">
        <v>107</v>
      </c>
      <c r="C11" s="12">
        <v>42209</v>
      </c>
      <c r="D11" s="12"/>
      <c r="E11" s="12"/>
      <c r="G11" s="10" t="s">
        <v>108</v>
      </c>
      <c r="H11" s="10">
        <f>IF(ISERROR(VLOOKUP($O11,Pivot範囲2,4,FALSE)) = TRUE,0, VLOOKUP($O11,Pivot範囲2,4,FALSE))</f>
        <v>0</v>
      </c>
      <c r="I11" s="10">
        <f>IF(ISERROR(VLOOKUP($O11,Pivot範囲2,5,FALSE)) = TRUE,0, VLOOKUP($O11,Pivot範囲2,5,FALSE))</f>
        <v>0</v>
      </c>
      <c r="J11" s="10"/>
      <c r="K11" s="10">
        <f ca="1">IF(ISERROR(VLOOKUP($O11,Pivot範囲2,10,FALSE)) = TRUE,0, VLOOKUP($O11,Pivot範囲2,10,FALSE))</f>
        <v>1</v>
      </c>
      <c r="L11" s="10">
        <f ca="1">IF(ISERROR(VLOOKUP($O11,Pivot範囲2,12,FALSE)) = TRUE,0, VLOOKUP($O11,Pivot範囲2,12,FALSE))</f>
        <v>0</v>
      </c>
      <c r="M11" s="10">
        <f ca="1">IF(ISERROR(SUM($I$11:$K$11)-$L$11) = TRUE,0,SUM($I$11:$K$11)-$L$11)</f>
        <v>1</v>
      </c>
      <c r="N11" s="11">
        <f ca="1">IF($M$11&gt;0,$H$11/$M$11/3,0)</f>
        <v>0</v>
      </c>
      <c r="O11" s="10" t="s">
        <v>109</v>
      </c>
    </row>
    <row r="12" spans="2:15" ht="27" customHeight="1">
      <c r="B12" s="7" t="s">
        <v>110</v>
      </c>
      <c r="C12" s="8" t="s">
        <v>111</v>
      </c>
      <c r="D12" s="8"/>
      <c r="E12" s="8"/>
      <c r="G12" s="10" t="s">
        <v>112</v>
      </c>
      <c r="H12" s="10">
        <f>SUM(H5:H11)</f>
        <v>0</v>
      </c>
      <c r="I12" s="10">
        <f t="shared" ref="I12:M12" si="0">SUM(I5:I11)</f>
        <v>0</v>
      </c>
      <c r="J12" s="10">
        <f t="shared" si="0"/>
        <v>0</v>
      </c>
      <c r="K12" s="10">
        <f t="shared" ca="1" si="0"/>
        <v>19</v>
      </c>
      <c r="L12" s="10">
        <f t="shared" ca="1" si="0"/>
        <v>0</v>
      </c>
      <c r="M12" s="10">
        <f t="shared" ca="1" si="0"/>
        <v>19</v>
      </c>
      <c r="N12" s="11">
        <f ca="1">IF($M$12&gt;0,$H$12/$M$12/3,0)</f>
        <v>0</v>
      </c>
      <c r="O12" s="10"/>
    </row>
    <row r="16" spans="2:15" ht="24" customHeight="1"/>
    <row r="42" spans="2:14">
      <c r="E42" s="48" t="s">
        <v>113</v>
      </c>
    </row>
    <row r="43" spans="2:14" s="13" customFormat="1" ht="40.5">
      <c r="B43" s="49" t="s">
        <v>84</v>
      </c>
      <c r="C43" s="49" t="s">
        <v>76</v>
      </c>
      <c r="D43" s="49" t="s">
        <v>114</v>
      </c>
      <c r="E43" s="13" t="s">
        <v>115</v>
      </c>
      <c r="F43" s="13" t="s">
        <v>116</v>
      </c>
      <c r="G43" s="13" t="s">
        <v>117</v>
      </c>
      <c r="H43" s="13" t="s">
        <v>118</v>
      </c>
      <c r="J43" s="2" t="s">
        <v>119</v>
      </c>
      <c r="K43" s="2" t="s">
        <v>80</v>
      </c>
      <c r="L43" s="2" t="s">
        <v>120</v>
      </c>
      <c r="M43" s="2" t="s">
        <v>121</v>
      </c>
      <c r="N43" s="2" t="s">
        <v>122</v>
      </c>
    </row>
    <row r="44" spans="2:14">
      <c r="B44">
        <v>1</v>
      </c>
      <c r="C44" t="s">
        <v>86</v>
      </c>
      <c r="D44" t="s">
        <v>123</v>
      </c>
      <c r="E44" s="14">
        <v>0</v>
      </c>
      <c r="F44" s="14"/>
      <c r="G44" s="14">
        <v>2</v>
      </c>
      <c r="H44" s="14">
        <v>2</v>
      </c>
      <c r="J44" s="15">
        <f>IF(RIGHT($B44,2)&lt;&gt;"集計",0,MATCH(INT(LEFT($B44,1)),$B$43:$B$70,0)+ 42)</f>
        <v>0</v>
      </c>
      <c r="K44" s="15" t="str">
        <f ca="1">IF(RIGHT($B44,2)="集計",COUNTBLANK(INDIRECT(ADDRESS($J44,6)):OFFSET($F44,-1,0,1,1)),"")</f>
        <v/>
      </c>
      <c r="L44" s="15" t="str">
        <f>IF($G44="","",IF($F44="",$D44,""))</f>
        <v>1.1.1</v>
      </c>
      <c r="M44" s="15" t="str">
        <f ca="1">IF(RIGHT($B44,2)="集計",COUNTIF(INDIRECT(ADDRESS($J44,8)):OFFSET($H44,-1,0,1,1),0),"")</f>
        <v/>
      </c>
      <c r="N44" s="15" t="str">
        <f>IF($G44="","",IF($H44=0,$D44,""))</f>
        <v/>
      </c>
    </row>
    <row r="45" spans="2:14">
      <c r="D45" t="s">
        <v>124</v>
      </c>
      <c r="E45" s="14">
        <v>0</v>
      </c>
      <c r="F45" s="14"/>
      <c r="G45" s="14">
        <v>1</v>
      </c>
      <c r="H45" s="14">
        <v>1</v>
      </c>
      <c r="J45" s="15">
        <f t="shared" ref="J45:J70" si="1">IF(RIGHT($B45,2)&lt;&gt;"集計",0,MATCH(INT(LEFT($B45,1)),$B$43:$B$70,0)+ 42)</f>
        <v>0</v>
      </c>
      <c r="K45" s="15" t="str">
        <f ca="1">IF(RIGHT($B45,2)="集計",COUNTBLANK(INDIRECT(ADDRESS($J45,6)):OFFSET($F45,-1,0,1,1)),"")</f>
        <v/>
      </c>
      <c r="L45" s="15" t="str">
        <f t="shared" ref="L45:L70" si="2">IF($G45="","",IF($F45="",$D45,""))</f>
        <v>1.1.2</v>
      </c>
      <c r="M45" s="15" t="str">
        <f ca="1">IF(RIGHT($B45,2)="集計",COUNTIF(INDIRECT(ADDRESS($J45,8)):OFFSET($H45,-1,0,1,1),0),"")</f>
        <v/>
      </c>
      <c r="N45" s="15" t="str">
        <f t="shared" ref="N45:N70" si="3">IF($G45="","",IF($H45=0,$D45,""))</f>
        <v/>
      </c>
    </row>
    <row r="46" spans="2:14">
      <c r="D46" t="s">
        <v>125</v>
      </c>
      <c r="E46" s="14">
        <v>0</v>
      </c>
      <c r="F46" s="14"/>
      <c r="G46" s="14">
        <v>2</v>
      </c>
      <c r="H46" s="14">
        <v>2</v>
      </c>
      <c r="J46" s="15">
        <f t="shared" si="1"/>
        <v>0</v>
      </c>
      <c r="K46" s="15" t="str">
        <f ca="1">IF(RIGHT($B46,2)="集計",COUNTBLANK(INDIRECT(ADDRESS($J46,6)):OFFSET($F46,-1,0,1,1)),"")</f>
        <v/>
      </c>
      <c r="L46" s="15" t="str">
        <f t="shared" si="2"/>
        <v>1.1.3</v>
      </c>
      <c r="M46" s="15" t="str">
        <f ca="1">IF(RIGHT($B46,2)="集計",COUNTIF(INDIRECT(ADDRESS($J46,8)):OFFSET($H46,-1,0,1,1),0),"")</f>
        <v/>
      </c>
      <c r="N46" s="15" t="str">
        <f t="shared" si="3"/>
        <v/>
      </c>
    </row>
    <row r="47" spans="2:14">
      <c r="B47" t="s">
        <v>87</v>
      </c>
      <c r="E47" s="14">
        <v>0</v>
      </c>
      <c r="F47" s="14"/>
      <c r="G47" s="14">
        <v>5</v>
      </c>
      <c r="H47" s="14">
        <v>5</v>
      </c>
      <c r="J47" s="15">
        <f t="shared" si="1"/>
        <v>44</v>
      </c>
      <c r="K47" s="15">
        <f ca="1">IF(RIGHT($B47,2)="集計",COUNTBLANK(INDIRECT(ADDRESS($J47,6)):OFFSET($F47,-1,0,1,1)),"")</f>
        <v>3</v>
      </c>
      <c r="L47" s="15">
        <f t="shared" si="2"/>
        <v>0</v>
      </c>
      <c r="M47" s="15">
        <f ca="1">IF(RIGHT($B47,2)="集計",COUNTIF(INDIRECT(ADDRESS($J47,8)):OFFSET($H47,-1,0,1,1),0),"")</f>
        <v>0</v>
      </c>
      <c r="N47" s="15" t="str">
        <f t="shared" si="3"/>
        <v/>
      </c>
    </row>
    <row r="48" spans="2:14">
      <c r="B48">
        <v>2</v>
      </c>
      <c r="C48" t="s">
        <v>89</v>
      </c>
      <c r="D48" t="s">
        <v>126</v>
      </c>
      <c r="E48" s="14">
        <v>0</v>
      </c>
      <c r="F48" s="14"/>
      <c r="G48" s="14">
        <v>3</v>
      </c>
      <c r="H48" s="14">
        <v>3</v>
      </c>
      <c r="J48" s="15">
        <f t="shared" si="1"/>
        <v>0</v>
      </c>
      <c r="K48" s="15" t="str">
        <f ca="1">IF(RIGHT($B48,2)="集計",COUNTBLANK(INDIRECT(ADDRESS($J48,6)):OFFSET($F48,-1,0,1,1)),"")</f>
        <v/>
      </c>
      <c r="L48" s="15" t="str">
        <f t="shared" si="2"/>
        <v>2.1.1</v>
      </c>
      <c r="M48" s="15" t="str">
        <f ca="1">IF(RIGHT($B48,2)="集計",COUNTIF(INDIRECT(ADDRESS($J48,8)):OFFSET($H48,-1,0,1,1),0),"")</f>
        <v/>
      </c>
      <c r="N48" s="15" t="str">
        <f t="shared" si="3"/>
        <v/>
      </c>
    </row>
    <row r="49" spans="2:14">
      <c r="D49" t="s">
        <v>127</v>
      </c>
      <c r="E49" s="14">
        <v>0</v>
      </c>
      <c r="F49" s="14"/>
      <c r="G49" s="14">
        <v>2</v>
      </c>
      <c r="H49" s="14">
        <v>2</v>
      </c>
      <c r="J49" s="15">
        <f t="shared" si="1"/>
        <v>0</v>
      </c>
      <c r="K49" s="15" t="str">
        <f ca="1">IF(RIGHT($B49,2)="集計",COUNTBLANK(INDIRECT(ADDRESS($J49,6)):OFFSET($F49,-1,0,1,1)),"")</f>
        <v/>
      </c>
      <c r="L49" s="15" t="str">
        <f t="shared" si="2"/>
        <v>2.1.2</v>
      </c>
      <c r="M49" s="15" t="str">
        <f ca="1">IF(RIGHT($B49,2)="集計",COUNTIF(INDIRECT(ADDRESS($J49,8)):OFFSET($H49,-1,0,1,1),0),"")</f>
        <v/>
      </c>
      <c r="N49" s="15" t="str">
        <f t="shared" si="3"/>
        <v/>
      </c>
    </row>
    <row r="50" spans="2:14">
      <c r="D50" t="s">
        <v>128</v>
      </c>
      <c r="E50" s="14">
        <v>0</v>
      </c>
      <c r="F50" s="14"/>
      <c r="G50" s="14">
        <v>1</v>
      </c>
      <c r="H50" s="14">
        <v>1</v>
      </c>
      <c r="J50" s="15">
        <f t="shared" si="1"/>
        <v>0</v>
      </c>
      <c r="K50" s="15" t="str">
        <f ca="1">IF(RIGHT($B50,2)="集計",COUNTBLANK(INDIRECT(ADDRESS($J50,6)):OFFSET($F50,-1,0,1,1)),"")</f>
        <v/>
      </c>
      <c r="L50" s="15" t="str">
        <f t="shared" si="2"/>
        <v>2.1.3</v>
      </c>
      <c r="M50" s="15" t="str">
        <f ca="1">IF(RIGHT($B50,2)="集計",COUNTIF(INDIRECT(ADDRESS($J50,8)):OFFSET($H50,-1,0,1,1),0),"")</f>
        <v/>
      </c>
      <c r="N50" s="15" t="str">
        <f t="shared" si="3"/>
        <v/>
      </c>
    </row>
    <row r="51" spans="2:14">
      <c r="D51" t="s">
        <v>129</v>
      </c>
      <c r="E51" s="14">
        <v>0</v>
      </c>
      <c r="F51" s="14"/>
      <c r="G51" s="14">
        <v>3</v>
      </c>
      <c r="H51" s="14">
        <v>3</v>
      </c>
      <c r="J51" s="15">
        <f t="shared" si="1"/>
        <v>0</v>
      </c>
      <c r="K51" s="15" t="str">
        <f ca="1">IF(RIGHT($B51,2)="集計",COUNTBLANK(INDIRECT(ADDRESS($J51,6)):OFFSET($F51,-1,0,1,1)),"")</f>
        <v/>
      </c>
      <c r="L51" s="15" t="str">
        <f t="shared" si="2"/>
        <v>2.1.5</v>
      </c>
      <c r="M51" s="15" t="str">
        <f ca="1">IF(RIGHT($B51,2)="集計",COUNTIF(INDIRECT(ADDRESS($J51,8)):OFFSET($H51,-1,0,1,1),0),"")</f>
        <v/>
      </c>
      <c r="N51" s="15" t="str">
        <f t="shared" si="3"/>
        <v/>
      </c>
    </row>
    <row r="52" spans="2:14">
      <c r="D52" t="s">
        <v>130</v>
      </c>
      <c r="E52" s="14">
        <v>0</v>
      </c>
      <c r="F52" s="14"/>
      <c r="G52" s="14">
        <v>1</v>
      </c>
      <c r="H52" s="14">
        <v>1</v>
      </c>
      <c r="J52" s="15">
        <f t="shared" si="1"/>
        <v>0</v>
      </c>
      <c r="K52" s="15" t="str">
        <f ca="1">IF(RIGHT($B52,2)="集計",COUNTBLANK(INDIRECT(ADDRESS($J52,6)):OFFSET($F52,-1,0,1,1)),"")</f>
        <v/>
      </c>
      <c r="L52" s="15" t="str">
        <f t="shared" si="2"/>
        <v>2.2.1</v>
      </c>
      <c r="M52" s="15" t="str">
        <f ca="1">IF(RIGHT($B52,2)="集計",COUNTIF(INDIRECT(ADDRESS($J52,8)):OFFSET($H52,-1,0,1,1),0),"")</f>
        <v/>
      </c>
      <c r="N52" s="15" t="str">
        <f t="shared" si="3"/>
        <v/>
      </c>
    </row>
    <row r="53" spans="2:14">
      <c r="D53" t="s">
        <v>131</v>
      </c>
      <c r="E53" s="14">
        <v>0</v>
      </c>
      <c r="F53" s="14"/>
      <c r="G53" s="14">
        <v>1</v>
      </c>
      <c r="H53" s="14">
        <v>1</v>
      </c>
      <c r="J53" s="15">
        <f t="shared" si="1"/>
        <v>0</v>
      </c>
      <c r="K53" s="15" t="str">
        <f ca="1">IF(RIGHT($B53,2)="集計",COUNTBLANK(INDIRECT(ADDRESS($J53,6)):OFFSET($F53,-1,0,1,1)),"")</f>
        <v/>
      </c>
      <c r="L53" s="15" t="str">
        <f t="shared" si="2"/>
        <v>2.3.1</v>
      </c>
      <c r="M53" s="15" t="str">
        <f ca="1">IF(RIGHT($B53,2)="集計",COUNTIF(INDIRECT(ADDRESS($J53,8)):OFFSET($H53,-1,0,1,1),0),"")</f>
        <v/>
      </c>
      <c r="N53" s="15" t="str">
        <f t="shared" si="3"/>
        <v/>
      </c>
    </row>
    <row r="54" spans="2:14">
      <c r="D54" t="s">
        <v>132</v>
      </c>
      <c r="E54" s="14">
        <v>0</v>
      </c>
      <c r="F54" s="14"/>
      <c r="G54" s="14">
        <v>1</v>
      </c>
      <c r="H54" s="14">
        <v>1</v>
      </c>
      <c r="J54" s="15">
        <f t="shared" si="1"/>
        <v>0</v>
      </c>
      <c r="K54" s="15" t="str">
        <f ca="1">IF(RIGHT($B54,2)="集計",COUNTBLANK(INDIRECT(ADDRESS($J54,6)):OFFSET($F54,-1,0,1,1)),"")</f>
        <v/>
      </c>
      <c r="L54" s="15" t="str">
        <f t="shared" si="2"/>
        <v>2.3.2</v>
      </c>
      <c r="M54" s="15" t="str">
        <f ca="1">IF(RIGHT($B54,2)="集計",COUNTIF(INDIRECT(ADDRESS($J54,8)):OFFSET($H54,-1,0,1,1),0),"")</f>
        <v/>
      </c>
      <c r="N54" s="15" t="str">
        <f t="shared" si="3"/>
        <v/>
      </c>
    </row>
    <row r="55" spans="2:14">
      <c r="B55" t="s">
        <v>90</v>
      </c>
      <c r="E55" s="14">
        <v>0</v>
      </c>
      <c r="F55" s="14"/>
      <c r="G55" s="14">
        <v>12</v>
      </c>
      <c r="H55" s="14">
        <v>12</v>
      </c>
      <c r="J55" s="15">
        <f t="shared" si="1"/>
        <v>48</v>
      </c>
      <c r="K55" s="15">
        <f ca="1">IF(RIGHT($B55,2)="集計",COUNTBLANK(INDIRECT(ADDRESS($J55,6)):OFFSET($F55,-1,0,1,1)),"")</f>
        <v>7</v>
      </c>
      <c r="L55" s="15">
        <f t="shared" si="2"/>
        <v>0</v>
      </c>
      <c r="M55" s="15">
        <f ca="1">IF(RIGHT($B55,2)="集計",COUNTIF(INDIRECT(ADDRESS($J55,8)):OFFSET($H55,-1,0,1,1),0),"")</f>
        <v>0</v>
      </c>
      <c r="N55" s="15" t="str">
        <f t="shared" si="3"/>
        <v/>
      </c>
    </row>
    <row r="56" spans="2:14">
      <c r="B56">
        <v>3</v>
      </c>
      <c r="C56" t="s">
        <v>93</v>
      </c>
      <c r="D56" t="s">
        <v>133</v>
      </c>
      <c r="E56" s="14">
        <v>0</v>
      </c>
      <c r="F56" s="14"/>
      <c r="G56" s="14">
        <v>1</v>
      </c>
      <c r="H56" s="14">
        <v>1</v>
      </c>
      <c r="J56" s="15">
        <f t="shared" si="1"/>
        <v>0</v>
      </c>
      <c r="K56" s="15" t="str">
        <f ca="1">IF(RIGHT($B56,2)="集計",COUNTBLANK(INDIRECT(ADDRESS($J56,6)):OFFSET($F56,-1,0,1,1)),"")</f>
        <v/>
      </c>
      <c r="L56" s="15" t="str">
        <f t="shared" si="2"/>
        <v>3.1.1</v>
      </c>
      <c r="M56" s="15" t="str">
        <f ca="1">IF(RIGHT($B56,2)="集計",COUNTIF(INDIRECT(ADDRESS($J56,8)):OFFSET($H56,-1,0,1,1),0),"")</f>
        <v/>
      </c>
      <c r="N56" s="15" t="str">
        <f t="shared" si="3"/>
        <v/>
      </c>
    </row>
    <row r="57" spans="2:14">
      <c r="D57" t="s">
        <v>134</v>
      </c>
      <c r="E57" s="14">
        <v>0</v>
      </c>
      <c r="F57" s="14"/>
      <c r="G57" s="14">
        <v>2</v>
      </c>
      <c r="H57" s="14">
        <v>2</v>
      </c>
      <c r="J57" s="15">
        <f t="shared" si="1"/>
        <v>0</v>
      </c>
      <c r="K57" s="15" t="str">
        <f ca="1">IF(RIGHT($B57,2)="集計",COUNTBLANK(INDIRECT(ADDRESS($J57,6)):OFFSET($F57,-1,0,1,1)),"")</f>
        <v/>
      </c>
      <c r="L57" s="15" t="str">
        <f t="shared" si="2"/>
        <v>3.1.2</v>
      </c>
      <c r="M57" s="15" t="str">
        <f ca="1">IF(RIGHT($B57,2)="集計",COUNTIF(INDIRECT(ADDRESS($J57,8)):OFFSET($H57,-1,0,1,1),0),"")</f>
        <v/>
      </c>
      <c r="N57" s="15" t="str">
        <f t="shared" si="3"/>
        <v/>
      </c>
    </row>
    <row r="58" spans="2:14">
      <c r="B58" t="s">
        <v>94</v>
      </c>
      <c r="E58" s="14">
        <v>0</v>
      </c>
      <c r="F58" s="14"/>
      <c r="G58" s="14">
        <v>3</v>
      </c>
      <c r="H58" s="14">
        <v>3</v>
      </c>
      <c r="J58" s="15">
        <f t="shared" si="1"/>
        <v>56</v>
      </c>
      <c r="K58" s="15">
        <f ca="1">IF(RIGHT($B58,2)="集計",COUNTBLANK(INDIRECT(ADDRESS($J58,6)):OFFSET($F58,-1,0,1,1)),"")</f>
        <v>2</v>
      </c>
      <c r="L58" s="15">
        <f t="shared" si="2"/>
        <v>0</v>
      </c>
      <c r="M58" s="15">
        <f ca="1">IF(RIGHT($B58,2)="集計",COUNTIF(INDIRECT(ADDRESS($J58,8)):OFFSET($H58,-1,0,1,1),0),"")</f>
        <v>0</v>
      </c>
      <c r="N58" s="15" t="str">
        <f t="shared" si="3"/>
        <v/>
      </c>
    </row>
    <row r="59" spans="2:14">
      <c r="B59">
        <v>4</v>
      </c>
      <c r="C59" t="s">
        <v>97</v>
      </c>
      <c r="D59" t="s">
        <v>135</v>
      </c>
      <c r="E59" s="14">
        <v>0</v>
      </c>
      <c r="F59" s="14"/>
      <c r="G59" s="14">
        <v>2</v>
      </c>
      <c r="H59" s="14">
        <v>2</v>
      </c>
      <c r="J59" s="15">
        <f t="shared" si="1"/>
        <v>0</v>
      </c>
      <c r="K59" s="15" t="str">
        <f ca="1">IF(RIGHT($B59,2)="集計",COUNTBLANK(INDIRECT(ADDRESS($J59,6)):OFFSET($F59,-1,0,1,1)),"")</f>
        <v/>
      </c>
      <c r="L59" s="15" t="str">
        <f t="shared" si="2"/>
        <v>4.1.1</v>
      </c>
      <c r="M59" s="15" t="str">
        <f ca="1">IF(RIGHT($B59,2)="集計",COUNTIF(INDIRECT(ADDRESS($J59,8)):OFFSET($H59,-1,0,1,1),0),"")</f>
        <v/>
      </c>
      <c r="N59" s="15" t="str">
        <f t="shared" si="3"/>
        <v/>
      </c>
    </row>
    <row r="60" spans="2:14">
      <c r="D60" t="s">
        <v>136</v>
      </c>
      <c r="E60" s="14">
        <v>0</v>
      </c>
      <c r="F60" s="14"/>
      <c r="G60" s="14">
        <v>3</v>
      </c>
      <c r="H60" s="14">
        <v>3</v>
      </c>
      <c r="J60" s="15">
        <f t="shared" si="1"/>
        <v>0</v>
      </c>
      <c r="K60" s="15" t="str">
        <f ca="1">IF(RIGHT($B60,2)="集計",COUNTBLANK(INDIRECT(ADDRESS($J60,6)):OFFSET($F60,-1,0,1,1)),"")</f>
        <v/>
      </c>
      <c r="L60" s="15" t="str">
        <f t="shared" si="2"/>
        <v>4.2.2</v>
      </c>
      <c r="M60" s="15" t="str">
        <f ca="1">IF(RIGHT($B60,2)="集計",COUNTIF(INDIRECT(ADDRESS($J60,8)):OFFSET($H60,-1,0,1,1),0),"")</f>
        <v/>
      </c>
      <c r="N60" s="15" t="str">
        <f t="shared" si="3"/>
        <v/>
      </c>
    </row>
    <row r="61" spans="2:14">
      <c r="B61" t="s">
        <v>98</v>
      </c>
      <c r="E61" s="14">
        <v>0</v>
      </c>
      <c r="F61" s="14"/>
      <c r="G61" s="14">
        <v>5</v>
      </c>
      <c r="H61" s="14">
        <v>5</v>
      </c>
      <c r="J61" s="15">
        <f t="shared" si="1"/>
        <v>59</v>
      </c>
      <c r="K61" s="15">
        <f ca="1">IF(RIGHT($B61,2)="集計",COUNTBLANK(INDIRECT(ADDRESS($J61,6)):OFFSET($F61,-1,0,1,1)),"")</f>
        <v>2</v>
      </c>
      <c r="L61" s="15">
        <f t="shared" si="2"/>
        <v>0</v>
      </c>
      <c r="M61" s="15">
        <f ca="1">IF(RIGHT($B61,2)="集計",COUNTIF(INDIRECT(ADDRESS($J61,8)):OFFSET($H61,-1,0,1,1),0),"")</f>
        <v>0</v>
      </c>
      <c r="N61" s="15" t="str">
        <f t="shared" si="3"/>
        <v/>
      </c>
    </row>
    <row r="62" spans="2:14">
      <c r="B62">
        <v>6</v>
      </c>
      <c r="C62" t="s">
        <v>101</v>
      </c>
      <c r="D62" t="s">
        <v>137</v>
      </c>
      <c r="E62" s="14">
        <v>0</v>
      </c>
      <c r="F62" s="14"/>
      <c r="G62" s="14">
        <v>1</v>
      </c>
      <c r="H62" s="14">
        <v>1</v>
      </c>
      <c r="J62" s="15">
        <f t="shared" si="1"/>
        <v>0</v>
      </c>
      <c r="K62" s="15" t="str">
        <f ca="1">IF(RIGHT($B62,2)="集計",COUNTBLANK(INDIRECT(ADDRESS($J62,6)):OFFSET($F62,-1,0,1,1)),"")</f>
        <v/>
      </c>
      <c r="L62" s="15" t="str">
        <f t="shared" si="2"/>
        <v>6.1.1</v>
      </c>
      <c r="M62" s="15" t="str">
        <f ca="1">IF(RIGHT($B62,2)="集計",COUNTIF(INDIRECT(ADDRESS($J62,8)):OFFSET($H62,-1,0,1,1),0),"")</f>
        <v/>
      </c>
      <c r="N62" s="15" t="str">
        <f t="shared" si="3"/>
        <v/>
      </c>
    </row>
    <row r="63" spans="2:14">
      <c r="D63" t="s">
        <v>138</v>
      </c>
      <c r="E63" s="14">
        <v>0</v>
      </c>
      <c r="F63" s="14"/>
      <c r="G63" s="14">
        <v>1</v>
      </c>
      <c r="H63" s="14">
        <v>1</v>
      </c>
      <c r="J63" s="15">
        <f t="shared" si="1"/>
        <v>0</v>
      </c>
      <c r="K63" s="15" t="str">
        <f ca="1">IF(RIGHT($B63,2)="集計",COUNTBLANK(INDIRECT(ADDRESS($J63,6)):OFFSET($F63,-1,0,1,1)),"")</f>
        <v/>
      </c>
      <c r="L63" s="15" t="str">
        <f t="shared" si="2"/>
        <v>6.2.1</v>
      </c>
      <c r="M63" s="15" t="str">
        <f ca="1">IF(RIGHT($B63,2)="集計",COUNTIF(INDIRECT(ADDRESS($J63,8)):OFFSET($H63,-1,0,1,1),0),"")</f>
        <v/>
      </c>
      <c r="N63" s="15" t="str">
        <f t="shared" si="3"/>
        <v/>
      </c>
    </row>
    <row r="64" spans="2:14">
      <c r="D64" t="s">
        <v>139</v>
      </c>
      <c r="E64" s="14">
        <v>0</v>
      </c>
      <c r="F64" s="14"/>
      <c r="G64" s="14">
        <v>2</v>
      </c>
      <c r="H64" s="14">
        <v>2</v>
      </c>
      <c r="J64" s="15">
        <f t="shared" si="1"/>
        <v>0</v>
      </c>
      <c r="K64" s="15" t="str">
        <f ca="1">IF(RIGHT($B64,2)="集計",COUNTBLANK(INDIRECT(ADDRESS($J64,6)):OFFSET($F64,-1,0,1,1)),"")</f>
        <v/>
      </c>
      <c r="L64" s="15" t="str">
        <f t="shared" si="2"/>
        <v>6.3.1</v>
      </c>
      <c r="M64" s="15" t="str">
        <f ca="1">IF(RIGHT($B64,2)="集計",COUNTIF(INDIRECT(ADDRESS($J64,8)):OFFSET($H64,-1,0,1,1),0),"")</f>
        <v/>
      </c>
      <c r="N64" s="15" t="str">
        <f t="shared" si="3"/>
        <v/>
      </c>
    </row>
    <row r="65" spans="2:14">
      <c r="B65" t="s">
        <v>102</v>
      </c>
      <c r="E65" s="14">
        <v>0</v>
      </c>
      <c r="F65" s="14"/>
      <c r="G65" s="14">
        <v>4</v>
      </c>
      <c r="H65" s="14">
        <v>4</v>
      </c>
      <c r="J65" s="15">
        <f t="shared" si="1"/>
        <v>62</v>
      </c>
      <c r="K65" s="15">
        <f ca="1">IF(RIGHT($B65,2)="集計",COUNTBLANK(INDIRECT(ADDRESS($J65,6)):OFFSET($F65,-1,0,1,1)),"")</f>
        <v>3</v>
      </c>
      <c r="L65" s="15">
        <f t="shared" si="2"/>
        <v>0</v>
      </c>
      <c r="M65" s="15">
        <f ca="1">IF(RIGHT($B65,2)="集計",COUNTIF(INDIRECT(ADDRESS($J65,8)):OFFSET($H65,-1,0,1,1),0),"")</f>
        <v>0</v>
      </c>
      <c r="N65" s="15" t="str">
        <f t="shared" si="3"/>
        <v/>
      </c>
    </row>
    <row r="66" spans="2:14">
      <c r="B66">
        <v>7</v>
      </c>
      <c r="C66" t="s">
        <v>105</v>
      </c>
      <c r="D66" t="s">
        <v>140</v>
      </c>
      <c r="E66" s="14">
        <v>0</v>
      </c>
      <c r="F66" s="14"/>
      <c r="G66" s="14">
        <v>5</v>
      </c>
      <c r="H66" s="14">
        <v>5</v>
      </c>
      <c r="J66" s="15">
        <f t="shared" si="1"/>
        <v>0</v>
      </c>
      <c r="K66" s="15" t="str">
        <f ca="1">IF(RIGHT($B66,2)="集計",COUNTBLANK(INDIRECT(ADDRESS($J66,6)):OFFSET($F66,-1,0,1,1)),"")</f>
        <v/>
      </c>
      <c r="L66" s="15" t="str">
        <f t="shared" si="2"/>
        <v>7.1.1</v>
      </c>
      <c r="M66" s="15" t="str">
        <f ca="1">IF(RIGHT($B66,2)="集計",COUNTIF(INDIRECT(ADDRESS($J66,8)):OFFSET($H66,-1,0,1,1),0),"")</f>
        <v/>
      </c>
      <c r="N66" s="15" t="str">
        <f t="shared" si="3"/>
        <v/>
      </c>
    </row>
    <row r="67" spans="2:14">
      <c r="B67" t="s">
        <v>106</v>
      </c>
      <c r="E67" s="14">
        <v>0</v>
      </c>
      <c r="F67" s="14"/>
      <c r="G67" s="14">
        <v>5</v>
      </c>
      <c r="H67" s="14">
        <v>5</v>
      </c>
      <c r="J67" s="15">
        <f t="shared" si="1"/>
        <v>66</v>
      </c>
      <c r="K67" s="15">
        <f ca="1">IF(RIGHT($B67,2)="集計",COUNTBLANK(INDIRECT(ADDRESS($J67,6)):OFFSET($F67,-1,0,1,1)),"")</f>
        <v>1</v>
      </c>
      <c r="L67" s="15">
        <f t="shared" si="2"/>
        <v>0</v>
      </c>
      <c r="M67" s="15">
        <f ca="1">IF(RIGHT($B67,2)="集計",COUNTIF(INDIRECT(ADDRESS($J67,8)):OFFSET($H67,-1,0,1,1),0),"")</f>
        <v>0</v>
      </c>
      <c r="N67" s="15" t="str">
        <f t="shared" si="3"/>
        <v/>
      </c>
    </row>
    <row r="68" spans="2:14">
      <c r="B68">
        <v>8</v>
      </c>
      <c r="C68" t="s">
        <v>108</v>
      </c>
      <c r="D68" t="s">
        <v>141</v>
      </c>
      <c r="E68" s="14">
        <v>0</v>
      </c>
      <c r="F68" s="14"/>
      <c r="G68" s="14">
        <v>1</v>
      </c>
      <c r="H68" s="14">
        <v>1</v>
      </c>
      <c r="J68" s="15">
        <f t="shared" si="1"/>
        <v>0</v>
      </c>
      <c r="K68" s="15" t="str">
        <f ca="1">IF(RIGHT($B68,2)="集計",COUNTBLANK(INDIRECT(ADDRESS($J68,6)):OFFSET($F68,-1,0,1,1)),"")</f>
        <v/>
      </c>
      <c r="L68" s="15" t="str">
        <f t="shared" si="2"/>
        <v>8.3.0</v>
      </c>
      <c r="M68" s="15" t="str">
        <f ca="1">IF(RIGHT($B68,2)="集計",COUNTIF(INDIRECT(ADDRESS($J68,8)):OFFSET($H68,-1,0,1,1),0),"")</f>
        <v/>
      </c>
      <c r="N68" s="15" t="str">
        <f t="shared" si="3"/>
        <v/>
      </c>
    </row>
    <row r="69" spans="2:14">
      <c r="B69" t="s">
        <v>109</v>
      </c>
      <c r="E69" s="14">
        <v>0</v>
      </c>
      <c r="F69" s="14"/>
      <c r="G69" s="14">
        <v>1</v>
      </c>
      <c r="H69" s="14">
        <v>1</v>
      </c>
      <c r="J69" s="15">
        <f t="shared" si="1"/>
        <v>68</v>
      </c>
      <c r="K69" s="15">
        <f ca="1">IF(RIGHT($B69,2)="集計",COUNTBLANK(INDIRECT(ADDRESS($J69,6)):OFFSET($F69,-1,0,1,1)),"")</f>
        <v>1</v>
      </c>
      <c r="L69" s="15">
        <f t="shared" si="2"/>
        <v>0</v>
      </c>
      <c r="M69" s="15">
        <f ca="1">IF(RIGHT($B69,2)="集計",COUNTIF(INDIRECT(ADDRESS($J69,8)):OFFSET($H69,-1,0,1,1),0),"")</f>
        <v>0</v>
      </c>
      <c r="N69" s="15" t="str">
        <f t="shared" si="3"/>
        <v/>
      </c>
    </row>
    <row r="70" spans="2:14">
      <c r="B70" t="s">
        <v>142</v>
      </c>
      <c r="E70" s="14">
        <v>0</v>
      </c>
      <c r="F70" s="14"/>
      <c r="G70" s="14">
        <v>35</v>
      </c>
      <c r="H70" s="14">
        <v>35</v>
      </c>
      <c r="J70" s="15">
        <f t="shared" si="1"/>
        <v>0</v>
      </c>
      <c r="K70" s="15" t="str">
        <f ca="1">IF(RIGHT($B70,2)="集計",COUNTBLANK(INDIRECT(ADDRESS($J70,6)):OFFSET($F70,-1,0,1,1)),"")</f>
        <v/>
      </c>
      <c r="L70" s="15">
        <f t="shared" si="2"/>
        <v>0</v>
      </c>
      <c r="M70" s="15" t="str">
        <f ca="1">IF(RIGHT($B70,2)="集計",COUNTIF(INDIRECT(ADDRESS($J70,8)):OFFSET($H70,-1,0,1,1),0),"")</f>
        <v/>
      </c>
      <c r="N70" s="15" t="str">
        <f t="shared" si="3"/>
        <v/>
      </c>
    </row>
  </sheetData>
  <mergeCells count="9">
    <mergeCell ref="C10:E10"/>
    <mergeCell ref="C11:E11"/>
    <mergeCell ref="C12:E12"/>
    <mergeCell ref="C4:E4"/>
    <mergeCell ref="C5:E5"/>
    <mergeCell ref="C6:E6"/>
    <mergeCell ref="C7:E7"/>
    <mergeCell ref="C8:E8"/>
    <mergeCell ref="C9:E9"/>
  </mergeCells>
  <phoneticPr fontId="1"/>
  <pageMargins left="0.70866141732283472" right="0.70866141732283472" top="0.74803149606299213" bottom="0.74803149606299213" header="0.31496062992125984" footer="0.31496062992125984"/>
  <pageSetup paperSize="9" scale="67" fitToHeight="0" orientation="landscape" r:id="rId2"/>
  <headerFooter>
    <oddFooter>&amp;C&amp;P / &amp;N</oddFooter>
  </headerFooter>
  <rowBreaks count="1" manualBreakCount="1">
    <brk id="10" max="14" man="1"/>
  </rowBreaks>
  <colBreaks count="1" manualBreakCount="1">
    <brk id="15" max="1048575" man="1"/>
  </colBreaks>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pageSetUpPr fitToPage="1"/>
  </sheetPr>
  <dimension ref="A2:AA40"/>
  <sheetViews>
    <sheetView showGridLines="0" showZeros="0" zoomScale="87" zoomScaleNormal="87" zoomScaleSheetLayoutView="77" zoomScalePageLayoutView="51" workbookViewId="0">
      <pane xSplit="7" ySplit="5" topLeftCell="H6" activePane="bottomRight" state="frozen"/>
      <selection activeCell="C1" sqref="C1"/>
      <selection pane="topRight" activeCell="H1" sqref="H1"/>
      <selection pane="bottomLeft" activeCell="C6" sqref="C6"/>
      <selection pane="bottomRight" activeCell="K39" sqref="K39"/>
    </sheetView>
  </sheetViews>
  <sheetFormatPr defaultColWidth="12.125" defaultRowHeight="13.5"/>
  <cols>
    <col min="1" max="1" width="3.5" style="16" hidden="1" customWidth="1"/>
    <col min="2" max="2" width="15.875" style="16" hidden="1" customWidth="1"/>
    <col min="3" max="3" width="7" style="16" bestFit="1" customWidth="1"/>
    <col min="4" max="7" width="4.25" style="16" hidden="1" customWidth="1"/>
    <col min="8" max="8" width="5.5" style="16" bestFit="1" customWidth="1"/>
    <col min="9" max="9" width="10.625" style="16" customWidth="1"/>
    <col min="10" max="10" width="20.625" style="17" customWidth="1"/>
    <col min="11" max="11" width="22.625" style="17" customWidth="1"/>
    <col min="12" max="12" width="36.625" style="17" customWidth="1"/>
    <col min="13" max="13" width="23.625" style="17" customWidth="1"/>
    <col min="14" max="14" width="40.625" style="18" hidden="1" customWidth="1"/>
    <col min="15" max="15" width="13.25" style="16" hidden="1" customWidth="1"/>
    <col min="16" max="16" width="21.875" style="16" bestFit="1" customWidth="1"/>
    <col min="17" max="17" width="5.5" style="16" bestFit="1" customWidth="1"/>
    <col min="18" max="18" width="10.625" style="16" customWidth="1"/>
    <col min="19" max="19" width="7.875" style="16" bestFit="1" customWidth="1"/>
    <col min="20" max="20" width="6" style="16" bestFit="1" customWidth="1"/>
    <col min="21" max="21" width="20.625" style="16" customWidth="1"/>
    <col min="22" max="22" width="7" style="16" hidden="1" customWidth="1"/>
    <col min="23" max="23" width="11.25" style="16" hidden="1" customWidth="1"/>
    <col min="24" max="24" width="10.625" style="16" customWidth="1"/>
    <col min="25" max="25" width="11.875" style="16" hidden="1" customWidth="1"/>
    <col min="26" max="26" width="7.25" style="16" hidden="1" customWidth="1"/>
    <col min="27" max="27" width="8.625" style="16" customWidth="1"/>
    <col min="28" max="28" width="6.75" style="16" customWidth="1"/>
    <col min="29" max="16384" width="12.125" style="16"/>
  </cols>
  <sheetData>
    <row r="2" spans="3:27">
      <c r="I2" s="19" t="str">
        <f>Report!B7</f>
        <v>NewModel</v>
      </c>
      <c r="J2" s="20" t="str">
        <f>Report!C7</f>
        <v>サンプル</v>
      </c>
      <c r="AA2" s="19" t="s">
        <v>143</v>
      </c>
    </row>
    <row r="3" spans="3:27">
      <c r="I3" s="19" t="str">
        <f>Report!B11</f>
        <v>日付</v>
      </c>
      <c r="J3" s="21">
        <f>Report!C11</f>
        <v>42209</v>
      </c>
      <c r="X3" s="16" t="s">
        <v>144</v>
      </c>
      <c r="AA3" s="19">
        <f>SUBTOTAL(9,AA$6:AA$40)</f>
        <v>3</v>
      </c>
    </row>
    <row r="5" spans="3:27">
      <c r="C5" s="22" t="s">
        <v>145</v>
      </c>
      <c r="D5" s="22" t="s">
        <v>84</v>
      </c>
      <c r="E5" s="22" t="s">
        <v>146</v>
      </c>
      <c r="F5" s="22" t="s">
        <v>147</v>
      </c>
      <c r="G5" s="22" t="s">
        <v>148</v>
      </c>
      <c r="H5" s="22" t="s">
        <v>149</v>
      </c>
      <c r="I5" s="22" t="s">
        <v>76</v>
      </c>
      <c r="J5" s="23" t="s">
        <v>150</v>
      </c>
      <c r="K5" s="23" t="s">
        <v>151</v>
      </c>
      <c r="L5" s="23" t="s">
        <v>152</v>
      </c>
      <c r="M5" s="23" t="s">
        <v>153</v>
      </c>
      <c r="N5" s="24" t="s">
        <v>154</v>
      </c>
      <c r="O5" s="22" t="s">
        <v>155</v>
      </c>
      <c r="P5" s="22" t="s">
        <v>156</v>
      </c>
      <c r="Q5" s="22" t="s">
        <v>157</v>
      </c>
      <c r="R5" s="22" t="s">
        <v>158</v>
      </c>
      <c r="S5" s="22" t="s">
        <v>159</v>
      </c>
      <c r="T5" s="22" t="s">
        <v>160</v>
      </c>
      <c r="U5" s="22" t="s">
        <v>110</v>
      </c>
      <c r="V5" s="22" t="s">
        <v>0</v>
      </c>
      <c r="W5" s="22" t="s">
        <v>161</v>
      </c>
      <c r="X5" s="22" t="s">
        <v>162</v>
      </c>
      <c r="Y5" s="22" t="s">
        <v>114</v>
      </c>
      <c r="Z5" s="22" t="s">
        <v>163</v>
      </c>
      <c r="AA5" s="22" t="s">
        <v>164</v>
      </c>
    </row>
    <row r="6" spans="3:27" ht="27">
      <c r="C6" s="25" t="s">
        <v>165</v>
      </c>
      <c r="D6" s="25">
        <v>1</v>
      </c>
      <c r="E6" s="25">
        <v>1</v>
      </c>
      <c r="F6" s="25">
        <v>1</v>
      </c>
      <c r="G6" s="25">
        <v>1</v>
      </c>
      <c r="H6" s="25" t="s">
        <v>166</v>
      </c>
      <c r="I6" s="26" t="s">
        <v>86</v>
      </c>
      <c r="J6" s="27" t="s">
        <v>167</v>
      </c>
      <c r="K6" s="27" t="s">
        <v>168</v>
      </c>
      <c r="L6" s="20" t="s">
        <v>169</v>
      </c>
      <c r="M6" s="20" t="s">
        <v>170</v>
      </c>
      <c r="N6" s="28" t="str">
        <f>IF(LEN(評価指針!$E6)&gt;40,LEFT(評価指針!$E6,40)&amp;"・・・",評価指針!$E6)</f>
        <v>削減率10%</v>
      </c>
      <c r="O6" s="25">
        <v>9</v>
      </c>
      <c r="P6" s="25" t="str">
        <f>IF(ISERROR(VLOOKUP(O6,配点表,2,FALSE)) = TRUE,0, VLOOKUP(O6,配点表,2,FALSE))</f>
        <v>削減率10%</v>
      </c>
      <c r="Q6" s="29"/>
      <c r="R6" s="30"/>
      <c r="S6" s="30"/>
      <c r="T6" s="31">
        <f>IF(AND(ASC($V6)="%",$R6&gt;= 90),配点区分!$F$3,IF(ISBLANK($R6)=TRUE,0,IF($X6&gt;=VLOOKUP($P6,配点表1,5,FALSE),配点区分!$F$3,IF($X6&gt;=VLOOKUP($P6,配点表1,6,FALSE),配点区分!$G$3,IF($X6&gt;=VLOOKUP($P6,配点表1,7,FALSE),配点区分!$H$3,IF($X6&gt;=VLOOKUP($P6,配点表1,8,FALSE),配点区分!$I$3,配点区分!$J$3))))))</f>
        <v>0</v>
      </c>
      <c r="U6" s="29"/>
      <c r="V6" s="25">
        <v>7</v>
      </c>
      <c r="W6" s="2" t="str">
        <f>IF(ISERROR(INDEX(単位分類名,MATCH($V6,単位分類名ID,0),3)) = TRUE,0, INDEX(単位分類名,MATCH($V6,単位分類名ID,0),3))</f>
        <v>電力量</v>
      </c>
      <c r="X6" s="32" t="b">
        <f>IF($Q6="%",$S6-$R6,IF($P6="","",IF(RIGHT($P6,1)="%",IF(LEFT($P6,2)="削減",IF($R6&gt;0,($S6-$R6)*100/$R6),IF(LEFT($P6,2)="向上",IF($R6&gt;0,($R6-$S6)*100/$S6,))),$R6)))</f>
        <v>0</v>
      </c>
      <c r="Y6" s="25" t="str">
        <f>$D6&amp;"."&amp;$E6&amp;"."&amp;$F6</f>
        <v>1.1.1</v>
      </c>
      <c r="Z6" s="25">
        <f>IF(OR($H6="選択",$H6="必須"),1,0)</f>
        <v>1</v>
      </c>
      <c r="AA6" s="31">
        <f>IF(AND($H6="必須",$R6=""),1,0)</f>
        <v>1</v>
      </c>
    </row>
    <row r="7" spans="3:27" ht="27">
      <c r="C7" s="25" t="s">
        <v>171</v>
      </c>
      <c r="D7" s="25">
        <v>1</v>
      </c>
      <c r="E7" s="25">
        <v>1</v>
      </c>
      <c r="F7" s="25">
        <v>1</v>
      </c>
      <c r="G7" s="25">
        <v>3</v>
      </c>
      <c r="H7" s="33" t="s">
        <v>149</v>
      </c>
      <c r="I7" s="34" t="s">
        <v>86</v>
      </c>
      <c r="J7" s="35" t="s">
        <v>167</v>
      </c>
      <c r="K7" s="36" t="s">
        <v>168</v>
      </c>
      <c r="L7" s="20" t="s">
        <v>172</v>
      </c>
      <c r="M7" s="20" t="s">
        <v>173</v>
      </c>
      <c r="N7" s="28" t="str">
        <f>IF(LEN(評価指針!$E7)&gt;40,LEFT(評価指針!$E7,40)&amp;"・・・",評価指針!$E7)</f>
        <v>削減率10%</v>
      </c>
      <c r="O7" s="25">
        <v>9</v>
      </c>
      <c r="P7" s="25" t="str">
        <f>IF(ISERROR(VLOOKUP(O7,配点表,2,FALSE)) = TRUE,0, VLOOKUP(O7,配点表,2,FALSE))</f>
        <v>削減率10%</v>
      </c>
      <c r="Q7" s="29"/>
      <c r="R7" s="30"/>
      <c r="S7" s="30"/>
      <c r="T7" s="31">
        <f>IF(AND(ASC($V7)="%",$R7&gt;= 90),配点区分!$F$3,IF(ISBLANK($R7)=TRUE,0,IF($X7&gt;=VLOOKUP($P7,配点表1,5,FALSE),配点区分!$F$3,IF($X7&gt;=VLOOKUP($P7,配点表1,6,FALSE),配点区分!$G$3,IF($X7&gt;=VLOOKUP($P7,配点表1,7,FALSE),配点区分!$H$3,IF($X7&gt;=VLOOKUP($P7,配点表1,8,FALSE),配点区分!$I$3,配点区分!$J$3))))))</f>
        <v>0</v>
      </c>
      <c r="U7" s="29"/>
      <c r="V7" s="25">
        <v>7</v>
      </c>
      <c r="W7" s="2" t="str">
        <f>IF(ISERROR(INDEX(単位分類名,MATCH($V7,単位分類名ID,0),3)) = TRUE,0, INDEX(単位分類名,MATCH($V7,単位分類名ID,0),3))</f>
        <v>電力量</v>
      </c>
      <c r="X7" s="32" t="b">
        <f t="shared" ref="X7:X40" si="0">IF($Q7="%",$S7-$R7,IF($P7="","",IF(RIGHT($P7,1)="%",IF(LEFT($P7,2)="削減",IF($R7&gt;0,($S7-$R7)*100/$R7),IF(LEFT($P7,2)="向上",IF($R7&gt;0,($R7-$S7)*100/$S7,))),$R7)))</f>
        <v>0</v>
      </c>
      <c r="Y7" s="25" t="str">
        <f t="shared" ref="Y7:Y40" si="1">$D7&amp;"."&amp;$E7&amp;"."&amp;$F7</f>
        <v>1.1.1</v>
      </c>
      <c r="Z7" s="25">
        <f t="shared" ref="Z7:Z40" si="2">IF(OR($H7="選択",$H7="必須"),1,0)</f>
        <v>1</v>
      </c>
      <c r="AA7" s="31">
        <f t="shared" ref="AA7:AA40" si="3">IF(AND($H7="必須",$R7=""),1,0)</f>
        <v>0</v>
      </c>
    </row>
    <row r="8" spans="3:27" ht="27">
      <c r="C8" s="25" t="s">
        <v>174</v>
      </c>
      <c r="D8" s="25">
        <v>1</v>
      </c>
      <c r="E8" s="25">
        <v>1</v>
      </c>
      <c r="F8" s="25">
        <v>2</v>
      </c>
      <c r="G8" s="25">
        <v>1</v>
      </c>
      <c r="H8" s="33" t="s">
        <v>149</v>
      </c>
      <c r="I8" s="34" t="s">
        <v>86</v>
      </c>
      <c r="J8" s="35" t="s">
        <v>167</v>
      </c>
      <c r="K8" s="20" t="s">
        <v>175</v>
      </c>
      <c r="L8" s="20" t="s">
        <v>176</v>
      </c>
      <c r="M8" s="20" t="s">
        <v>177</v>
      </c>
      <c r="N8" s="28" t="str">
        <f>IF(LEN(評価指針!$E8)&gt;40,LEFT(評価指針!$E8,40)&amp;"・・・",評価指針!$E8)</f>
        <v>節湯区分</v>
      </c>
      <c r="O8" s="25">
        <v>15</v>
      </c>
      <c r="P8" s="25" t="str">
        <f>IF(ISERROR(VLOOKUP(O8,配点表,2,FALSE)) = TRUE,0, VLOOKUP(O8,配点表,2,FALSE))</f>
        <v>節湯区分</v>
      </c>
      <c r="Q8" s="29"/>
      <c r="R8" s="30"/>
      <c r="S8" s="37"/>
      <c r="T8" s="31">
        <f>IF(ISBLANK($R8)=TRUE,0,IF($X8=VLOOKUP($P8,配点表1,5,FALSE),配点区分!$F$3,IF($X8=VLOOKUP($P8,配点表1,6,FALSE),配点区分!$G$3,IF($X8=VLOOKUP($P8,配点表1,7,FALSE),配点区分!$H$3,配点区分!$I$3))))</f>
        <v>0</v>
      </c>
      <c r="U8" s="29"/>
      <c r="V8" s="25">
        <v>1</v>
      </c>
      <c r="W8" s="2" t="str">
        <f>IF(ISERROR(INDEX(単位分類名,MATCH($V8,単位分類名ID,0),3)) = TRUE,0, INDEX(単位分類名,MATCH($V8,単位分類名ID,0),3))</f>
        <v>定性値</v>
      </c>
      <c r="X8" s="32">
        <f t="shared" si="0"/>
        <v>0</v>
      </c>
      <c r="Y8" s="25" t="str">
        <f t="shared" si="1"/>
        <v>1.1.2</v>
      </c>
      <c r="Z8" s="25">
        <f t="shared" si="2"/>
        <v>1</v>
      </c>
      <c r="AA8" s="31">
        <f t="shared" si="3"/>
        <v>0</v>
      </c>
    </row>
    <row r="9" spans="3:27" ht="40.5">
      <c r="C9" s="25" t="s">
        <v>178</v>
      </c>
      <c r="D9" s="25">
        <v>1</v>
      </c>
      <c r="E9" s="25">
        <v>1</v>
      </c>
      <c r="F9" s="25">
        <v>3</v>
      </c>
      <c r="G9" s="25">
        <v>1</v>
      </c>
      <c r="H9" s="33" t="s">
        <v>149</v>
      </c>
      <c r="I9" s="34" t="s">
        <v>86</v>
      </c>
      <c r="J9" s="35" t="s">
        <v>167</v>
      </c>
      <c r="K9" s="27" t="s">
        <v>179</v>
      </c>
      <c r="L9" s="20" t="s">
        <v>180</v>
      </c>
      <c r="M9" s="20" t="s">
        <v>181</v>
      </c>
      <c r="N9" s="28" t="str">
        <f>IF(LEN(評価指針!$E9)&gt;40,LEFT(評価指針!$E9,40)&amp;"・・・",評価指針!$E9)</f>
        <v>・製品評価時に、エネルギー消費削減量を計るときは、母数に、生産台数、売上額などを・・・</v>
      </c>
      <c r="O9" s="25">
        <v>22</v>
      </c>
      <c r="P9" s="25" t="str">
        <f>IF(ISERROR(VLOOKUP(O9,配点表,2,FALSE)) = TRUE,0, VLOOKUP(O9,配点表,2,FALSE))</f>
        <v>削減率 5%</v>
      </c>
      <c r="Q9" s="29"/>
      <c r="R9" s="30"/>
      <c r="S9" s="30"/>
      <c r="T9" s="31">
        <f>IF(AND(ASC($V9)="%",$R9&gt;= 90),配点区分!$F$3,IF(ISBLANK($R9)=TRUE,0,IF($X9&gt;=VLOOKUP($P9,配点表1,5,FALSE),配点区分!$F$3,IF($X9&gt;=VLOOKUP($P9,配点表1,6,FALSE),配点区分!$G$3,IF($X9&gt;=VLOOKUP($P9,配点表1,7,FALSE),配点区分!$H$3,IF($X9&gt;=VLOOKUP($P9,配点表1,8,FALSE),配点区分!$I$3,配点区分!$J$3))))))</f>
        <v>0</v>
      </c>
      <c r="U9" s="29"/>
      <c r="V9" s="25">
        <v>7</v>
      </c>
      <c r="W9" s="2" t="str">
        <f>IF(ISERROR(INDEX(単位分類名,MATCH($V9,単位分類名ID,0),3)) = TRUE,0, INDEX(単位分類名,MATCH($V9,単位分類名ID,0),3))</f>
        <v>電力量</v>
      </c>
      <c r="X9" s="32" t="b">
        <f t="shared" si="0"/>
        <v>0</v>
      </c>
      <c r="Y9" s="25" t="str">
        <f t="shared" si="1"/>
        <v>1.1.3</v>
      </c>
      <c r="Z9" s="25">
        <f t="shared" si="2"/>
        <v>1</v>
      </c>
      <c r="AA9" s="31">
        <f t="shared" si="3"/>
        <v>0</v>
      </c>
    </row>
    <row r="10" spans="3:27" ht="40.5">
      <c r="C10" s="25" t="s">
        <v>182</v>
      </c>
      <c r="D10" s="25">
        <v>1</v>
      </c>
      <c r="E10" s="25">
        <v>1</v>
      </c>
      <c r="F10" s="25">
        <v>3</v>
      </c>
      <c r="G10" s="25">
        <v>2</v>
      </c>
      <c r="H10" s="33" t="s">
        <v>149</v>
      </c>
      <c r="I10" s="38" t="s">
        <v>86</v>
      </c>
      <c r="J10" s="36" t="s">
        <v>167</v>
      </c>
      <c r="K10" s="36" t="s">
        <v>179</v>
      </c>
      <c r="L10" s="20" t="s">
        <v>183</v>
      </c>
      <c r="M10" s="20" t="s">
        <v>181</v>
      </c>
      <c r="N10" s="28" t="str">
        <f>IF(LEN(評価指針!$E10)&gt;40,LEFT(評価指針!$E10,40)&amp;"・・・",評価指針!$E10)</f>
        <v>・製品評価時に、エネルギー消費削減量を計るときは、母数に、生産台数、売上額などを・・・</v>
      </c>
      <c r="O10" s="25">
        <v>9</v>
      </c>
      <c r="P10" s="25" t="str">
        <f>IF(ISERROR(VLOOKUP(O10,配点表,2,FALSE)) = TRUE,0, VLOOKUP(O10,配点表,2,FALSE))</f>
        <v>削減率10%</v>
      </c>
      <c r="Q10" s="29"/>
      <c r="R10" s="30"/>
      <c r="S10" s="30"/>
      <c r="T10" s="31">
        <f>IF(AND(ASC($V10)="%",$R10&gt;= 90),配点区分!$F$3,IF(ISBLANK($R10)=TRUE,0,IF($X10&gt;=VLOOKUP($P10,配点表1,5,FALSE),配点区分!$F$3,IF($X10&gt;=VLOOKUP($P10,配点表1,6,FALSE),配点区分!$G$3,IF($X10&gt;=VLOOKUP($P10,配点表1,7,FALSE),配点区分!$H$3,IF($X10&gt;=VLOOKUP($P10,配点表1,8,FALSE),配点区分!$I$3,配点区分!$J$3))))))</f>
        <v>0</v>
      </c>
      <c r="U10" s="29"/>
      <c r="V10" s="25">
        <v>7</v>
      </c>
      <c r="W10" s="2" t="str">
        <f>IF(ISERROR(INDEX(単位分類名,MATCH($V10,単位分類名ID,0),3)) = TRUE,0, INDEX(単位分類名,MATCH($V10,単位分類名ID,0),3))</f>
        <v>電力量</v>
      </c>
      <c r="X10" s="32" t="b">
        <f t="shared" si="0"/>
        <v>0</v>
      </c>
      <c r="Y10" s="25" t="str">
        <f t="shared" si="1"/>
        <v>1.1.3</v>
      </c>
      <c r="Z10" s="25">
        <f t="shared" si="2"/>
        <v>1</v>
      </c>
      <c r="AA10" s="31">
        <f t="shared" si="3"/>
        <v>0</v>
      </c>
    </row>
    <row r="11" spans="3:27" ht="27">
      <c r="C11" s="25" t="s">
        <v>184</v>
      </c>
      <c r="D11" s="25">
        <v>2</v>
      </c>
      <c r="E11" s="25">
        <v>1</v>
      </c>
      <c r="F11" s="25">
        <v>1</v>
      </c>
      <c r="G11" s="25">
        <v>1</v>
      </c>
      <c r="H11" s="33" t="s">
        <v>149</v>
      </c>
      <c r="I11" s="26" t="s">
        <v>89</v>
      </c>
      <c r="J11" s="27" t="s">
        <v>185</v>
      </c>
      <c r="K11" s="27" t="s">
        <v>186</v>
      </c>
      <c r="L11" s="20" t="s">
        <v>187</v>
      </c>
      <c r="M11" s="20" t="s">
        <v>188</v>
      </c>
      <c r="N11" s="28" t="str">
        <f>IF(LEN(評価指針!$E11)&gt;40,LEFT(評価指針!$E11,40)&amp;"・・・",評価指針!$E11)</f>
        <v>・これら項目の評価では、全構成部品の個別素材重量、完成品重量、寸法、体積が把握管・・・</v>
      </c>
      <c r="O11" s="25">
        <v>9</v>
      </c>
      <c r="P11" s="25" t="str">
        <f>IF(ISERROR(VLOOKUP(O11,配点表,2,FALSE)) = TRUE,0, VLOOKUP(O11,配点表,2,FALSE))</f>
        <v>削減率10%</v>
      </c>
      <c r="Q11" s="29"/>
      <c r="R11" s="30"/>
      <c r="S11" s="30"/>
      <c r="T11" s="31">
        <f>IF(AND(ASC($V11)="%",$R11&gt;= 90),配点区分!$F$3,IF(ISBLANK($R11)=TRUE,0,IF($X11&gt;=VLOOKUP($P11,配点表1,5,FALSE),配点区分!$F$3,IF($X11&gt;=VLOOKUP($P11,配点表1,6,FALSE),配点区分!$G$3,IF($X11&gt;=VLOOKUP($P11,配点表1,7,FALSE),配点区分!$H$3,IF($X11&gt;=VLOOKUP($P11,配点表1,8,FALSE),配点区分!$I$3,配点区分!$J$3))))))</f>
        <v>0</v>
      </c>
      <c r="U11" s="29"/>
      <c r="V11" s="25">
        <v>13</v>
      </c>
      <c r="W11" s="2" t="str">
        <f>IF(ISERROR(INDEX(単位分類名,MATCH($V11,単位分類名ID,0),3)) = TRUE,0, INDEX(単位分類名,MATCH($V11,単位分類名ID,0),3))</f>
        <v>重量</v>
      </c>
      <c r="X11" s="32" t="b">
        <f t="shared" si="0"/>
        <v>0</v>
      </c>
      <c r="Y11" s="25" t="str">
        <f t="shared" si="1"/>
        <v>2.1.1</v>
      </c>
      <c r="Z11" s="25">
        <f t="shared" si="2"/>
        <v>1</v>
      </c>
      <c r="AA11" s="31">
        <f t="shared" si="3"/>
        <v>0</v>
      </c>
    </row>
    <row r="12" spans="3:27" ht="27">
      <c r="C12" s="25" t="s">
        <v>189</v>
      </c>
      <c r="D12" s="25">
        <v>2</v>
      </c>
      <c r="E12" s="25">
        <v>1</v>
      </c>
      <c r="F12" s="25">
        <v>1</v>
      </c>
      <c r="G12" s="25">
        <v>2</v>
      </c>
      <c r="H12" s="33" t="s">
        <v>149</v>
      </c>
      <c r="I12" s="34" t="s">
        <v>89</v>
      </c>
      <c r="J12" s="35" t="s">
        <v>185</v>
      </c>
      <c r="K12" s="35" t="s">
        <v>186</v>
      </c>
      <c r="L12" s="20" t="s">
        <v>190</v>
      </c>
      <c r="M12" s="20" t="s">
        <v>191</v>
      </c>
      <c r="N12" s="28" t="str">
        <f>IF(LEN(評価指針!$E12)&gt;40,LEFT(評価指針!$E12,40)&amp;"・・・",評価指針!$E12)</f>
        <v>・これら項目の評価では、全構成部品の個別素材重量、完成品重量、寸法、体積が把握管・・・</v>
      </c>
      <c r="O12" s="25">
        <v>9</v>
      </c>
      <c r="P12" s="25" t="str">
        <f>IF(ISERROR(VLOOKUP(O12,配点表,2,FALSE)) = TRUE,0, VLOOKUP(O12,配点表,2,FALSE))</f>
        <v>削減率10%</v>
      </c>
      <c r="Q12" s="29"/>
      <c r="R12" s="30"/>
      <c r="S12" s="30"/>
      <c r="T12" s="31">
        <f>IF(AND(ASC($V12)="%",$R12&gt;= 90),配点区分!$F$3,IF(ISBLANK($R12)=TRUE,0,IF($X12&gt;=VLOOKUP($P12,配点表1,5,FALSE),配点区分!$F$3,IF($X12&gt;=VLOOKUP($P12,配点表1,6,FALSE),配点区分!$G$3,IF($X12&gt;=VLOOKUP($P12,配点表1,7,FALSE),配点区分!$H$3,IF($X12&gt;=VLOOKUP($P12,配点表1,8,FALSE),配点区分!$I$3,配点区分!$J$3))))))</f>
        <v>0</v>
      </c>
      <c r="U12" s="29"/>
      <c r="V12" s="25">
        <v>2</v>
      </c>
      <c r="W12" s="2" t="str">
        <f>IF(ISERROR(INDEX(単位分類名,MATCH($V12,単位分類名ID,0),3)) = TRUE,0, INDEX(単位分類名,MATCH($V12,単位分類名ID,0),3))</f>
        <v>容積</v>
      </c>
      <c r="X12" s="32" t="b">
        <f t="shared" si="0"/>
        <v>0</v>
      </c>
      <c r="Y12" s="25" t="str">
        <f t="shared" si="1"/>
        <v>2.1.1</v>
      </c>
      <c r="Z12" s="25">
        <f t="shared" si="2"/>
        <v>1</v>
      </c>
      <c r="AA12" s="31">
        <f t="shared" si="3"/>
        <v>0</v>
      </c>
    </row>
    <row r="13" spans="3:27" ht="27">
      <c r="C13" s="25" t="s">
        <v>192</v>
      </c>
      <c r="D13" s="25">
        <v>2</v>
      </c>
      <c r="E13" s="25">
        <v>1</v>
      </c>
      <c r="F13" s="25">
        <v>1</v>
      </c>
      <c r="G13" s="25">
        <v>3</v>
      </c>
      <c r="H13" s="33" t="s">
        <v>149</v>
      </c>
      <c r="I13" s="34" t="s">
        <v>89</v>
      </c>
      <c r="J13" s="35" t="s">
        <v>185</v>
      </c>
      <c r="K13" s="36" t="s">
        <v>186</v>
      </c>
      <c r="L13" s="20" t="s">
        <v>193</v>
      </c>
      <c r="M13" s="20" t="s">
        <v>194</v>
      </c>
      <c r="N13" s="28" t="str">
        <f>IF(LEN(評価指針!$E13)&gt;40,LEFT(評価指針!$E13,40)&amp;"・・・",評価指針!$E13)</f>
        <v>製品全体の重量が変わらない場合も、設計改善（歩留まり、不良率改善等）による材料の・・・</v>
      </c>
      <c r="O13" s="25">
        <v>9</v>
      </c>
      <c r="P13" s="25" t="str">
        <f>IF(ISERROR(VLOOKUP(O13,配点表,2,FALSE)) = TRUE,0, VLOOKUP(O13,配点表,2,FALSE))</f>
        <v>削減率10%</v>
      </c>
      <c r="Q13" s="29"/>
      <c r="R13" s="30"/>
      <c r="S13" s="30"/>
      <c r="T13" s="31">
        <f>IF(AND(ASC($V13)="%",$R13&gt;= 90),配点区分!$F$3,IF(ISBLANK($R13)=TRUE,0,IF($X13&gt;=VLOOKUP($P13,配点表1,5,FALSE),配点区分!$F$3,IF($X13&gt;=VLOOKUP($P13,配点表1,6,FALSE),配点区分!$G$3,IF($X13&gt;=VLOOKUP($P13,配点表1,7,FALSE),配点区分!$H$3,IF($X13&gt;=VLOOKUP($P13,配点表1,8,FALSE),配点区分!$I$3,配点区分!$J$3))))))</f>
        <v>0</v>
      </c>
      <c r="U13" s="29"/>
      <c r="V13" s="25">
        <v>13</v>
      </c>
      <c r="W13" s="2" t="str">
        <f>IF(ISERROR(INDEX(単位分類名,MATCH($V13,単位分類名ID,0),3)) = TRUE,0, INDEX(単位分類名,MATCH($V13,単位分類名ID,0),3))</f>
        <v>重量</v>
      </c>
      <c r="X13" s="32" t="b">
        <f t="shared" si="0"/>
        <v>0</v>
      </c>
      <c r="Y13" s="25" t="str">
        <f t="shared" si="1"/>
        <v>2.1.1</v>
      </c>
      <c r="Z13" s="25">
        <f t="shared" si="2"/>
        <v>1</v>
      </c>
      <c r="AA13" s="31">
        <f t="shared" si="3"/>
        <v>0</v>
      </c>
    </row>
    <row r="14" spans="3:27" ht="54">
      <c r="C14" s="25" t="s">
        <v>195</v>
      </c>
      <c r="D14" s="25">
        <v>2</v>
      </c>
      <c r="E14" s="25">
        <v>1</v>
      </c>
      <c r="F14" s="25">
        <v>2</v>
      </c>
      <c r="G14" s="25">
        <v>1</v>
      </c>
      <c r="H14" s="33" t="s">
        <v>149</v>
      </c>
      <c r="I14" s="34" t="s">
        <v>89</v>
      </c>
      <c r="J14" s="35" t="s">
        <v>185</v>
      </c>
      <c r="K14" s="27" t="s">
        <v>196</v>
      </c>
      <c r="L14" s="20" t="s">
        <v>197</v>
      </c>
      <c r="M14" s="20" t="s">
        <v>198</v>
      </c>
      <c r="N14" s="28" t="str">
        <f>IF(LEN(評価指針!$E14)&gt;40,LEFT(評価指針!$E14,40)&amp;"・・・",評価指針!$E14)</f>
        <v>_x000D_
【標準部品とは】_x000D_
本ガイドラインでは、一般規格部品、複数の製品で使用可能な・・・</v>
      </c>
      <c r="O14" s="25">
        <v>9</v>
      </c>
      <c r="P14" s="25" t="str">
        <f>IF(ISERROR(VLOOKUP(O14,配点表,2,FALSE)) = TRUE,0, VLOOKUP(O14,配点表,2,FALSE))</f>
        <v>削減率10%</v>
      </c>
      <c r="Q14" s="29"/>
      <c r="R14" s="30"/>
      <c r="S14" s="30"/>
      <c r="T14" s="31">
        <f>IF(AND(ASC($V14)="%",$R14&gt;= 90),配点区分!$F$3,IF(ISBLANK($R14)=TRUE,0,IF($X14&gt;=VLOOKUP($P14,配点表1,5,FALSE),配点区分!$F$3,IF($X14&gt;=VLOOKUP($P14,配点表1,6,FALSE),配点区分!$G$3,IF($X14&gt;=VLOOKUP($P14,配点表1,7,FALSE),配点区分!$H$3,IF($X14&gt;=VLOOKUP($P14,配点表1,8,FALSE),配点区分!$I$3,配点区分!$J$3))))))</f>
        <v>0</v>
      </c>
      <c r="U14" s="29"/>
      <c r="V14" s="25">
        <v>8</v>
      </c>
      <c r="W14" s="2" t="str">
        <f>IF(ISERROR(INDEX(単位分類名,MATCH($V14,単位分類名ID,0),3)) = TRUE,0, INDEX(単位分類名,MATCH($V14,単位分類名ID,0),3))</f>
        <v>数量</v>
      </c>
      <c r="X14" s="32" t="b">
        <f t="shared" si="0"/>
        <v>0</v>
      </c>
      <c r="Y14" s="25" t="str">
        <f t="shared" si="1"/>
        <v>2.1.2</v>
      </c>
      <c r="Z14" s="25">
        <f t="shared" si="2"/>
        <v>1</v>
      </c>
      <c r="AA14" s="31">
        <f t="shared" si="3"/>
        <v>0</v>
      </c>
    </row>
    <row r="15" spans="3:27" ht="40.5">
      <c r="C15" s="25" t="s">
        <v>199</v>
      </c>
      <c r="D15" s="25">
        <v>2</v>
      </c>
      <c r="E15" s="25">
        <v>1</v>
      </c>
      <c r="F15" s="25">
        <v>2</v>
      </c>
      <c r="G15" s="25">
        <v>2</v>
      </c>
      <c r="H15" s="33" t="s">
        <v>149</v>
      </c>
      <c r="I15" s="34" t="s">
        <v>89</v>
      </c>
      <c r="J15" s="35" t="s">
        <v>185</v>
      </c>
      <c r="K15" s="36" t="s">
        <v>196</v>
      </c>
      <c r="L15" s="20" t="s">
        <v>200</v>
      </c>
      <c r="M15" s="20" t="s">
        <v>201</v>
      </c>
      <c r="N15" s="28" t="str">
        <f>IF(LEN(評価指針!$E15)&gt;40,LEFT(評価指針!$E15,40)&amp;"・・・",評価指針!$E15)</f>
        <v>_x000D_【標準部品とは】
本ガイドラインでは、一般規格部品、複数の製品で使用可能な部品・・・</v>
      </c>
      <c r="O15" s="25">
        <v>16</v>
      </c>
      <c r="P15" s="25" t="str">
        <f>IF(ISERROR(VLOOKUP(O15,配点表,2,FALSE)) = TRUE,0, VLOOKUP(O15,配点表,2,FALSE))</f>
        <v>向上率10%</v>
      </c>
      <c r="Q15" s="29"/>
      <c r="R15" s="30"/>
      <c r="S15" s="30"/>
      <c r="T15" s="31">
        <f>IF(AND(ASC($V15)="%",$R15&gt;= 90),配点区分!$F$3,IF(ISBLANK($R15)=TRUE,0,IF($X15&gt;=VLOOKUP($P15,配点表1,5,FALSE),配点区分!$F$3,IF($X15&gt;=VLOOKUP($P15,配点表1,6,FALSE),配点区分!$G$3,IF($X15&gt;=VLOOKUP($P15,配点表1,7,FALSE),配点区分!$H$3,IF($X15&gt;=VLOOKUP($P15,配点表1,8,FALSE),配点区分!$I$3,配点区分!$J$3))))))</f>
        <v>0</v>
      </c>
      <c r="U15" s="29"/>
      <c r="V15" s="25">
        <v>9</v>
      </c>
      <c r="W15" s="2" t="str">
        <f>IF(ISERROR(INDEX(単位分類名,MATCH($V15,単位分類名ID,0),3)) = TRUE,0, INDEX(単位分類名,MATCH($V15,単位分類名ID,0),3))</f>
        <v>割合</v>
      </c>
      <c r="X15" s="32">
        <f t="shared" si="0"/>
        <v>0</v>
      </c>
      <c r="Y15" s="25" t="str">
        <f t="shared" si="1"/>
        <v>2.1.2</v>
      </c>
      <c r="Z15" s="25">
        <f t="shared" si="2"/>
        <v>1</v>
      </c>
      <c r="AA15" s="31">
        <f t="shared" si="3"/>
        <v>0</v>
      </c>
    </row>
    <row r="16" spans="3:27" ht="40.5">
      <c r="C16" s="25" t="s">
        <v>202</v>
      </c>
      <c r="D16" s="25">
        <v>2</v>
      </c>
      <c r="E16" s="25">
        <v>1</v>
      </c>
      <c r="F16" s="25">
        <v>3</v>
      </c>
      <c r="G16" s="25">
        <v>1</v>
      </c>
      <c r="H16" s="33" t="s">
        <v>149</v>
      </c>
      <c r="I16" s="34" t="s">
        <v>89</v>
      </c>
      <c r="J16" s="35" t="s">
        <v>185</v>
      </c>
      <c r="K16" s="20" t="s">
        <v>203</v>
      </c>
      <c r="L16" s="20" t="s">
        <v>204</v>
      </c>
      <c r="M16" s="20" t="s">
        <v>205</v>
      </c>
      <c r="N16" s="28" t="str">
        <f>IF(LEN(評価指針!$E16)&gt;40,LEFT(評価指針!$E16,40)&amp;"・・・",評価指針!$E16)</f>
        <v>製造時の部品梱包材及び製品の使い捨て包装材や梱包材を対象とし、重量及び／又は体積・・・</v>
      </c>
      <c r="O16" s="25">
        <v>9</v>
      </c>
      <c r="P16" s="25" t="str">
        <f>IF(ISERROR(VLOOKUP(O16,配点表,2,FALSE)) = TRUE,0, VLOOKUP(O16,配点表,2,FALSE))</f>
        <v>削減率10%</v>
      </c>
      <c r="Q16" s="29"/>
      <c r="R16" s="30"/>
      <c r="S16" s="30"/>
      <c r="T16" s="31">
        <f>IF(AND(ASC($V16)="%",$R16&gt;= 90),配点区分!$F$3,IF(ISBLANK($R16)=TRUE,0,IF($X16&gt;=VLOOKUP($P16,配点表1,5,FALSE),配点区分!$F$3,IF($X16&gt;=VLOOKUP($P16,配点表1,6,FALSE),配点区分!$G$3,IF($X16&gt;=VLOOKUP($P16,配点表1,7,FALSE),配点区分!$H$3,IF($X16&gt;=VLOOKUP($P16,配点表1,8,FALSE),配点区分!$I$3,配点区分!$J$3))))))</f>
        <v>0</v>
      </c>
      <c r="U16" s="29"/>
      <c r="V16" s="25">
        <v>13</v>
      </c>
      <c r="W16" s="2" t="str">
        <f>IF(ISERROR(INDEX(単位分類名,MATCH($V16,単位分類名ID,0),3)) = TRUE,0, INDEX(単位分類名,MATCH($V16,単位分類名ID,0),3))</f>
        <v>重量</v>
      </c>
      <c r="X16" s="32" t="b">
        <f t="shared" si="0"/>
        <v>0</v>
      </c>
      <c r="Y16" s="25" t="str">
        <f t="shared" si="1"/>
        <v>2.1.3</v>
      </c>
      <c r="Z16" s="25">
        <f t="shared" si="2"/>
        <v>1</v>
      </c>
      <c r="AA16" s="31">
        <f t="shared" si="3"/>
        <v>0</v>
      </c>
    </row>
    <row r="17" spans="3:27" ht="40.5">
      <c r="C17" s="25" t="s">
        <v>206</v>
      </c>
      <c r="D17" s="25">
        <v>2</v>
      </c>
      <c r="E17" s="25">
        <v>1</v>
      </c>
      <c r="F17" s="25">
        <v>5</v>
      </c>
      <c r="G17" s="25">
        <v>1</v>
      </c>
      <c r="H17" s="33" t="s">
        <v>149</v>
      </c>
      <c r="I17" s="34" t="s">
        <v>89</v>
      </c>
      <c r="J17" s="35" t="s">
        <v>185</v>
      </c>
      <c r="K17" s="27" t="s">
        <v>207</v>
      </c>
      <c r="L17" s="20" t="s">
        <v>208</v>
      </c>
      <c r="M17" s="20" t="s">
        <v>209</v>
      </c>
      <c r="N17" s="28" t="str">
        <f>IF(LEN(評価指針!$E17)&gt;40,LEFT(評価指針!$E17,40)&amp;"・・・",評価指針!$E17)</f>
        <v>【チェックシートへの記入】
節水機能に関係しない製品は、項目の「必須／選択」欄で・・・</v>
      </c>
      <c r="O17" s="25">
        <v>13</v>
      </c>
      <c r="P17" s="25" t="str">
        <f>IF(ISERROR(VLOOKUP(O17,配点表,2,FALSE)) = TRUE,0, VLOOKUP(O17,配点表,2,FALSE))</f>
        <v>有無</v>
      </c>
      <c r="Q17" s="29"/>
      <c r="R17" s="30"/>
      <c r="S17" s="37"/>
      <c r="T17" s="31">
        <f>IF(ISBLANK($R17)=TRUE,0,IF($X17=VLOOKUP($P17,配点表1,5,FALSE),配点区分!$F$3,IF($X17=VLOOKUP($P17,配点表1,6,FALSE),配点区分!$G$3,IF($X17=VLOOKUP($P17,配点表1,7,FALSE),配点区分!$H$3,配点区分!$I$3))))</f>
        <v>0</v>
      </c>
      <c r="U17" s="29"/>
      <c r="V17" s="25">
        <v>1</v>
      </c>
      <c r="W17" s="2" t="str">
        <f>IF(ISERROR(INDEX(単位分類名,MATCH($V17,単位分類名ID,0),3)) = TRUE,0, INDEX(単位分類名,MATCH($V17,単位分類名ID,0),3))</f>
        <v>定性値</v>
      </c>
      <c r="X17" s="32">
        <f t="shared" si="0"/>
        <v>0</v>
      </c>
      <c r="Y17" s="25" t="str">
        <f t="shared" si="1"/>
        <v>2.1.5</v>
      </c>
      <c r="Z17" s="25">
        <f t="shared" si="2"/>
        <v>1</v>
      </c>
      <c r="AA17" s="31">
        <f t="shared" si="3"/>
        <v>0</v>
      </c>
    </row>
    <row r="18" spans="3:27" ht="40.5">
      <c r="C18" s="25" t="s">
        <v>210</v>
      </c>
      <c r="D18" s="25">
        <v>2</v>
      </c>
      <c r="E18" s="25">
        <v>1</v>
      </c>
      <c r="F18" s="25">
        <v>5</v>
      </c>
      <c r="G18" s="25">
        <v>2</v>
      </c>
      <c r="H18" s="33" t="s">
        <v>149</v>
      </c>
      <c r="I18" s="34" t="s">
        <v>89</v>
      </c>
      <c r="J18" s="35" t="s">
        <v>185</v>
      </c>
      <c r="K18" s="35" t="s">
        <v>207</v>
      </c>
      <c r="L18" s="20" t="s">
        <v>211</v>
      </c>
      <c r="M18" s="20" t="s">
        <v>212</v>
      </c>
      <c r="N18" s="28" t="str">
        <f>IF(LEN(評価指針!$E18)&gt;40,LEFT(評価指針!$E18,40)&amp;"・・・",評価指針!$E18)</f>
        <v>・この項目は、エネルギー消費ではなく資源消費の観点で評価する。
・漏れの測定方法・・・</v>
      </c>
      <c r="O18" s="25">
        <v>9</v>
      </c>
      <c r="P18" s="25" t="str">
        <f>IF(ISERROR(VLOOKUP(O18,配点表,2,FALSE)) = TRUE,0, VLOOKUP(O18,配点表,2,FALSE))</f>
        <v>削減率10%</v>
      </c>
      <c r="Q18" s="29"/>
      <c r="R18" s="30"/>
      <c r="S18" s="30"/>
      <c r="T18" s="31">
        <f>IF(AND(ASC($V18)="%",$R18&gt;= 90),配点区分!$F$3,IF(ISBLANK($R18)=TRUE,0,IF($X18&gt;=VLOOKUP($P18,配点表1,5,FALSE),配点区分!$F$3,IF($X18&gt;=VLOOKUP($P18,配点表1,6,FALSE),配点区分!$G$3,IF($X18&gt;=VLOOKUP($P18,配点表1,7,FALSE),配点区分!$H$3,IF($X18&gt;=VLOOKUP($P18,配点表1,8,FALSE),配点区分!$I$3,配点区分!$J$3))))))</f>
        <v>0</v>
      </c>
      <c r="U18" s="29"/>
      <c r="V18" s="25">
        <v>4</v>
      </c>
      <c r="W18" s="2" t="str">
        <f>IF(ISERROR(INDEX(単位分類名,MATCH($V18,単位分類名ID,0),3)) = TRUE,0, INDEX(単位分類名,MATCH($V18,単位分類名ID,0),3))</f>
        <v>弁座漏れ量</v>
      </c>
      <c r="X18" s="32" t="b">
        <f t="shared" si="0"/>
        <v>0</v>
      </c>
      <c r="Y18" s="25" t="str">
        <f t="shared" si="1"/>
        <v>2.1.5</v>
      </c>
      <c r="Z18" s="25">
        <f t="shared" si="2"/>
        <v>1</v>
      </c>
      <c r="AA18" s="31">
        <f t="shared" si="3"/>
        <v>0</v>
      </c>
    </row>
    <row r="19" spans="3:27" ht="54">
      <c r="C19" s="25" t="s">
        <v>213</v>
      </c>
      <c r="D19" s="25">
        <v>2</v>
      </c>
      <c r="E19" s="25">
        <v>1</v>
      </c>
      <c r="F19" s="25">
        <v>5</v>
      </c>
      <c r="G19" s="25">
        <v>3</v>
      </c>
      <c r="H19" s="33" t="s">
        <v>149</v>
      </c>
      <c r="I19" s="34" t="s">
        <v>89</v>
      </c>
      <c r="J19" s="36" t="s">
        <v>185</v>
      </c>
      <c r="K19" s="36" t="s">
        <v>207</v>
      </c>
      <c r="L19" s="20" t="s">
        <v>214</v>
      </c>
      <c r="M19" s="20" t="s">
        <v>215</v>
      </c>
      <c r="N19" s="28" t="str">
        <f>IF(LEN(評価指針!$E19)&gt;40,LEFT(評価指針!$E19,40)&amp;"・・・",評価指針!$E19)</f>
        <v>【チェックシートへの記入】
漏れ量の具体的数値を入力する。または、接合部（駆動部・・・</v>
      </c>
      <c r="O19" s="25">
        <v>9</v>
      </c>
      <c r="P19" s="25" t="str">
        <f>IF(ISERROR(VLOOKUP(O19,配点表,2,FALSE)) = TRUE,0, VLOOKUP(O19,配点表,2,FALSE))</f>
        <v>削減率10%</v>
      </c>
      <c r="Q19" s="29"/>
      <c r="R19" s="30"/>
      <c r="S19" s="30"/>
      <c r="T19" s="31">
        <f>IF(AND(ASC($V19)="%",$R19&gt;= 90),配点区分!$F$3,IF(ISBLANK($R19)=TRUE,0,IF($X19&gt;=VLOOKUP($P19,配点表1,5,FALSE),配点区分!$F$3,IF($X19&gt;=VLOOKUP($P19,配点表1,6,FALSE),配点区分!$G$3,IF($X19&gt;=VLOOKUP($P19,配点表1,7,FALSE),配点区分!$H$3,IF($X19&gt;=VLOOKUP($P19,配点表1,8,FALSE),配点区分!$I$3,配点区分!$J$3))))))</f>
        <v>0</v>
      </c>
      <c r="U19" s="29"/>
      <c r="V19" s="25">
        <v>1</v>
      </c>
      <c r="W19" s="2" t="str">
        <f>IF(ISERROR(INDEX(単位分類名,MATCH($V19,単位分類名ID,0),3)) = TRUE,0, INDEX(単位分類名,MATCH($V19,単位分類名ID,0),3))</f>
        <v>定性値</v>
      </c>
      <c r="X19" s="32" t="b">
        <f t="shared" si="0"/>
        <v>0</v>
      </c>
      <c r="Y19" s="25" t="str">
        <f t="shared" si="1"/>
        <v>2.1.5</v>
      </c>
      <c r="Z19" s="25">
        <f t="shared" si="2"/>
        <v>1</v>
      </c>
      <c r="AA19" s="31">
        <f t="shared" si="3"/>
        <v>0</v>
      </c>
    </row>
    <row r="20" spans="3:27" ht="40.5">
      <c r="C20" s="25" t="s">
        <v>216</v>
      </c>
      <c r="D20" s="25">
        <v>2</v>
      </c>
      <c r="E20" s="25">
        <v>2</v>
      </c>
      <c r="F20" s="25">
        <v>1</v>
      </c>
      <c r="G20" s="25">
        <v>1</v>
      </c>
      <c r="H20" s="33" t="s">
        <v>149</v>
      </c>
      <c r="I20" s="34" t="s">
        <v>89</v>
      </c>
      <c r="J20" s="20" t="s">
        <v>217</v>
      </c>
      <c r="K20" s="20" t="s">
        <v>218</v>
      </c>
      <c r="L20" s="20" t="s">
        <v>219</v>
      </c>
      <c r="M20" s="20" t="s">
        <v>220</v>
      </c>
      <c r="N20" s="28" t="str">
        <f>IF(LEN(評価指針!$E20)&gt;40,LEFT(評価指針!$E20,40)&amp;"・・・",評価指針!$E20)</f>
        <v>以下の点を考慮に入れて寿命又は耐久性を計る評価方法を明確に定め、評価を行う。
①・・・</v>
      </c>
      <c r="O20" s="25">
        <v>16</v>
      </c>
      <c r="P20" s="25" t="str">
        <f>IF(ISERROR(VLOOKUP(O20,配点表,2,FALSE)) = TRUE,0, VLOOKUP(O20,配点表,2,FALSE))</f>
        <v>向上率10%</v>
      </c>
      <c r="Q20" s="29"/>
      <c r="R20" s="30"/>
      <c r="S20" s="30"/>
      <c r="T20" s="31">
        <f>IF(AND(ASC($V20)="%",$R20&gt;= 90),配点区分!$F$3,IF(ISBLANK($R20)=TRUE,0,IF($X20&gt;=VLOOKUP($P20,配点表1,5,FALSE),配点区分!$F$3,IF($X20&gt;=VLOOKUP($P20,配点表1,6,FALSE),配点区分!$G$3,IF($X20&gt;=VLOOKUP($P20,配点表1,7,FALSE),配点区分!$H$3,IF($X20&gt;=VLOOKUP($P20,配点表1,8,FALSE),配点区分!$I$3,配点区分!$J$3))))))</f>
        <v>0</v>
      </c>
      <c r="U20" s="29"/>
      <c r="V20" s="25">
        <v>10</v>
      </c>
      <c r="W20" s="2" t="str">
        <f>IF(ISERROR(INDEX(単位分類名,MATCH($V20,単位分類名ID,0),3)) = TRUE,0, INDEX(単位分類名,MATCH($V20,単位分類名ID,0),3))</f>
        <v>時間</v>
      </c>
      <c r="X20" s="32">
        <f t="shared" si="0"/>
        <v>0</v>
      </c>
      <c r="Y20" s="25" t="str">
        <f t="shared" si="1"/>
        <v>2.2.1</v>
      </c>
      <c r="Z20" s="25">
        <f t="shared" si="2"/>
        <v>1</v>
      </c>
      <c r="AA20" s="31">
        <f t="shared" si="3"/>
        <v>0</v>
      </c>
    </row>
    <row r="21" spans="3:27" ht="40.5">
      <c r="C21" s="25" t="s">
        <v>221</v>
      </c>
      <c r="D21" s="25">
        <v>2</v>
      </c>
      <c r="E21" s="25">
        <v>3</v>
      </c>
      <c r="F21" s="25">
        <v>1</v>
      </c>
      <c r="G21" s="25">
        <v>1</v>
      </c>
      <c r="H21" s="33" t="s">
        <v>149</v>
      </c>
      <c r="I21" s="34" t="s">
        <v>89</v>
      </c>
      <c r="J21" s="27" t="s">
        <v>222</v>
      </c>
      <c r="K21" s="20" t="s">
        <v>223</v>
      </c>
      <c r="L21" s="20" t="s">
        <v>224</v>
      </c>
      <c r="M21" s="20" t="s">
        <v>225</v>
      </c>
      <c r="N21" s="28" t="str">
        <f>IF(LEN(評価指針!$E21)&gt;40,LEFT(評価指針!$E21,40)&amp;"・・・",評価指針!$E21)</f>
        <v>・上記例を参考に、削減対象廃棄物とその削減目標値は事業者で決める。
・評価範囲は・・・</v>
      </c>
      <c r="O21" s="25">
        <v>22</v>
      </c>
      <c r="P21" s="25" t="str">
        <f>IF(ISERROR(VLOOKUP(O21,配点表,2,FALSE)) = TRUE,0, VLOOKUP(O21,配点表,2,FALSE))</f>
        <v>削減率 5%</v>
      </c>
      <c r="Q21" s="29"/>
      <c r="R21" s="30"/>
      <c r="S21" s="30"/>
      <c r="T21" s="31">
        <f>IF(AND(ASC($V21)="%",$R21&gt;= 90),配点区分!$F$3,IF(ISBLANK($R21)=TRUE,0,IF($X21&gt;=VLOOKUP($P21,配点表1,5,FALSE),配点区分!$F$3,IF($X21&gt;=VLOOKUP($P21,配点表1,6,FALSE),配点区分!$G$3,IF($X21&gt;=VLOOKUP($P21,配点表1,7,FALSE),配点区分!$H$3,IF($X21&gt;=VLOOKUP($P21,配点表1,8,FALSE),配点区分!$I$3,配点区分!$J$3))))))</f>
        <v>0</v>
      </c>
      <c r="U21" s="29"/>
      <c r="V21" s="25">
        <v>13</v>
      </c>
      <c r="W21" s="2" t="str">
        <f>IF(ISERROR(INDEX(単位分類名,MATCH($V21,単位分類名ID,0),3)) = TRUE,0, INDEX(単位分類名,MATCH($V21,単位分類名ID,0),3))</f>
        <v>重量</v>
      </c>
      <c r="X21" s="32" t="b">
        <f t="shared" si="0"/>
        <v>0</v>
      </c>
      <c r="Y21" s="25" t="str">
        <f t="shared" si="1"/>
        <v>2.3.1</v>
      </c>
      <c r="Z21" s="25">
        <f t="shared" si="2"/>
        <v>1</v>
      </c>
      <c r="AA21" s="31">
        <f t="shared" si="3"/>
        <v>0</v>
      </c>
    </row>
    <row r="22" spans="3:27" ht="40.5">
      <c r="C22" s="25" t="s">
        <v>226</v>
      </c>
      <c r="D22" s="25">
        <v>2</v>
      </c>
      <c r="E22" s="25">
        <v>3</v>
      </c>
      <c r="F22" s="25">
        <v>2</v>
      </c>
      <c r="G22" s="25">
        <v>1</v>
      </c>
      <c r="H22" s="33" t="s">
        <v>149</v>
      </c>
      <c r="I22" s="38" t="s">
        <v>89</v>
      </c>
      <c r="J22" s="36" t="s">
        <v>222</v>
      </c>
      <c r="K22" s="20" t="s">
        <v>227</v>
      </c>
      <c r="L22" s="20" t="s">
        <v>228</v>
      </c>
      <c r="M22" s="20" t="s">
        <v>229</v>
      </c>
      <c r="N22" s="28" t="str">
        <f>IF(LEN(評価指針!$E22)&gt;40,LEFT(評価指針!$E22,40)&amp;"・・・",評価指針!$E22)</f>
        <v>・消費量は消耗品の耐用寿命、交換周期で置き換えて目標値設定してもよい。
・製品評・・・</v>
      </c>
      <c r="O22" s="25">
        <v>9</v>
      </c>
      <c r="P22" s="25" t="str">
        <f>IF(ISERROR(VLOOKUP(O22,配点表,2,FALSE)) = TRUE,0, VLOOKUP(O22,配点表,2,FALSE))</f>
        <v>削減率10%</v>
      </c>
      <c r="Q22" s="29"/>
      <c r="R22" s="30"/>
      <c r="S22" s="30"/>
      <c r="T22" s="31">
        <f>IF(AND(ASC($V22)="%",$R22&gt;= 90),配点区分!$F$3,IF(ISBLANK($R22)=TRUE,0,IF($X22&gt;=VLOOKUP($P22,配点表1,5,FALSE),配点区分!$F$3,IF($X22&gt;=VLOOKUP($P22,配点表1,6,FALSE),配点区分!$G$3,IF($X22&gt;=VLOOKUP($P22,配点表1,7,FALSE),配点区分!$H$3,IF($X22&gt;=VLOOKUP($P22,配点表1,8,FALSE),配点区分!$I$3,配点区分!$J$3))))))</f>
        <v>0</v>
      </c>
      <c r="U22" s="29"/>
      <c r="V22" s="25">
        <v>13</v>
      </c>
      <c r="W22" s="2" t="str">
        <f>IF(ISERROR(INDEX(単位分類名,MATCH($V22,単位分類名ID,0),3)) = TRUE,0, INDEX(単位分類名,MATCH($V22,単位分類名ID,0),3))</f>
        <v>重量</v>
      </c>
      <c r="X22" s="32" t="b">
        <f t="shared" si="0"/>
        <v>0</v>
      </c>
      <c r="Y22" s="25" t="str">
        <f t="shared" si="1"/>
        <v>2.3.2</v>
      </c>
      <c r="Z22" s="25">
        <f t="shared" si="2"/>
        <v>1</v>
      </c>
      <c r="AA22" s="31">
        <f t="shared" si="3"/>
        <v>0</v>
      </c>
    </row>
    <row r="23" spans="3:27" ht="40.5">
      <c r="C23" s="25" t="s">
        <v>230</v>
      </c>
      <c r="D23" s="25">
        <v>3</v>
      </c>
      <c r="E23" s="25">
        <v>1</v>
      </c>
      <c r="F23" s="25">
        <v>1</v>
      </c>
      <c r="G23" s="25">
        <v>1</v>
      </c>
      <c r="H23" s="33" t="s">
        <v>149</v>
      </c>
      <c r="I23" s="26" t="s">
        <v>93</v>
      </c>
      <c r="J23" s="27" t="s">
        <v>231</v>
      </c>
      <c r="K23" s="20" t="s">
        <v>232</v>
      </c>
      <c r="L23" s="20" t="s">
        <v>232</v>
      </c>
      <c r="M23" s="20" t="s">
        <v>233</v>
      </c>
      <c r="N23" s="28" t="str">
        <f>IF(LEN(評価指針!$E23)&gt;40,LEFT(評価指針!$E23,40)&amp;"・・・",評価指針!$E23)</f>
        <v>【交換可能部品とは】
ユーザー、メンテナンス担当者が、全体を交換せずにその部品の・・・</v>
      </c>
      <c r="O23" s="25">
        <v>16</v>
      </c>
      <c r="P23" s="25" t="str">
        <f>IF(ISERROR(VLOOKUP(O23,配点表,2,FALSE)) = TRUE,0, VLOOKUP(O23,配点表,2,FALSE))</f>
        <v>向上率10%</v>
      </c>
      <c r="Q23" s="29"/>
      <c r="R23" s="30"/>
      <c r="S23" s="30"/>
      <c r="T23" s="31">
        <f>IF(AND(ASC($V23)="%",$R23&gt;= 90),配点区分!$F$3,IF(ISBLANK($R23)=TRUE,0,IF($X23&gt;=VLOOKUP($P23,配点表1,5,FALSE),配点区分!$F$3,IF($X23&gt;=VLOOKUP($P23,配点表1,6,FALSE),配点区分!$G$3,IF($X23&gt;=VLOOKUP($P23,配点表1,7,FALSE),配点区分!$H$3,IF($X23&gt;=VLOOKUP($P23,配点表1,8,FALSE),配点区分!$I$3,配点区分!$J$3))))))</f>
        <v>0</v>
      </c>
      <c r="U23" s="29"/>
      <c r="V23" s="25">
        <v>8</v>
      </c>
      <c r="W23" s="2" t="str">
        <f>IF(ISERROR(INDEX(単位分類名,MATCH($V23,単位分類名ID,0),3)) = TRUE,0, INDEX(単位分類名,MATCH($V23,単位分類名ID,0),3))</f>
        <v>数量</v>
      </c>
      <c r="X23" s="32">
        <f t="shared" si="0"/>
        <v>0</v>
      </c>
      <c r="Y23" s="25" t="str">
        <f t="shared" si="1"/>
        <v>3.1.1</v>
      </c>
      <c r="Z23" s="25">
        <f t="shared" si="2"/>
        <v>1</v>
      </c>
      <c r="AA23" s="31">
        <f t="shared" si="3"/>
        <v>0</v>
      </c>
    </row>
    <row r="24" spans="3:27" ht="40.5">
      <c r="C24" s="25" t="s">
        <v>234</v>
      </c>
      <c r="D24" s="25">
        <v>3</v>
      </c>
      <c r="E24" s="25">
        <v>1</v>
      </c>
      <c r="F24" s="25">
        <v>2</v>
      </c>
      <c r="G24" s="25">
        <v>1</v>
      </c>
      <c r="H24" s="33" t="s">
        <v>149</v>
      </c>
      <c r="I24" s="34" t="s">
        <v>93</v>
      </c>
      <c r="J24" s="35" t="s">
        <v>231</v>
      </c>
      <c r="K24" s="27" t="s">
        <v>235</v>
      </c>
      <c r="L24" s="20" t="s">
        <v>236</v>
      </c>
      <c r="M24" s="20" t="s">
        <v>237</v>
      </c>
      <c r="N24" s="28" t="str">
        <f>IF(LEN(評価指針!$E24)&gt;40,LEFT(評価指針!$E24,40)&amp;"・・・",評価指針!$E24)</f>
        <v>・製品設計、生産段階での部品標準化の一部としてとらえられるが、保守交換部品に絞っ・・・</v>
      </c>
      <c r="O24" s="25">
        <v>16</v>
      </c>
      <c r="P24" s="25" t="str">
        <f>IF(ISERROR(VLOOKUP(O24,配点表,2,FALSE)) = TRUE,0, VLOOKUP(O24,配点表,2,FALSE))</f>
        <v>向上率10%</v>
      </c>
      <c r="Q24" s="29"/>
      <c r="R24" s="30"/>
      <c r="S24" s="30"/>
      <c r="T24" s="31">
        <f>IF(AND(ASC($V24)="%",$R24&gt;= 90),配点区分!$F$3,IF(ISBLANK($R24)=TRUE,0,IF($X24&gt;=VLOOKUP($P24,配点表1,5,FALSE),配点区分!$F$3,IF($X24&gt;=VLOOKUP($P24,配点表1,6,FALSE),配点区分!$G$3,IF($X24&gt;=VLOOKUP($P24,配点表1,7,FALSE),配点区分!$H$3,IF($X24&gt;=VLOOKUP($P24,配点表1,8,FALSE),配点区分!$I$3,配点区分!$J$3))))))</f>
        <v>0</v>
      </c>
      <c r="U24" s="29"/>
      <c r="V24" s="25">
        <v>9</v>
      </c>
      <c r="W24" s="2" t="str">
        <f>IF(ISERROR(INDEX(単位分類名,MATCH($V24,単位分類名ID,0),3)) = TRUE,0, INDEX(単位分類名,MATCH($V24,単位分類名ID,0),3))</f>
        <v>割合</v>
      </c>
      <c r="X24" s="32">
        <f t="shared" si="0"/>
        <v>0</v>
      </c>
      <c r="Y24" s="25" t="str">
        <f t="shared" si="1"/>
        <v>3.1.2</v>
      </c>
      <c r="Z24" s="25">
        <f t="shared" si="2"/>
        <v>1</v>
      </c>
      <c r="AA24" s="31">
        <f t="shared" si="3"/>
        <v>0</v>
      </c>
    </row>
    <row r="25" spans="3:27" ht="54">
      <c r="C25" s="25" t="s">
        <v>238</v>
      </c>
      <c r="D25" s="25">
        <v>3</v>
      </c>
      <c r="E25" s="25">
        <v>1</v>
      </c>
      <c r="F25" s="25">
        <v>2</v>
      </c>
      <c r="G25" s="25">
        <v>2</v>
      </c>
      <c r="H25" s="33" t="s">
        <v>149</v>
      </c>
      <c r="I25" s="38" t="s">
        <v>93</v>
      </c>
      <c r="J25" s="36" t="s">
        <v>231</v>
      </c>
      <c r="K25" s="36" t="s">
        <v>235</v>
      </c>
      <c r="L25" s="20" t="s">
        <v>239</v>
      </c>
      <c r="M25" s="20" t="s">
        <v>240</v>
      </c>
      <c r="N25" s="28" t="str">
        <f>IF(LEN(評価指針!$E25)&gt;40,LEFT(評価指針!$E25,40)&amp;"・・・",評価指針!$E25)</f>
        <v>・部品、モジュールなどの交換が容易に出来るよう、工具レス、少ない工具、特殊工具使・・・</v>
      </c>
      <c r="O25" s="25">
        <v>9</v>
      </c>
      <c r="P25" s="25" t="str">
        <f>IF(ISERROR(VLOOKUP(O25,配点表,2,FALSE)) = TRUE,0, VLOOKUP(O25,配点表,2,FALSE))</f>
        <v>削減率10%</v>
      </c>
      <c r="Q25" s="29"/>
      <c r="R25" s="30"/>
      <c r="S25" s="30"/>
      <c r="T25" s="31">
        <f>IF(AND(ASC($V25)="%",$R25&gt;= 90),配点区分!$F$3,IF(ISBLANK($R25)=TRUE,0,IF($X25&gt;=VLOOKUP($P25,配点表1,5,FALSE),配点区分!$F$3,IF($X25&gt;=VLOOKUP($P25,配点表1,6,FALSE),配点区分!$G$3,IF($X25&gt;=VLOOKUP($P25,配点表1,7,FALSE),配点区分!$H$3,IF($X25&gt;=VLOOKUP($P25,配点表1,8,FALSE),配点区分!$I$3,配点区分!$J$3))))))</f>
        <v>0</v>
      </c>
      <c r="U25" s="29"/>
      <c r="V25" s="25">
        <v>10</v>
      </c>
      <c r="W25" s="2" t="str">
        <f>IF(ISERROR(INDEX(単位分類名,MATCH($V25,単位分類名ID,0),3)) = TRUE,0, INDEX(単位分類名,MATCH($V25,単位分類名ID,0),3))</f>
        <v>時間</v>
      </c>
      <c r="X25" s="32" t="b">
        <f t="shared" si="0"/>
        <v>0</v>
      </c>
      <c r="Y25" s="25" t="str">
        <f t="shared" si="1"/>
        <v>3.1.2</v>
      </c>
      <c r="Z25" s="25">
        <f t="shared" si="2"/>
        <v>1</v>
      </c>
      <c r="AA25" s="31">
        <f t="shared" si="3"/>
        <v>0</v>
      </c>
    </row>
    <row r="26" spans="3:27" ht="67.5">
      <c r="C26" s="25" t="s">
        <v>241</v>
      </c>
      <c r="D26" s="25">
        <v>4</v>
      </c>
      <c r="E26" s="25">
        <v>1</v>
      </c>
      <c r="F26" s="25">
        <v>1</v>
      </c>
      <c r="G26" s="25">
        <v>1</v>
      </c>
      <c r="H26" s="33" t="s">
        <v>149</v>
      </c>
      <c r="I26" s="26" t="s">
        <v>97</v>
      </c>
      <c r="J26" s="27" t="s">
        <v>242</v>
      </c>
      <c r="K26" s="27" t="s">
        <v>243</v>
      </c>
      <c r="L26" s="20" t="s">
        <v>244</v>
      </c>
      <c r="M26" s="20" t="s">
        <v>245</v>
      </c>
      <c r="N26" s="28" t="str">
        <f>IF(LEN(評価指針!$E26)&gt;40,LEFT(評価指針!$E26,40)&amp;"・・・",評価指針!$E26)</f>
        <v>・管理対象とするリサイクル可能な材料及び／又はリサイクルされた材料は、事業者にて・・・</v>
      </c>
      <c r="O26" s="25">
        <v>16</v>
      </c>
      <c r="P26" s="25" t="str">
        <f>IF(ISERROR(VLOOKUP(O26,配点表,2,FALSE)) = TRUE,0, VLOOKUP(O26,配点表,2,FALSE))</f>
        <v>向上率10%</v>
      </c>
      <c r="Q26" s="29"/>
      <c r="R26" s="30"/>
      <c r="S26" s="30"/>
      <c r="T26" s="31">
        <f>IF(AND(ASC($V26)="%",$R26&gt;= 90),配点区分!$F$3,IF(ISBLANK($R26)=TRUE,0,IF($X26&gt;=VLOOKUP($P26,配点表1,5,FALSE),配点区分!$F$3,IF($X26&gt;=VLOOKUP($P26,配点表1,6,FALSE),配点区分!$G$3,IF($X26&gt;=VLOOKUP($P26,配点表1,7,FALSE),配点区分!$H$3,IF($X26&gt;=VLOOKUP($P26,配点表1,8,FALSE),配点区分!$I$3,配点区分!$J$3))))))</f>
        <v>0</v>
      </c>
      <c r="U26" s="29"/>
      <c r="V26" s="25">
        <v>9</v>
      </c>
      <c r="W26" s="2" t="str">
        <f>IF(ISERROR(INDEX(単位分類名,MATCH($V26,単位分類名ID,0),3)) = TRUE,0, INDEX(単位分類名,MATCH($V26,単位分類名ID,0),3))</f>
        <v>割合</v>
      </c>
      <c r="X26" s="32">
        <f t="shared" si="0"/>
        <v>0</v>
      </c>
      <c r="Y26" s="25" t="str">
        <f t="shared" si="1"/>
        <v>4.1.1</v>
      </c>
      <c r="Z26" s="25">
        <f t="shared" si="2"/>
        <v>1</v>
      </c>
      <c r="AA26" s="31">
        <f t="shared" si="3"/>
        <v>0</v>
      </c>
    </row>
    <row r="27" spans="3:27" ht="67.5">
      <c r="C27" s="25" t="s">
        <v>246</v>
      </c>
      <c r="D27" s="25">
        <v>4</v>
      </c>
      <c r="E27" s="25">
        <v>1</v>
      </c>
      <c r="F27" s="25">
        <v>1</v>
      </c>
      <c r="G27" s="25">
        <v>2</v>
      </c>
      <c r="H27" s="33" t="s">
        <v>149</v>
      </c>
      <c r="I27" s="34" t="s">
        <v>97</v>
      </c>
      <c r="J27" s="36" t="s">
        <v>242</v>
      </c>
      <c r="K27" s="36" t="s">
        <v>243</v>
      </c>
      <c r="L27" s="20" t="s">
        <v>247</v>
      </c>
      <c r="M27" s="20" t="s">
        <v>248</v>
      </c>
      <c r="N27" s="28" t="str">
        <f>IF(LEN(評価指針!$E27)&gt;40,LEFT(評価指針!$E27,40)&amp;"・・・",評価指針!$E27)</f>
        <v>・管理対象とするリサイクル可能な材料及び／又はリサイクルされた材料は、事業者にて・・・</v>
      </c>
      <c r="O27" s="25">
        <v>16</v>
      </c>
      <c r="P27" s="25" t="str">
        <f>IF(ISERROR(VLOOKUP(O27,配点表,2,FALSE)) = TRUE,0, VLOOKUP(O27,配点表,2,FALSE))</f>
        <v>向上率10%</v>
      </c>
      <c r="Q27" s="29"/>
      <c r="R27" s="30"/>
      <c r="S27" s="30"/>
      <c r="T27" s="31">
        <f>IF(AND(ASC($V27)="%",$R27&gt;= 90),配点区分!$F$3,IF(ISBLANK($R27)=TRUE,0,IF($X27&gt;=VLOOKUP($P27,配点表1,5,FALSE),配点区分!$F$3,IF($X27&gt;=VLOOKUP($P27,配点表1,6,FALSE),配点区分!$G$3,IF($X27&gt;=VLOOKUP($P27,配点表1,7,FALSE),配点区分!$H$3,IF($X27&gt;=VLOOKUP($P27,配点表1,8,FALSE),配点区分!$I$3,配点区分!$J$3))))))</f>
        <v>0</v>
      </c>
      <c r="U27" s="29"/>
      <c r="V27" s="25">
        <v>9</v>
      </c>
      <c r="W27" s="2" t="str">
        <f>IF(ISERROR(INDEX(単位分類名,MATCH($V27,単位分類名ID,0),3)) = TRUE,0, INDEX(単位分類名,MATCH($V27,単位分類名ID,0),3))</f>
        <v>割合</v>
      </c>
      <c r="X27" s="32">
        <f t="shared" si="0"/>
        <v>0</v>
      </c>
      <c r="Y27" s="25" t="str">
        <f t="shared" si="1"/>
        <v>4.1.1</v>
      </c>
      <c r="Z27" s="25">
        <f t="shared" si="2"/>
        <v>1</v>
      </c>
      <c r="AA27" s="31">
        <f t="shared" si="3"/>
        <v>0</v>
      </c>
    </row>
    <row r="28" spans="3:27" ht="229.5">
      <c r="C28" s="25" t="s">
        <v>249</v>
      </c>
      <c r="D28" s="25">
        <v>4</v>
      </c>
      <c r="E28" s="25">
        <v>2</v>
      </c>
      <c r="F28" s="25">
        <v>2</v>
      </c>
      <c r="G28" s="25">
        <v>1</v>
      </c>
      <c r="H28" s="33" t="s">
        <v>149</v>
      </c>
      <c r="I28" s="34" t="s">
        <v>97</v>
      </c>
      <c r="J28" s="27" t="s">
        <v>250</v>
      </c>
      <c r="K28" s="27" t="s">
        <v>251</v>
      </c>
      <c r="L28" s="20" t="s">
        <v>252</v>
      </c>
      <c r="M28" s="20" t="s">
        <v>253</v>
      </c>
      <c r="N28" s="28" t="str">
        <f>IF(LEN(評価指針!$E28)&gt;40,LEFT(評価指針!$E28,40)&amp;"・・・",評価指針!$E28)</f>
        <v>・取扱説明書、HP、図面、注意書き等への表示の有無と見やすさを評価する。_x000D_
・重・・・</v>
      </c>
      <c r="O28" s="25">
        <v>26</v>
      </c>
      <c r="P28" s="25" t="str">
        <f>IF(ISERROR(VLOOKUP(O28,配点表,2,FALSE)) = TRUE,0, VLOOKUP(O28,配点表,2,FALSE))</f>
        <v>リサイクルの管理レベル</v>
      </c>
      <c r="Q28" s="29"/>
      <c r="R28" s="30"/>
      <c r="S28" s="37"/>
      <c r="T28" s="31">
        <f>IF(ISBLANK($R28)=TRUE,0,IF($X28=VLOOKUP($P28,配点表1,5,FALSE),配点区分!$F$3,IF($X28=VLOOKUP($P28,配点表1,6,FALSE),配点区分!$G$3,IF($X28=VLOOKUP($P28,配点表1,7,FALSE),配点区分!$H$3,配点区分!$I$3))))</f>
        <v>0</v>
      </c>
      <c r="U28" s="29"/>
      <c r="V28" s="25">
        <v>1</v>
      </c>
      <c r="W28" s="2" t="str">
        <f>IF(ISERROR(INDEX(単位分類名,MATCH($V28,単位分類名ID,0),3)) = TRUE,0, INDEX(単位分類名,MATCH($V28,単位分類名ID,0),3))</f>
        <v>定性値</v>
      </c>
      <c r="X28" s="32">
        <f t="shared" si="0"/>
        <v>0</v>
      </c>
      <c r="Y28" s="25" t="str">
        <f t="shared" si="1"/>
        <v>4.2.2</v>
      </c>
      <c r="Z28" s="25">
        <f t="shared" si="2"/>
        <v>1</v>
      </c>
      <c r="AA28" s="31">
        <f t="shared" si="3"/>
        <v>0</v>
      </c>
    </row>
    <row r="29" spans="3:27" ht="27">
      <c r="C29" s="25" t="s">
        <v>254</v>
      </c>
      <c r="D29" s="25">
        <v>4</v>
      </c>
      <c r="E29" s="25">
        <v>2</v>
      </c>
      <c r="F29" s="25">
        <v>2</v>
      </c>
      <c r="G29" s="25">
        <v>2</v>
      </c>
      <c r="H29" s="33" t="s">
        <v>149</v>
      </c>
      <c r="I29" s="34" t="s">
        <v>97</v>
      </c>
      <c r="J29" s="35" t="s">
        <v>250</v>
      </c>
      <c r="K29" s="35" t="s">
        <v>251</v>
      </c>
      <c r="L29" s="20" t="s">
        <v>255</v>
      </c>
      <c r="M29" s="20" t="s">
        <v>256</v>
      </c>
      <c r="N29" s="28" t="str">
        <f>IF(LEN(評価指針!$E29)&gt;40,LEFT(評価指針!$E29,40)&amp;"・・・",評価指針!$E29)</f>
        <v>分解に要する時間を測定し、評価する。</v>
      </c>
      <c r="O29" s="25">
        <v>9</v>
      </c>
      <c r="P29" s="25" t="str">
        <f>IF(ISERROR(VLOOKUP(O29,配点表,2,FALSE)) = TRUE,0, VLOOKUP(O29,配点表,2,FALSE))</f>
        <v>削減率10%</v>
      </c>
      <c r="Q29" s="29"/>
      <c r="R29" s="30"/>
      <c r="S29" s="30"/>
      <c r="T29" s="31">
        <f>IF(AND(ASC($V29)="%",$R29&gt;= 90),配点区分!$F$3,IF(ISBLANK($R29)=TRUE,0,IF($X29&gt;=VLOOKUP($P29,配点表1,5,FALSE),配点区分!$F$3,IF($X29&gt;=VLOOKUP($P29,配点表1,6,FALSE),配点区分!$G$3,IF($X29&gt;=VLOOKUP($P29,配点表1,7,FALSE),配点区分!$H$3,IF($X29&gt;=VLOOKUP($P29,配点表1,8,FALSE),配点区分!$I$3,配点区分!$J$3))))))</f>
        <v>0</v>
      </c>
      <c r="U29" s="29"/>
      <c r="V29" s="25">
        <v>10</v>
      </c>
      <c r="W29" s="2" t="str">
        <f>IF(ISERROR(INDEX(単位分類名,MATCH($V29,単位分類名ID,0),3)) = TRUE,0, INDEX(単位分類名,MATCH($V29,単位分類名ID,0),3))</f>
        <v>時間</v>
      </c>
      <c r="X29" s="32" t="b">
        <f t="shared" si="0"/>
        <v>0</v>
      </c>
      <c r="Y29" s="25" t="str">
        <f t="shared" si="1"/>
        <v>4.2.2</v>
      </c>
      <c r="Z29" s="25">
        <f t="shared" si="2"/>
        <v>1</v>
      </c>
      <c r="AA29" s="31">
        <f t="shared" si="3"/>
        <v>0</v>
      </c>
    </row>
    <row r="30" spans="3:27" ht="27">
      <c r="C30" s="25" t="s">
        <v>257</v>
      </c>
      <c r="D30" s="25">
        <v>4</v>
      </c>
      <c r="E30" s="25">
        <v>2</v>
      </c>
      <c r="F30" s="25">
        <v>2</v>
      </c>
      <c r="G30" s="25">
        <v>3</v>
      </c>
      <c r="H30" s="33" t="s">
        <v>149</v>
      </c>
      <c r="I30" s="38" t="s">
        <v>97</v>
      </c>
      <c r="J30" s="36" t="s">
        <v>250</v>
      </c>
      <c r="K30" s="36" t="s">
        <v>251</v>
      </c>
      <c r="L30" s="20" t="s">
        <v>258</v>
      </c>
      <c r="M30" s="20" t="s">
        <v>259</v>
      </c>
      <c r="N30" s="28" t="str">
        <f>IF(LEN(評価指針!$E30)&gt;40,LEFT(評価指針!$E30,40)&amp;"・・・",評価指針!$E30)</f>
        <v>【リサイクル可能な材料の種類数低減の例】
従来品はSUS304と316を使用⇒最・・・</v>
      </c>
      <c r="O30" s="25">
        <v>9</v>
      </c>
      <c r="P30" s="25" t="str">
        <f>IF(ISERROR(VLOOKUP(O30,配点表,2,FALSE)) = TRUE,0, VLOOKUP(O30,配点表,2,FALSE))</f>
        <v>削減率10%</v>
      </c>
      <c r="Q30" s="29"/>
      <c r="R30" s="30"/>
      <c r="S30" s="30"/>
      <c r="T30" s="31">
        <f>IF(AND(ASC($V30)="%",$R30&gt;= 90),配点区分!$F$3,IF(ISBLANK($R30)=TRUE,0,IF($X30&gt;=VLOOKUP($P30,配点表1,5,FALSE),配点区分!$F$3,IF($X30&gt;=VLOOKUP($P30,配点表1,6,FALSE),配点区分!$G$3,IF($X30&gt;=VLOOKUP($P30,配点表1,7,FALSE),配点区分!$H$3,IF($X30&gt;=VLOOKUP($P30,配点表1,8,FALSE),配点区分!$I$3,配点区分!$J$3))))))</f>
        <v>0</v>
      </c>
      <c r="U30" s="29"/>
      <c r="V30" s="25">
        <v>8</v>
      </c>
      <c r="W30" s="2" t="str">
        <f>IF(ISERROR(INDEX(単位分類名,MATCH($V30,単位分類名ID,0),3)) = TRUE,0, INDEX(単位分類名,MATCH($V30,単位分類名ID,0),3))</f>
        <v>数量</v>
      </c>
      <c r="X30" s="32" t="b">
        <f t="shared" si="0"/>
        <v>0</v>
      </c>
      <c r="Y30" s="25" t="str">
        <f t="shared" si="1"/>
        <v>4.2.2</v>
      </c>
      <c r="Z30" s="25">
        <f t="shared" si="2"/>
        <v>1</v>
      </c>
      <c r="AA30" s="31">
        <f t="shared" si="3"/>
        <v>0</v>
      </c>
    </row>
    <row r="31" spans="3:27" ht="27">
      <c r="C31" s="25" t="s">
        <v>260</v>
      </c>
      <c r="D31" s="25">
        <v>6</v>
      </c>
      <c r="E31" s="25">
        <v>1</v>
      </c>
      <c r="F31" s="25">
        <v>1</v>
      </c>
      <c r="G31" s="25">
        <v>1</v>
      </c>
      <c r="H31" s="33" t="s">
        <v>149</v>
      </c>
      <c r="I31" s="26" t="s">
        <v>101</v>
      </c>
      <c r="J31" s="20" t="s">
        <v>261</v>
      </c>
      <c r="K31" s="20" t="s">
        <v>262</v>
      </c>
      <c r="L31" s="20" t="s">
        <v>263</v>
      </c>
      <c r="M31" s="20" t="s">
        <v>264</v>
      </c>
      <c r="N31" s="28" t="str">
        <f>IF(LEN(評価指針!$E31)&gt;40,LEFT(評価指針!$E31,40)&amp;"・・・",評価指針!$E31)</f>
        <v>関連国内法だけではなく、近年はCEマーキングを要求されることが多く、次のような関・・・</v>
      </c>
      <c r="O31" s="25">
        <v>3</v>
      </c>
      <c r="P31" s="25" t="str">
        <f>IF(ISERROR(VLOOKUP(O31,配点表,2,FALSE)) = TRUE,0, VLOOKUP(O31,配点表,2,FALSE))</f>
        <v>管理レベル</v>
      </c>
      <c r="Q31" s="29"/>
      <c r="R31" s="30"/>
      <c r="S31" s="37"/>
      <c r="T31" s="31">
        <f>IF(ISBLANK($R31)=TRUE,0,IF($X31=VLOOKUP($P31,配点表1,5,FALSE),配点区分!$F$3,IF($X31=VLOOKUP($P31,配点表1,6,FALSE),配点区分!$G$3,IF($X31=VLOOKUP($P31,配点表1,7,FALSE),配点区分!$H$3,配点区分!$I$3))))</f>
        <v>0</v>
      </c>
      <c r="U31" s="29"/>
      <c r="V31" s="25">
        <v>1</v>
      </c>
      <c r="W31" s="2" t="str">
        <f>IF(ISERROR(INDEX(単位分類名,MATCH($V31,単位分類名ID,0),3)) = TRUE,0, INDEX(単位分類名,MATCH($V31,単位分類名ID,0),3))</f>
        <v>定性値</v>
      </c>
      <c r="X31" s="32">
        <f t="shared" si="0"/>
        <v>0</v>
      </c>
      <c r="Y31" s="25" t="str">
        <f t="shared" si="1"/>
        <v>6.1.1</v>
      </c>
      <c r="Z31" s="25">
        <f t="shared" si="2"/>
        <v>1</v>
      </c>
      <c r="AA31" s="31">
        <f t="shared" si="3"/>
        <v>0</v>
      </c>
    </row>
    <row r="32" spans="3:27" ht="40.5">
      <c r="C32" s="25" t="s">
        <v>265</v>
      </c>
      <c r="D32" s="25">
        <v>6</v>
      </c>
      <c r="E32" s="25">
        <v>2</v>
      </c>
      <c r="F32" s="25">
        <v>1</v>
      </c>
      <c r="G32" s="25">
        <v>1</v>
      </c>
      <c r="H32" s="33" t="s">
        <v>149</v>
      </c>
      <c r="I32" s="34" t="s">
        <v>101</v>
      </c>
      <c r="J32" s="20" t="s">
        <v>266</v>
      </c>
      <c r="K32" s="20" t="s">
        <v>267</v>
      </c>
      <c r="L32" s="20" t="s">
        <v>268</v>
      </c>
      <c r="M32" s="20" t="s">
        <v>269</v>
      </c>
      <c r="N32" s="28" t="str">
        <f>IF(LEN(評価指針!$E32)&gt;40,LEFT(評価指針!$E32,40)&amp;"・・・",評価指針!$E32)</f>
        <v>【個々の製品製造時におけるCO2排出量削減方法の例】
①CO2排出量の少ない材料・・・</v>
      </c>
      <c r="O32" s="25">
        <v>22</v>
      </c>
      <c r="P32" s="25" t="str">
        <f>IF(ISERROR(VLOOKUP(O32,配点表,2,FALSE)) = TRUE,0, VLOOKUP(O32,配点表,2,FALSE))</f>
        <v>削減率 5%</v>
      </c>
      <c r="Q32" s="29"/>
      <c r="R32" s="30"/>
      <c r="S32" s="30"/>
      <c r="T32" s="31">
        <f>IF(AND(ASC($V32)="%",$R32&gt;= 90),配点区分!$F$3,IF(ISBLANK($R32)=TRUE,0,IF($X32&gt;=VLOOKUP($P32,配点表1,5,FALSE),配点区分!$F$3,IF($X32&gt;=VLOOKUP($P32,配点表1,6,FALSE),配点区分!$G$3,IF($X32&gt;=VLOOKUP($P32,配点表1,7,FALSE),配点区分!$H$3,IF($X32&gt;=VLOOKUP($P32,配点表1,8,FALSE),配点区分!$I$3,配点区分!$J$3))))))</f>
        <v>0</v>
      </c>
      <c r="U32" s="29"/>
      <c r="V32" s="25">
        <v>13</v>
      </c>
      <c r="W32" s="2" t="str">
        <f>IF(ISERROR(INDEX(単位分類名,MATCH($V32,単位分類名ID,0),3)) = TRUE,0, INDEX(単位分類名,MATCH($V32,単位分類名ID,0),3))</f>
        <v>重量</v>
      </c>
      <c r="X32" s="32" t="b">
        <f t="shared" si="0"/>
        <v>0</v>
      </c>
      <c r="Y32" s="25" t="str">
        <f t="shared" si="1"/>
        <v>6.2.1</v>
      </c>
      <c r="Z32" s="25">
        <f t="shared" si="2"/>
        <v>1</v>
      </c>
      <c r="AA32" s="31">
        <f t="shared" si="3"/>
        <v>0</v>
      </c>
    </row>
    <row r="33" spans="3:27" ht="54">
      <c r="C33" s="25" t="s">
        <v>270</v>
      </c>
      <c r="D33" s="25">
        <v>6</v>
      </c>
      <c r="E33" s="25">
        <v>3</v>
      </c>
      <c r="F33" s="25">
        <v>1</v>
      </c>
      <c r="G33" s="25">
        <v>1</v>
      </c>
      <c r="H33" s="33" t="s">
        <v>149</v>
      </c>
      <c r="I33" s="34" t="s">
        <v>101</v>
      </c>
      <c r="J33" s="27" t="s">
        <v>271</v>
      </c>
      <c r="K33" s="27" t="s">
        <v>272</v>
      </c>
      <c r="L33" s="20" t="s">
        <v>273</v>
      </c>
      <c r="M33" s="20" t="s">
        <v>274</v>
      </c>
      <c r="N33" s="28" t="str">
        <f>IF(LEN(評価指針!$E33)&gt;40,LEFT(評価指針!$E33,40)&amp;"・・・",評価指針!$E33)</f>
        <v>評価指針!D33</v>
      </c>
      <c r="O33" s="25">
        <v>3</v>
      </c>
      <c r="P33" s="25" t="str">
        <f>IF(ISERROR(VLOOKUP(O33,配点表,2,FALSE)) = TRUE,0, VLOOKUP(O33,配点表,2,FALSE))</f>
        <v>管理レベル</v>
      </c>
      <c r="Q33" s="29"/>
      <c r="R33" s="30"/>
      <c r="S33" s="37"/>
      <c r="T33" s="31">
        <f>IF(ISBLANK($R33)=TRUE,0,IF($X33=VLOOKUP($P33,配点表1,5,FALSE),配点区分!$F$3,IF($X33=VLOOKUP($P33,配点表1,6,FALSE),配点区分!$G$3,IF($X33=VLOOKUP($P33,配点表1,7,FALSE),配点区分!$H$3,配点区分!$I$3))))</f>
        <v>0</v>
      </c>
      <c r="U33" s="29"/>
      <c r="V33" s="25">
        <v>1</v>
      </c>
      <c r="W33" s="2" t="str">
        <f>IF(ISERROR(INDEX(単位分類名,MATCH($V33,単位分類名ID,0),3)) = TRUE,0, INDEX(単位分類名,MATCH($V33,単位分類名ID,0),3))</f>
        <v>定性値</v>
      </c>
      <c r="X33" s="32">
        <f t="shared" si="0"/>
        <v>0</v>
      </c>
      <c r="Y33" s="25" t="str">
        <f t="shared" si="1"/>
        <v>6.3.1</v>
      </c>
      <c r="Z33" s="25">
        <f t="shared" si="2"/>
        <v>1</v>
      </c>
      <c r="AA33" s="31">
        <f t="shared" si="3"/>
        <v>0</v>
      </c>
    </row>
    <row r="34" spans="3:27" ht="54">
      <c r="C34" s="25" t="s">
        <v>275</v>
      </c>
      <c r="D34" s="25">
        <v>6</v>
      </c>
      <c r="E34" s="25">
        <v>3</v>
      </c>
      <c r="F34" s="25">
        <v>1</v>
      </c>
      <c r="G34" s="25">
        <v>2</v>
      </c>
      <c r="H34" s="25" t="s">
        <v>166</v>
      </c>
      <c r="I34" s="38" t="s">
        <v>101</v>
      </c>
      <c r="J34" s="36" t="s">
        <v>271</v>
      </c>
      <c r="K34" s="36" t="s">
        <v>272</v>
      </c>
      <c r="L34" s="20" t="s">
        <v>276</v>
      </c>
      <c r="M34" s="20" t="s">
        <v>274</v>
      </c>
      <c r="N34" s="28" t="str">
        <f>IF(LEN(評価指針!$E34)&gt;40,LEFT(評価指針!$E34,40)&amp;"・・・",評価指針!$E34)</f>
        <v>【有害物質関連規制の例】
欧州関連指令（REACH、RoHSなど）、化審法、化管・・・</v>
      </c>
      <c r="O34" s="25">
        <v>3</v>
      </c>
      <c r="P34" s="25" t="str">
        <f>IF(ISERROR(VLOOKUP(O34,配点表,2,FALSE)) = TRUE,0, VLOOKUP(O34,配点表,2,FALSE))</f>
        <v>管理レベル</v>
      </c>
      <c r="Q34" s="29"/>
      <c r="R34" s="30"/>
      <c r="S34" s="37"/>
      <c r="T34" s="31">
        <f>IF(ISBLANK($R34)=TRUE,0,IF($X34=VLOOKUP($P34,配点表1,5,FALSE),配点区分!$F$3,IF($X34=VLOOKUP($P34,配点表1,6,FALSE),配点区分!$G$3,IF($X34=VLOOKUP($P34,配点表1,7,FALSE),配点区分!$H$3,配点区分!$I$3))))</f>
        <v>0</v>
      </c>
      <c r="U34" s="29"/>
      <c r="V34" s="25">
        <v>1</v>
      </c>
      <c r="W34" s="2" t="str">
        <f>IF(ISERROR(INDEX(単位分類名,MATCH($V34,単位分類名ID,0),3)) = TRUE,0, INDEX(単位分類名,MATCH($V34,単位分類名ID,0),3))</f>
        <v>定性値</v>
      </c>
      <c r="X34" s="32">
        <f t="shared" si="0"/>
        <v>0</v>
      </c>
      <c r="Y34" s="25" t="str">
        <f t="shared" si="1"/>
        <v>6.3.1</v>
      </c>
      <c r="Z34" s="25">
        <f t="shared" si="2"/>
        <v>1</v>
      </c>
      <c r="AA34" s="31">
        <f t="shared" si="3"/>
        <v>1</v>
      </c>
    </row>
    <row r="35" spans="3:27" ht="40.5">
      <c r="C35" s="25" t="s">
        <v>277</v>
      </c>
      <c r="D35" s="25">
        <v>7</v>
      </c>
      <c r="E35" s="25">
        <v>1</v>
      </c>
      <c r="F35" s="25">
        <v>1</v>
      </c>
      <c r="G35" s="25">
        <v>1</v>
      </c>
      <c r="H35" s="33" t="s">
        <v>149</v>
      </c>
      <c r="I35" s="26" t="s">
        <v>105</v>
      </c>
      <c r="J35" s="27" t="s">
        <v>278</v>
      </c>
      <c r="K35" s="27" t="s">
        <v>279</v>
      </c>
      <c r="L35" s="20" t="s">
        <v>280</v>
      </c>
      <c r="M35" s="20" t="s">
        <v>281</v>
      </c>
      <c r="N35" s="28" t="str">
        <f>IF(LEN(評価指針!$E35)&gt;40,LEFT(評価指針!$E35,40)&amp;"・・・",評価指針!$E35)</f>
        <v>7.1.1.1の「知っておくべき製品情報」とは、製品の仕様、特性、性能、機能など・・・</v>
      </c>
      <c r="O35" s="25">
        <v>3</v>
      </c>
      <c r="P35" s="25" t="str">
        <f>IF(ISERROR(VLOOKUP(O35,配点表,2,FALSE)) = TRUE,0, VLOOKUP(O35,配点表,2,FALSE))</f>
        <v>管理レベル</v>
      </c>
      <c r="Q35" s="29"/>
      <c r="R35" s="30"/>
      <c r="S35" s="37"/>
      <c r="T35" s="31">
        <f>IF(ISBLANK($R35)=TRUE,0,IF($X35=VLOOKUP($P35,配点表1,5,FALSE),配点区分!$F$3,IF($X35=VLOOKUP($P35,配点表1,6,FALSE),配点区分!$G$3,IF($X35=VLOOKUP($P35,配点表1,7,FALSE),配点区分!$H$3,配点区分!$I$3))))</f>
        <v>0</v>
      </c>
      <c r="U35" s="29"/>
      <c r="V35" s="25">
        <v>1</v>
      </c>
      <c r="W35" s="2" t="str">
        <f>IF(ISERROR(INDEX(単位分類名,MATCH($V35,単位分類名ID,0),3)) = TRUE,0, INDEX(単位分類名,MATCH($V35,単位分類名ID,0),3))</f>
        <v>定性値</v>
      </c>
      <c r="X35" s="32">
        <f t="shared" si="0"/>
        <v>0</v>
      </c>
      <c r="Y35" s="25" t="str">
        <f t="shared" si="1"/>
        <v>7.1.1</v>
      </c>
      <c r="Z35" s="25">
        <f t="shared" si="2"/>
        <v>1</v>
      </c>
      <c r="AA35" s="31">
        <f t="shared" si="3"/>
        <v>0</v>
      </c>
    </row>
    <row r="36" spans="3:27" ht="54">
      <c r="C36" s="25" t="s">
        <v>282</v>
      </c>
      <c r="D36" s="25">
        <v>7</v>
      </c>
      <c r="E36" s="25">
        <v>1</v>
      </c>
      <c r="F36" s="25">
        <v>1</v>
      </c>
      <c r="G36" s="25">
        <v>2</v>
      </c>
      <c r="H36" s="33" t="s">
        <v>149</v>
      </c>
      <c r="I36" s="34" t="s">
        <v>105</v>
      </c>
      <c r="J36" s="35" t="s">
        <v>278</v>
      </c>
      <c r="K36" s="35" t="s">
        <v>279</v>
      </c>
      <c r="L36" s="20" t="s">
        <v>283</v>
      </c>
      <c r="M36" s="20" t="s">
        <v>284</v>
      </c>
      <c r="N36" s="28" t="str">
        <f>IF(LEN(評価指針!$E36)&gt;40,LEFT(評価指針!$E36,40)&amp;"・・・",評価指針!$E36)</f>
        <v>7.1.1.2は、法令により定められた特定の化学物質を使用している指定製品の場合・・・</v>
      </c>
      <c r="O36" s="25">
        <v>3</v>
      </c>
      <c r="P36" s="25" t="str">
        <f>IF(ISERROR(VLOOKUP(O36,配点表,2,FALSE)) = TRUE,0, VLOOKUP(O36,配点表,2,FALSE))</f>
        <v>管理レベル</v>
      </c>
      <c r="Q36" s="29"/>
      <c r="R36" s="30"/>
      <c r="S36" s="37"/>
      <c r="T36" s="31">
        <f>IF(ISBLANK($R36)=TRUE,0,IF($X36=VLOOKUP($P36,配点表1,5,FALSE),配点区分!$F$3,IF($X36=VLOOKUP($P36,配点表1,6,FALSE),配点区分!$G$3,IF($X36=VLOOKUP($P36,配点表1,7,FALSE),配点区分!$H$3,配点区分!$I$3))))</f>
        <v>0</v>
      </c>
      <c r="U36" s="29"/>
      <c r="V36" s="25">
        <v>1</v>
      </c>
      <c r="W36" s="2" t="str">
        <f>IF(ISERROR(INDEX(単位分類名,MATCH($V36,単位分類名ID,0),3)) = TRUE,0, INDEX(単位分類名,MATCH($V36,単位分類名ID,0),3))</f>
        <v>定性値</v>
      </c>
      <c r="X36" s="32">
        <f t="shared" si="0"/>
        <v>0</v>
      </c>
      <c r="Y36" s="25" t="str">
        <f t="shared" si="1"/>
        <v>7.1.1</v>
      </c>
      <c r="Z36" s="25">
        <f t="shared" si="2"/>
        <v>1</v>
      </c>
      <c r="AA36" s="31">
        <f t="shared" si="3"/>
        <v>0</v>
      </c>
    </row>
    <row r="37" spans="3:27" ht="67.5">
      <c r="C37" s="25" t="s">
        <v>285</v>
      </c>
      <c r="D37" s="25">
        <v>7</v>
      </c>
      <c r="E37" s="25">
        <v>1</v>
      </c>
      <c r="F37" s="25">
        <v>1</v>
      </c>
      <c r="G37" s="25">
        <v>3</v>
      </c>
      <c r="H37" s="33" t="s">
        <v>149</v>
      </c>
      <c r="I37" s="34" t="s">
        <v>105</v>
      </c>
      <c r="J37" s="35" t="s">
        <v>278</v>
      </c>
      <c r="K37" s="35" t="s">
        <v>279</v>
      </c>
      <c r="L37" s="20" t="s">
        <v>286</v>
      </c>
      <c r="M37" s="20" t="s">
        <v>281</v>
      </c>
      <c r="N37" s="28" t="str">
        <f>IF(LEN(評価指針!$E37)&gt;40,LEFT(評価指針!$E37,40)&amp;"・・・",評価指針!$E37)</f>
        <v>7.1.1.3では、製品説明書、取り扱い説明書などで適切に情報提供できているか、・・・</v>
      </c>
      <c r="O37" s="25">
        <v>3</v>
      </c>
      <c r="P37" s="25" t="str">
        <f>IF(ISERROR(VLOOKUP(O37,配点表,2,FALSE)) = TRUE,0, VLOOKUP(O37,配点表,2,FALSE))</f>
        <v>管理レベル</v>
      </c>
      <c r="Q37" s="29"/>
      <c r="R37" s="30"/>
      <c r="S37" s="37"/>
      <c r="T37" s="31">
        <f>IF(ISBLANK($R37)=TRUE,0,IF($X37=VLOOKUP($P37,配点表1,5,FALSE),配点区分!$F$3,IF($X37=VLOOKUP($P37,配点表1,6,FALSE),配点区分!$G$3,IF($X37=VLOOKUP($P37,配点表1,7,FALSE),配点区分!$H$3,配点区分!$I$3))))</f>
        <v>0</v>
      </c>
      <c r="U37" s="29"/>
      <c r="V37" s="25">
        <v>1</v>
      </c>
      <c r="W37" s="2" t="str">
        <f>IF(ISERROR(INDEX(単位分類名,MATCH($V37,単位分類名ID,0),3)) = TRUE,0, INDEX(単位分類名,MATCH($V37,単位分類名ID,0),3))</f>
        <v>定性値</v>
      </c>
      <c r="X37" s="32">
        <f t="shared" si="0"/>
        <v>0</v>
      </c>
      <c r="Y37" s="25" t="str">
        <f t="shared" si="1"/>
        <v>7.1.1</v>
      </c>
      <c r="Z37" s="25">
        <f t="shared" si="2"/>
        <v>1</v>
      </c>
      <c r="AA37" s="31">
        <f t="shared" si="3"/>
        <v>0</v>
      </c>
    </row>
    <row r="38" spans="3:27" ht="54">
      <c r="C38" s="25" t="s">
        <v>287</v>
      </c>
      <c r="D38" s="25">
        <v>7</v>
      </c>
      <c r="E38" s="25">
        <v>1</v>
      </c>
      <c r="F38" s="25">
        <v>1</v>
      </c>
      <c r="G38" s="25">
        <v>4</v>
      </c>
      <c r="H38" s="33" t="s">
        <v>149</v>
      </c>
      <c r="I38" s="34" t="s">
        <v>105</v>
      </c>
      <c r="J38" s="35" t="s">
        <v>278</v>
      </c>
      <c r="K38" s="35" t="s">
        <v>279</v>
      </c>
      <c r="L38" s="20" t="s">
        <v>288</v>
      </c>
      <c r="M38" s="20" t="s">
        <v>289</v>
      </c>
      <c r="N38" s="28" t="str">
        <f>IF(LEN(評価指針!$E38)&gt;40,LEFT(評価指針!$E38,40)&amp;"・・・",評価指針!$E38)</f>
        <v>【評価時の視点】
・表示内容が理解しやすいか。
・見やすい位置にあるか。
・読み・・・</v>
      </c>
      <c r="O38" s="25">
        <v>3</v>
      </c>
      <c r="P38" s="25" t="str">
        <f>IF(ISERROR(VLOOKUP(O38,配点表,2,FALSE)) = TRUE,0, VLOOKUP(O38,配点表,2,FALSE))</f>
        <v>管理レベル</v>
      </c>
      <c r="Q38" s="29"/>
      <c r="R38" s="30"/>
      <c r="S38" s="37"/>
      <c r="T38" s="31">
        <f>IF(ISBLANK($R38)=TRUE,0,IF($X38=VLOOKUP($P38,配点表1,5,FALSE),配点区分!$F$3,IF($X38=VLOOKUP($P38,配点表1,6,FALSE),配点区分!$G$3,IF($X38=VLOOKUP($P38,配点表1,7,FALSE),配点区分!$H$3,配点区分!$I$3))))</f>
        <v>0</v>
      </c>
      <c r="U38" s="29"/>
      <c r="V38" s="25">
        <v>1</v>
      </c>
      <c r="W38" s="2" t="str">
        <f>IF(ISERROR(INDEX(単位分類名,MATCH($V38,単位分類名ID,0),3)) = TRUE,0, INDEX(単位分類名,MATCH($V38,単位分類名ID,0),3))</f>
        <v>定性値</v>
      </c>
      <c r="X38" s="32">
        <f t="shared" si="0"/>
        <v>0</v>
      </c>
      <c r="Y38" s="25" t="str">
        <f t="shared" si="1"/>
        <v>7.1.1</v>
      </c>
      <c r="Z38" s="25">
        <f t="shared" si="2"/>
        <v>1</v>
      </c>
      <c r="AA38" s="31">
        <f t="shared" si="3"/>
        <v>0</v>
      </c>
    </row>
    <row r="39" spans="3:27" ht="40.5">
      <c r="C39" s="25" t="s">
        <v>290</v>
      </c>
      <c r="D39" s="25">
        <v>7</v>
      </c>
      <c r="E39" s="25">
        <v>1</v>
      </c>
      <c r="F39" s="25">
        <v>1</v>
      </c>
      <c r="G39" s="25">
        <v>5</v>
      </c>
      <c r="H39" s="33" t="s">
        <v>149</v>
      </c>
      <c r="I39" s="38" t="s">
        <v>105</v>
      </c>
      <c r="J39" s="36" t="s">
        <v>278</v>
      </c>
      <c r="K39" s="36" t="s">
        <v>279</v>
      </c>
      <c r="L39" s="20" t="s">
        <v>291</v>
      </c>
      <c r="M39" s="20" t="s">
        <v>292</v>
      </c>
      <c r="N39" s="28" t="str">
        <f>IF(LEN(評価指針!$E39)&gt;40,LEFT(評価指針!$E39,40)&amp;"・・・",評価指針!$E39)</f>
        <v>利用者が必要情報（カタログ、仕様書、図面、取扱説明書、含有物質リスト、RoHS証・・・</v>
      </c>
      <c r="O39" s="25">
        <v>3</v>
      </c>
      <c r="P39" s="25" t="str">
        <f>IF(ISERROR(VLOOKUP(O39,配点表,2,FALSE)) = TRUE,0, VLOOKUP(O39,配点表,2,FALSE))</f>
        <v>管理レベル</v>
      </c>
      <c r="Q39" s="29"/>
      <c r="R39" s="30"/>
      <c r="S39" s="37"/>
      <c r="T39" s="31">
        <f>IF(ISBLANK($R39)=TRUE,0,IF($X39=VLOOKUP($P39,配点表1,5,FALSE),配点区分!$F$3,IF($X39=VLOOKUP($P39,配点表1,6,FALSE),配点区分!$G$3,IF($X39=VLOOKUP($P39,配点表1,7,FALSE),配点区分!$H$3,配点区分!$I$3))))</f>
        <v>0</v>
      </c>
      <c r="U39" s="29"/>
      <c r="V39" s="25">
        <v>1</v>
      </c>
      <c r="W39" s="2" t="str">
        <f>IF(ISERROR(INDEX(単位分類名,MATCH($V39,単位分類名ID,0),3)) = TRUE,0, INDEX(単位分類名,MATCH($V39,単位分類名ID,0),3))</f>
        <v>定性値</v>
      </c>
      <c r="X39" s="32">
        <f t="shared" si="0"/>
        <v>0</v>
      </c>
      <c r="Y39" s="25" t="str">
        <f t="shared" si="1"/>
        <v>7.1.1</v>
      </c>
      <c r="Z39" s="25">
        <f t="shared" si="2"/>
        <v>1</v>
      </c>
      <c r="AA39" s="31">
        <f t="shared" si="3"/>
        <v>0</v>
      </c>
    </row>
    <row r="40" spans="3:27" ht="94.5">
      <c r="C40" s="25" t="s">
        <v>293</v>
      </c>
      <c r="D40" s="25">
        <v>8</v>
      </c>
      <c r="E40" s="25">
        <v>3</v>
      </c>
      <c r="F40" s="25">
        <v>0</v>
      </c>
      <c r="G40" s="25">
        <v>1</v>
      </c>
      <c r="H40" s="25" t="s">
        <v>166</v>
      </c>
      <c r="I40" s="25" t="s">
        <v>108</v>
      </c>
      <c r="J40" s="20" t="s">
        <v>294</v>
      </c>
      <c r="K40" s="20" t="s">
        <v>295</v>
      </c>
      <c r="L40" s="20" t="s">
        <v>296</v>
      </c>
      <c r="M40" s="20" t="s">
        <v>297</v>
      </c>
      <c r="N40" s="28" t="str">
        <f>IF(LEN(評価指針!$E40)&gt;40,LEFT(評価指針!$E40,40)&amp;"・・・",評価指針!$E40)</f>
        <v>製品開発時点で、関連部署を包括した環境配慮設計実施のためのプロジェクトが構成され・・・</v>
      </c>
      <c r="O40" s="25">
        <v>27</v>
      </c>
      <c r="P40" s="25" t="str">
        <f>IF(ISERROR(VLOOKUP(O40,配点表,2,FALSE)) = TRUE,0, VLOOKUP(O40,配点表,2,FALSE))</f>
        <v>達成率</v>
      </c>
      <c r="Q40" s="29"/>
      <c r="R40" s="30"/>
      <c r="S40" s="37"/>
      <c r="T40" s="31">
        <f>IF(ISBLANK($R40)=TRUE,0,IF($X40=VLOOKUP($P40,配点表1,5,FALSE),配点区分!$F$3,IF($X40=VLOOKUP($P40,配点表1,6,FALSE),配点区分!$G$3,IF($X40=VLOOKUP($P40,配点表1,7,FALSE),配点区分!$H$3,配点区分!$I$3))))</f>
        <v>0</v>
      </c>
      <c r="U40" s="29"/>
      <c r="V40" s="25">
        <v>1</v>
      </c>
      <c r="W40" s="2" t="str">
        <f>IF(ISERROR(INDEX(単位分類名,MATCH($V40,単位分類名ID,0),3)) = TRUE,0, INDEX(単位分類名,MATCH($V40,単位分類名ID,0),3))</f>
        <v>定性値</v>
      </c>
      <c r="X40" s="32">
        <f t="shared" si="0"/>
        <v>0</v>
      </c>
      <c r="Y40" s="25" t="str">
        <f t="shared" si="1"/>
        <v>8.3.0</v>
      </c>
      <c r="Z40" s="25">
        <f t="shared" si="2"/>
        <v>1</v>
      </c>
      <c r="AA40" s="31">
        <f t="shared" si="3"/>
        <v>1</v>
      </c>
    </row>
  </sheetData>
  <sheetProtection sheet="1" objects="1" scenarios="1"/>
  <phoneticPr fontId="1"/>
  <conditionalFormatting sqref="S6:S40">
    <cfRule type="expression" dxfId="1" priority="2">
      <formula>IF(COUNTIF(P6,"*%"),0,1)</formula>
    </cfRule>
  </conditionalFormatting>
  <conditionalFormatting sqref="AA6:AA40">
    <cfRule type="cellIs" dxfId="0" priority="1" operator="equal">
      <formula>1</formula>
    </cfRule>
  </conditionalFormatting>
  <dataValidations count="8">
    <dataValidation type="list" allowBlank="1" showInputMessage="1" showErrorMessage="1" error="リストにないものは入力できません" prompt="単位は既定で決められている分類によって絞られています ,単位が%(割合）の場合は、NewDataが90%以上であれば比較値にかかわらず　配点は最高値となります&quot;" sqref="Q6:Q40">
      <formula1>INDIRECT($W6)</formula1>
    </dataValidation>
    <dataValidation type="list" allowBlank="1" showInputMessage="1" showErrorMessage="1" promptTitle="選択" prompt="「選択」,「非該当」をリストから選択できます。" sqref="H6:H40">
      <formula1>"選択,非該当"</formula1>
    </dataValidation>
    <dataValidation type="list" allowBlank="1" showInputMessage="1" showErrorMessage="1" errorTitle="注意" error="リストから選択してください" sqref="R40">
      <formula1 xml:space="preserve"> 達成率</formula1>
    </dataValidation>
    <dataValidation type="list" allowBlank="1" showInputMessage="1" showErrorMessage="1" errorTitle="注意" error="リストから選択してください" sqref="R33:R39 R31">
      <formula1 xml:space="preserve"> 管理レベル</formula1>
    </dataValidation>
    <dataValidation type="list" allowBlank="1" showInputMessage="1" showErrorMessage="1" errorTitle="注意" error="リストから選択してください" sqref="R28">
      <formula1 xml:space="preserve"> リサイクルの管理レベル</formula1>
    </dataValidation>
    <dataValidation type="list" allowBlank="1" showInputMessage="1" showErrorMessage="1" errorTitle="注意" error="リストから選択してください" sqref="R17">
      <formula1 xml:space="preserve"> 有無</formula1>
    </dataValidation>
    <dataValidation type="list" allowBlank="1" showInputMessage="1" showErrorMessage="1" errorTitle="注意" error="リストから選択してください" sqref="R8">
      <formula1 xml:space="preserve"> 節湯区分</formula1>
    </dataValidation>
    <dataValidation type="list" allowBlank="1" showDropDown="1" showInputMessage="1" showErrorMessage="1" promptTitle="配点区分" sqref="P6:P40">
      <formula1>配点区分</formula1>
    </dataValidation>
  </dataValidations>
  <hyperlinks>
    <hyperlink ref="N6" location="評価指針!D6" display="評価指針!D6"/>
    <hyperlink ref="N7:N40" location="評価指針!D6" display="評価指針!D6"/>
  </hyperlinks>
  <pageMargins left="0.70866141732283472" right="0.70866141732283472" top="0.74803149606299213" bottom="0.74803149606299213" header="0.31496062992125984" footer="0.31496062992125984"/>
  <pageSetup paperSize="9" scale="57" fitToHeight="0" orientation="landscape" horizontalDpi="4294967293" r:id="rId1"/>
  <headerFooter>
    <oddFooter>&amp;C&amp;P / &amp;N</oddFooter>
  </headerFooter>
  <rowBreaks count="4" manualBreakCount="4">
    <brk id="13" max="16383" man="1"/>
    <brk id="19" max="16383" man="1"/>
    <brk id="27" max="16383" man="1"/>
    <brk id="34" max="16383"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howOutlineSymbols="0"/>
  </sheetPr>
  <dimension ref="A1:A4"/>
  <sheetViews>
    <sheetView showGridLines="0" showRowColHeaders="0" showZeros="0" showOutlineSymbols="0" zoomScale="82" zoomScaleNormal="82" workbookViewId="0">
      <selection activeCell="C3" sqref="C3"/>
    </sheetView>
  </sheetViews>
  <sheetFormatPr defaultRowHeight="13.5"/>
  <cols>
    <col min="1" max="1" width="78.125" customWidth="1"/>
  </cols>
  <sheetData>
    <row r="1" spans="1:1" ht="21" customHeight="1"/>
    <row r="2" spans="1:1" ht="24" customHeight="1">
      <c r="A2" s="39"/>
    </row>
    <row r="3" spans="1:1" ht="409.35" customHeight="1">
      <c r="A3" s="40" t="s">
        <v>298</v>
      </c>
    </row>
    <row r="4" spans="1:1" ht="36.6" customHeight="1">
      <c r="A4" s="41"/>
    </row>
  </sheetData>
  <mergeCells count="1">
    <mergeCell ref="A3:A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howOutlineSymbols="0"/>
  </sheetPr>
  <dimension ref="A2:J19"/>
  <sheetViews>
    <sheetView showGridLines="0" showOutlineSymbols="0" workbookViewId="0">
      <selection activeCell="C6" sqref="C6:C14"/>
    </sheetView>
  </sheetViews>
  <sheetFormatPr defaultColWidth="8.875" defaultRowHeight="13.5"/>
  <cols>
    <col min="1" max="1" width="3.5" style="16" bestFit="1" customWidth="1"/>
    <col min="2" max="2" width="15.625" style="16" customWidth="1"/>
    <col min="3" max="3" width="7.125" style="16" bestFit="1" customWidth="1"/>
    <col min="4" max="4" width="9" style="16" bestFit="1" customWidth="1"/>
    <col min="5" max="5" width="6" style="16" bestFit="1" customWidth="1"/>
    <col min="6" max="9" width="15.625" style="16" customWidth="1"/>
    <col min="10" max="10" width="10" style="16" bestFit="1" customWidth="1"/>
    <col min="11" max="16384" width="8.875" style="16"/>
  </cols>
  <sheetData>
    <row r="2" spans="1:10">
      <c r="F2" s="42" t="s">
        <v>299</v>
      </c>
      <c r="G2" s="43"/>
      <c r="H2" s="43"/>
      <c r="I2" s="43"/>
      <c r="J2" s="44"/>
    </row>
    <row r="3" spans="1:10">
      <c r="F3" s="45">
        <v>3</v>
      </c>
      <c r="G3" s="45">
        <v>2</v>
      </c>
      <c r="H3" s="45">
        <v>1</v>
      </c>
      <c r="I3" s="45">
        <v>0</v>
      </c>
      <c r="J3" s="45">
        <v>-1</v>
      </c>
    </row>
    <row r="5" spans="1:10">
      <c r="A5" s="1" t="s">
        <v>88</v>
      </c>
      <c r="B5" s="1" t="s">
        <v>156</v>
      </c>
      <c r="C5" s="1" t="s">
        <v>300</v>
      </c>
      <c r="D5" s="1" t="s">
        <v>301</v>
      </c>
      <c r="E5" s="1" t="s">
        <v>302</v>
      </c>
      <c r="F5" s="1" t="s">
        <v>303</v>
      </c>
      <c r="G5" s="1" t="s">
        <v>304</v>
      </c>
      <c r="H5" s="1" t="s">
        <v>305</v>
      </c>
      <c r="I5" s="1" t="s">
        <v>306</v>
      </c>
      <c r="J5" s="1" t="s">
        <v>307</v>
      </c>
    </row>
    <row r="6" spans="1:10">
      <c r="A6" s="2">
        <v>19</v>
      </c>
      <c r="B6" s="2" t="s">
        <v>308</v>
      </c>
      <c r="C6" s="2" t="s">
        <v>309</v>
      </c>
      <c r="D6" s="2" t="s">
        <v>310</v>
      </c>
      <c r="E6" s="2" t="s">
        <v>311</v>
      </c>
      <c r="F6" s="2">
        <v>5</v>
      </c>
      <c r="G6" s="2">
        <v>2.5</v>
      </c>
      <c r="H6" s="2">
        <v>0</v>
      </c>
      <c r="I6" s="2">
        <v>0</v>
      </c>
      <c r="J6" s="2">
        <v>0</v>
      </c>
    </row>
    <row r="7" spans="1:10">
      <c r="A7" s="2">
        <v>16</v>
      </c>
      <c r="B7" s="2" t="s">
        <v>312</v>
      </c>
      <c r="C7" s="2" t="s">
        <v>309</v>
      </c>
      <c r="D7" s="2" t="s">
        <v>310</v>
      </c>
      <c r="E7" s="2" t="s">
        <v>311</v>
      </c>
      <c r="F7" s="2">
        <v>10</v>
      </c>
      <c r="G7" s="2">
        <v>5</v>
      </c>
      <c r="H7" s="2">
        <v>0</v>
      </c>
      <c r="I7" s="2">
        <v>0</v>
      </c>
      <c r="J7" s="2">
        <v>0</v>
      </c>
    </row>
    <row r="8" spans="1:10">
      <c r="A8" s="2">
        <v>22</v>
      </c>
      <c r="B8" s="2" t="s">
        <v>313</v>
      </c>
      <c r="C8" s="2" t="s">
        <v>309</v>
      </c>
      <c r="D8" s="2" t="s">
        <v>310</v>
      </c>
      <c r="E8" s="2" t="s">
        <v>314</v>
      </c>
      <c r="F8" s="2">
        <v>5</v>
      </c>
      <c r="G8" s="2">
        <v>2.5</v>
      </c>
      <c r="H8" s="2">
        <v>0</v>
      </c>
      <c r="I8" s="2">
        <v>0</v>
      </c>
      <c r="J8" s="2">
        <v>0</v>
      </c>
    </row>
    <row r="9" spans="1:10">
      <c r="A9" s="2">
        <v>9</v>
      </c>
      <c r="B9" s="2" t="s">
        <v>315</v>
      </c>
      <c r="C9" s="2" t="s">
        <v>309</v>
      </c>
      <c r="D9" s="2" t="s">
        <v>310</v>
      </c>
      <c r="E9" s="2" t="s">
        <v>314</v>
      </c>
      <c r="F9" s="2">
        <v>10</v>
      </c>
      <c r="G9" s="2">
        <v>5</v>
      </c>
      <c r="H9" s="2">
        <v>0</v>
      </c>
      <c r="I9" s="2">
        <v>0</v>
      </c>
      <c r="J9" s="2">
        <v>0</v>
      </c>
    </row>
    <row r="10" spans="1:10" ht="94.5">
      <c r="A10" s="2">
        <v>26</v>
      </c>
      <c r="B10" s="2" t="s">
        <v>316</v>
      </c>
      <c r="C10" s="2" t="s">
        <v>317</v>
      </c>
      <c r="D10" s="2" t="s">
        <v>318</v>
      </c>
      <c r="E10" s="2"/>
      <c r="F10" s="2" t="s">
        <v>319</v>
      </c>
      <c r="G10" s="2" t="s">
        <v>320</v>
      </c>
      <c r="H10" s="2" t="s">
        <v>321</v>
      </c>
      <c r="I10" s="2" t="s">
        <v>322</v>
      </c>
      <c r="J10" s="2"/>
    </row>
    <row r="11" spans="1:10" ht="121.5">
      <c r="A11" s="2">
        <v>3</v>
      </c>
      <c r="B11" s="2" t="s">
        <v>323</v>
      </c>
      <c r="C11" s="2" t="s">
        <v>317</v>
      </c>
      <c r="D11" s="2" t="s">
        <v>318</v>
      </c>
      <c r="E11" s="2"/>
      <c r="F11" s="2" t="s">
        <v>324</v>
      </c>
      <c r="G11" s="2" t="s">
        <v>325</v>
      </c>
      <c r="H11" s="2" t="s">
        <v>326</v>
      </c>
      <c r="I11" s="2" t="s">
        <v>327</v>
      </c>
      <c r="J11" s="2"/>
    </row>
    <row r="12" spans="1:10" ht="27">
      <c r="A12" s="2">
        <v>15</v>
      </c>
      <c r="B12" s="2" t="s">
        <v>328</v>
      </c>
      <c r="C12" s="2" t="s">
        <v>317</v>
      </c>
      <c r="D12" s="2" t="s">
        <v>318</v>
      </c>
      <c r="E12" s="2"/>
      <c r="F12" s="2" t="s">
        <v>329</v>
      </c>
      <c r="G12" s="2" t="s">
        <v>330</v>
      </c>
      <c r="H12" s="2" t="s">
        <v>331</v>
      </c>
      <c r="I12" s="2" t="s">
        <v>332</v>
      </c>
      <c r="J12" s="2"/>
    </row>
    <row r="13" spans="1:10">
      <c r="A13" s="2">
        <v>27</v>
      </c>
      <c r="B13" s="2" t="s">
        <v>333</v>
      </c>
      <c r="C13" s="2" t="s">
        <v>317</v>
      </c>
      <c r="D13" s="2" t="s">
        <v>318</v>
      </c>
      <c r="E13" s="2"/>
      <c r="F13" s="2" t="s">
        <v>334</v>
      </c>
      <c r="G13" s="2" t="s">
        <v>335</v>
      </c>
      <c r="H13" s="2" t="s">
        <v>336</v>
      </c>
      <c r="I13" s="2" t="s">
        <v>337</v>
      </c>
      <c r="J13" s="2" t="s">
        <v>338</v>
      </c>
    </row>
    <row r="14" spans="1:10">
      <c r="A14" s="2">
        <v>13</v>
      </c>
      <c r="B14" s="2" t="s">
        <v>339</v>
      </c>
      <c r="C14" s="2" t="s">
        <v>317</v>
      </c>
      <c r="D14" s="2" t="s">
        <v>318</v>
      </c>
      <c r="E14" s="2"/>
      <c r="F14" s="2" t="s">
        <v>340</v>
      </c>
      <c r="G14" s="2"/>
      <c r="H14" s="2"/>
      <c r="I14" s="2" t="s">
        <v>332</v>
      </c>
      <c r="J14" s="2"/>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c r="B18"/>
      <c r="C18"/>
      <c r="D18"/>
      <c r="E18"/>
      <c r="F18"/>
      <c r="G18"/>
      <c r="H18"/>
      <c r="I18"/>
      <c r="J18"/>
    </row>
    <row r="19" spans="1:10">
      <c r="A19"/>
      <c r="B19"/>
      <c r="C19"/>
      <c r="D19"/>
      <c r="E19"/>
      <c r="F19"/>
      <c r="G19"/>
      <c r="H19"/>
      <c r="I19"/>
      <c r="J19"/>
    </row>
  </sheetData>
  <mergeCells count="1">
    <mergeCell ref="F2:J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C5:E40"/>
  <sheetViews>
    <sheetView topLeftCell="A7" zoomScale="90" zoomScaleNormal="90" workbookViewId="0">
      <selection activeCell="C5" sqref="C5:E40"/>
    </sheetView>
  </sheetViews>
  <sheetFormatPr defaultRowHeight="13.5"/>
  <cols>
    <col min="1" max="2" width="2.625" customWidth="1"/>
    <col min="3" max="3" width="7.625" customWidth="1"/>
    <col min="4" max="4" width="50.625" style="46" customWidth="1"/>
    <col min="5" max="5" width="70.625" style="46" customWidth="1"/>
  </cols>
  <sheetData>
    <row r="5" spans="3:5">
      <c r="C5" s="1" t="s">
        <v>341</v>
      </c>
      <c r="D5" s="1" t="s">
        <v>152</v>
      </c>
      <c r="E5" s="1" t="s">
        <v>154</v>
      </c>
    </row>
    <row r="6" spans="3:5">
      <c r="C6" s="15" t="str">
        <f xml:space="preserve"> 項目list!$C6</f>
        <v>1.1.1.1</v>
      </c>
      <c r="D6" s="47" t="str">
        <f>項目list!$L6</f>
        <v>動作時の消費電力量の削減</v>
      </c>
      <c r="E6" s="28" t="s">
        <v>315</v>
      </c>
    </row>
    <row r="7" spans="3:5">
      <c r="C7" s="15" t="str">
        <f xml:space="preserve"> 項目list!$C7</f>
        <v>1.1.1.3</v>
      </c>
      <c r="D7" s="47" t="str">
        <f>項目list!$L7</f>
        <v>待機時の消費電力の削減</v>
      </c>
      <c r="E7" s="28" t="s">
        <v>315</v>
      </c>
    </row>
    <row r="8" spans="3:5">
      <c r="C8" s="15" t="str">
        <f xml:space="preserve"> 項目list!$C8</f>
        <v>1.1.2.1</v>
      </c>
      <c r="D8" s="47" t="str">
        <f>項目list!$L8</f>
        <v>節湯機能の有無</v>
      </c>
      <c r="E8" s="28" t="s">
        <v>328</v>
      </c>
    </row>
    <row r="9" spans="3:5" ht="81">
      <c r="C9" s="15" t="str">
        <f xml:space="preserve"> 項目list!$C9</f>
        <v>1.1.3.1</v>
      </c>
      <c r="D9" s="47" t="str">
        <f>項目list!$L9</f>
        <v>生産設備、工程改善、不良率低減による製品製造時のエネルギー消費量の削減</v>
      </c>
      <c r="E9" s="28" t="s">
        <v>342</v>
      </c>
    </row>
    <row r="10" spans="3:5" ht="81">
      <c r="C10" s="15" t="str">
        <f xml:space="preserve"> 項目list!$C10</f>
        <v>1.1.3.2</v>
      </c>
      <c r="D10" s="47" t="str">
        <f>項目list!$L10</f>
        <v>製品設計改善による製品製造時のエネルギー消費量の削減</v>
      </c>
      <c r="E10" s="28" t="s">
        <v>343</v>
      </c>
    </row>
    <row r="11" spans="3:5" ht="54">
      <c r="C11" s="15" t="str">
        <f xml:space="preserve"> 項目list!$C11</f>
        <v>2.1.1.1</v>
      </c>
      <c r="D11" s="47" t="str">
        <f>項目list!$L11</f>
        <v>製品の軽量化
(製品全体の重量削減)</v>
      </c>
      <c r="E11" s="28" t="s">
        <v>344</v>
      </c>
    </row>
    <row r="12" spans="3:5" ht="54">
      <c r="C12" s="15" t="str">
        <f xml:space="preserve"> 項目list!$C12</f>
        <v>2.1.1.2</v>
      </c>
      <c r="D12" s="47" t="str">
        <f>項目list!$L12</f>
        <v>製品の小型化
(製品全体の寸法、容積（体積）)</v>
      </c>
      <c r="E12" s="28" t="s">
        <v>344</v>
      </c>
    </row>
    <row r="13" spans="3:5" ht="27">
      <c r="C13" s="15" t="str">
        <f xml:space="preserve"> 項目list!$C13</f>
        <v>2.1.1.3</v>
      </c>
      <c r="D13" s="47" t="str">
        <f>項目list!$L13</f>
        <v>生産時の歩留まり改善による素材使用量の削減</v>
      </c>
      <c r="E13" s="28" t="s">
        <v>345</v>
      </c>
    </row>
    <row r="14" spans="3:5" ht="94.5">
      <c r="C14" s="15" t="str">
        <f xml:space="preserve"> 項目list!$C14</f>
        <v>2.1.2.1</v>
      </c>
      <c r="D14" s="47" t="str">
        <f>項目list!$L14</f>
        <v>部品点数削減</v>
      </c>
      <c r="E14" s="28" t="s">
        <v>346</v>
      </c>
    </row>
    <row r="15" spans="3:5" ht="81">
      <c r="C15" s="15" t="str">
        <f xml:space="preserve"> 項目list!$C15</f>
        <v>2.1.2.2</v>
      </c>
      <c r="D15" s="47" t="str">
        <f>項目list!$L15</f>
        <v>標準部品使用の拡大</v>
      </c>
      <c r="E15" s="28" t="s">
        <v>347</v>
      </c>
    </row>
    <row r="16" spans="3:5" ht="108">
      <c r="C16" s="15" t="str">
        <f xml:space="preserve"> 項目list!$C16</f>
        <v>2.1.3.1</v>
      </c>
      <c r="D16" s="47" t="str">
        <f>項目list!$L16</f>
        <v>梱包材、包装材の重量及び／又は体積の削減</v>
      </c>
      <c r="E16" s="28" t="s">
        <v>348</v>
      </c>
    </row>
    <row r="17" spans="3:5" ht="27">
      <c r="C17" s="15" t="str">
        <f xml:space="preserve"> 項目list!$C17</f>
        <v>2.1.5.1</v>
      </c>
      <c r="D17" s="47" t="str">
        <f>項目list!$L17</f>
        <v>使用時の節水</v>
      </c>
      <c r="E17" s="28" t="s">
        <v>349</v>
      </c>
    </row>
    <row r="18" spans="3:5" ht="81">
      <c r="C18" s="15" t="str">
        <f xml:space="preserve"> 項目list!$C18</f>
        <v>2.1.5.2</v>
      </c>
      <c r="D18" s="47" t="str">
        <f>項目list!$L18</f>
        <v>バルブ閉時の弁座漏れ量の低減</v>
      </c>
      <c r="E18" s="28" t="s">
        <v>350</v>
      </c>
    </row>
    <row r="19" spans="3:5" ht="81">
      <c r="C19" s="15" t="str">
        <f xml:space="preserve"> 項目list!$C19</f>
        <v>2.1.5.3</v>
      </c>
      <c r="D19" s="47" t="str">
        <f>項目list!$L19</f>
        <v>バルブ使用時の流体の漏れ削減（出口以外）</v>
      </c>
      <c r="E19" s="28" t="s">
        <v>351</v>
      </c>
    </row>
    <row r="20" spans="3:5" ht="108">
      <c r="C20" s="15" t="str">
        <f xml:space="preserve"> 項目list!$C20</f>
        <v>2.2.1.1</v>
      </c>
      <c r="D20" s="47" t="str">
        <f>項目list!$L20</f>
        <v>製品、部品・材料（ボトルネックになるもの）の耐用年数（時間）の延長化</v>
      </c>
      <c r="E20" s="28" t="s">
        <v>352</v>
      </c>
    </row>
    <row r="21" spans="3:5" ht="67.5">
      <c r="C21" s="15" t="str">
        <f xml:space="preserve"> 項目list!$C21</f>
        <v>2.3.1.1</v>
      </c>
      <c r="D21" s="47" t="str">
        <f>項目list!$L21</f>
        <v>製造過程で発生する廃棄物（リサイクル、リユースの出来ないもの）の削減</v>
      </c>
      <c r="E21" s="28" t="s">
        <v>353</v>
      </c>
    </row>
    <row r="22" spans="3:5" ht="121.5">
      <c r="C22" s="15" t="str">
        <f xml:space="preserve"> 項目list!$C22</f>
        <v>2.3.2.1</v>
      </c>
      <c r="D22" s="47" t="str">
        <f>項目list!$L22</f>
        <v>一定条件下で使用した場合の消耗品の消費量削減</v>
      </c>
      <c r="E22" s="28" t="s">
        <v>354</v>
      </c>
    </row>
    <row r="23" spans="3:5" ht="40.5">
      <c r="C23" s="15" t="str">
        <f xml:space="preserve"> 項目list!$C23</f>
        <v>3.1.1.1</v>
      </c>
      <c r="D23" s="47" t="str">
        <f>項目list!$L23</f>
        <v>交換可能部品の使用範囲拡大</v>
      </c>
      <c r="E23" s="28" t="s">
        <v>355</v>
      </c>
    </row>
    <row r="24" spans="3:5" ht="162">
      <c r="C24" s="15" t="str">
        <f xml:space="preserve"> 項目list!$C24</f>
        <v>3.1.2.1</v>
      </c>
      <c r="D24" s="47" t="str">
        <f>項目list!$L24</f>
        <v>交換部品の標準化</v>
      </c>
      <c r="E24" s="28" t="s">
        <v>356</v>
      </c>
    </row>
    <row r="25" spans="3:5" ht="54">
      <c r="C25" s="15" t="str">
        <f xml:space="preserve"> 項目list!$C25</f>
        <v>3.1.2.2</v>
      </c>
      <c r="D25" s="47" t="str">
        <f>項目list!$L25</f>
        <v>部品の交換容易性</v>
      </c>
      <c r="E25" s="28" t="s">
        <v>357</v>
      </c>
    </row>
    <row r="26" spans="3:5" ht="54">
      <c r="C26" s="15" t="str">
        <f xml:space="preserve"> 項目list!$C26</f>
        <v>4.1.1.1</v>
      </c>
      <c r="D26" s="47" t="str">
        <f>項目list!$L26</f>
        <v>リサイクル可能な材料を使用した部品の使用範囲拡大</v>
      </c>
      <c r="E26" s="28" t="s">
        <v>358</v>
      </c>
    </row>
    <row r="27" spans="3:5" ht="54">
      <c r="C27" s="15" t="str">
        <f xml:space="preserve"> 項目list!$C27</f>
        <v>4.1.1.2</v>
      </c>
      <c r="D27" s="47" t="str">
        <f>項目list!$L27</f>
        <v>リサイクルされた材料を使用した部品、梱包材の使用範囲拡大</v>
      </c>
      <c r="E27" s="28" t="s">
        <v>358</v>
      </c>
    </row>
    <row r="28" spans="3:5" ht="40.5">
      <c r="C28" s="15" t="str">
        <f xml:space="preserve"> 項目list!$C28</f>
        <v>4.2.2.1</v>
      </c>
      <c r="D28" s="47" t="str">
        <f>項目list!$L28</f>
        <v>解体時、分別がしやすいように、リサイクル可能な材料を使用した部品の識別表示を行うための管理のレベル</v>
      </c>
      <c r="E28" s="28" t="s">
        <v>359</v>
      </c>
    </row>
    <row r="29" spans="3:5">
      <c r="C29" s="15" t="str">
        <f xml:space="preserve"> 項目list!$C29</f>
        <v>4.2.2.2</v>
      </c>
      <c r="D29" s="47" t="str">
        <f>項目list!$L29</f>
        <v>解体・分別する対象物は取り外し容易性</v>
      </c>
      <c r="E29" s="28" t="s">
        <v>360</v>
      </c>
    </row>
    <row r="30" spans="3:5" ht="40.5">
      <c r="C30" s="15" t="str">
        <f xml:space="preserve"> 項目list!$C30</f>
        <v>4.2.2.3</v>
      </c>
      <c r="D30" s="47" t="str">
        <f>項目list!$L30</f>
        <v>リサイクル可能材種類数の低減</v>
      </c>
      <c r="E30" s="28" t="s">
        <v>361</v>
      </c>
    </row>
    <row r="31" spans="3:5" ht="108">
      <c r="C31" s="15" t="str">
        <f xml:space="preserve"> 項目list!$C31</f>
        <v>6.1.1.1</v>
      </c>
      <c r="D31" s="47" t="str">
        <f>項目list!$L31</f>
        <v>該当製品に対する関連法規制とその遵守を確認した書類の有無</v>
      </c>
      <c r="E31" s="28" t="s">
        <v>362</v>
      </c>
    </row>
    <row r="32" spans="3:5" ht="54">
      <c r="C32" s="15" t="str">
        <f xml:space="preserve"> 項目list!$C32</f>
        <v>6.2.1.1</v>
      </c>
      <c r="D32" s="47" t="str">
        <f>項目list!$L32</f>
        <v>製品材料の生産過程で発生したCO2排出量の削減</v>
      </c>
      <c r="E32" s="28" t="s">
        <v>363</v>
      </c>
    </row>
    <row r="33" spans="3:5">
      <c r="C33" s="15" t="str">
        <f xml:space="preserve"> 項目list!$C33</f>
        <v>6.3.1.1</v>
      </c>
      <c r="D33" s="47" t="str">
        <f>項目list!$L33</f>
        <v>浸出基準への適応性管理のレベル</v>
      </c>
      <c r="E33" s="28" t="s">
        <v>364</v>
      </c>
    </row>
    <row r="34" spans="3:5" ht="94.5">
      <c r="C34" s="15" t="str">
        <f xml:space="preserve"> 項目list!$C34</f>
        <v>6.3.1.2</v>
      </c>
      <c r="D34" s="47" t="str">
        <f>項目list!$L34</f>
        <v>該当製品に対する有害化学物質管理のレベル</v>
      </c>
      <c r="E34" s="28" t="s">
        <v>365</v>
      </c>
    </row>
    <row r="35" spans="3:5" ht="27">
      <c r="C35" s="15" t="str">
        <f xml:space="preserve"> 項目list!$C35</f>
        <v>7.1.1.1</v>
      </c>
      <c r="D35" s="47" t="str">
        <f>項目list!$L35</f>
        <v>製品のライフサイクル（選定、購入、使用）関係者が、選定・購入前に知っておくべき製品情報の提供</v>
      </c>
      <c r="E35" s="28" t="s">
        <v>366</v>
      </c>
    </row>
    <row r="36" spans="3:5" ht="40.5">
      <c r="C36" s="15" t="str">
        <f xml:space="preserve"> 項目list!$C36</f>
        <v>7.1.1.2</v>
      </c>
      <c r="D36" s="47" t="str">
        <f>項目list!$L36</f>
        <v>製品のライフサイクル（選定、購入、使用）関係者が知っておくべき必要情報の提供（特定化学物質を使った指定製品の場合）</v>
      </c>
      <c r="E36" s="28" t="s">
        <v>367</v>
      </c>
    </row>
    <row r="37" spans="3:5" ht="54">
      <c r="C37" s="15" t="str">
        <f xml:space="preserve"> 項目list!$C37</f>
        <v>7.1.1.3</v>
      </c>
      <c r="D37" s="47" t="str">
        <f>項目list!$L37</f>
        <v>製品のライフサイクル（流通、据付、使用、メンテナンス、廃棄）関係者が、購入後、開梱時、据え付け時、使用時、保守時、廃棄時等に知っておくべき製品の取り扱い、及び、環境安全性についての必要情報の提供</v>
      </c>
      <c r="E37" s="28" t="s">
        <v>368</v>
      </c>
    </row>
    <row r="38" spans="3:5" ht="54">
      <c r="C38" s="15" t="str">
        <f xml:space="preserve"> 項目list!$C38</f>
        <v>7.1.1.4</v>
      </c>
      <c r="D38" s="47" t="str">
        <f>項目list!$L38</f>
        <v>機器本体に表示すべき情報の表示の見やすさ</v>
      </c>
      <c r="E38" s="28" t="s">
        <v>369</v>
      </c>
    </row>
    <row r="39" spans="3:5" ht="40.5">
      <c r="C39" s="15" t="str">
        <f xml:space="preserve"> 項目list!$C39</f>
        <v>7.1.1.5</v>
      </c>
      <c r="D39" s="47" t="str">
        <f>項目list!$L39</f>
        <v>提供情報へのアクセスのしやすさ</v>
      </c>
      <c r="E39" s="28" t="s">
        <v>370</v>
      </c>
    </row>
    <row r="40" spans="3:5" ht="54">
      <c r="C40" s="15" t="str">
        <f xml:space="preserve"> 項目list!$C40</f>
        <v>8.3.0.1</v>
      </c>
      <c r="D40" s="47" t="str">
        <f>項目list!$L40</f>
        <v>重点評価項目（事前に3項目以上を設定しておく）における設計目標値の達成率</v>
      </c>
      <c r="E40" s="28" t="s">
        <v>371</v>
      </c>
    </row>
  </sheetData>
  <phoneticPr fontId="1"/>
  <hyperlinks>
    <hyperlink ref="E6" location="評価指針!D6" display="評価指針!D6"/>
    <hyperlink ref="E7" location="評価指針!D7" display="評価指針!D7"/>
    <hyperlink ref="E8" location="評価指針!D8" display="評価指針!D8"/>
    <hyperlink ref="E9" location="評価指針!D9" display="評価指針!D9"/>
    <hyperlink ref="E10" location="評価指針!D10" display="評価指針!D10"/>
    <hyperlink ref="E11" location="評価指針!D11" display="評価指針!D11"/>
    <hyperlink ref="E12" location="評価指針!D12" display="評価指針!D12"/>
    <hyperlink ref="E13" location="評価指針!D13" display="評価指針!D13"/>
    <hyperlink ref="E14" location="評価指針!D14" display="評価指針!D14"/>
    <hyperlink ref="E15" location="評価指針!D15" display="評価指針!D15"/>
    <hyperlink ref="E16" location="評価指針!D16" display="評価指針!D16"/>
    <hyperlink ref="E17" location="評価指針!D17" display="評価指針!D17"/>
    <hyperlink ref="E18" location="評価指針!D18" display="評価指針!D18"/>
    <hyperlink ref="E19" location="評価指針!D19" display="評価指針!D19"/>
    <hyperlink ref="E20" location="評価指針!D20" display="評価指針!D20"/>
    <hyperlink ref="E21" location="評価指針!D21" display="評価指針!D21"/>
    <hyperlink ref="E22" location="評価指針!D22" display="評価指針!D22"/>
    <hyperlink ref="E23" location="評価指針!D23" display="評価指針!D23"/>
    <hyperlink ref="E24" location="評価指針!D24" display="評価指針!D24"/>
    <hyperlink ref="E25" location="評価指針!D25" display="評価指針!D25"/>
    <hyperlink ref="E26" location="評価指針!D26" display="評価指針!D26"/>
    <hyperlink ref="E27" location="評価指針!D27" display="評価指針!D27"/>
    <hyperlink ref="E28" location="評価指針!D28" display="評価指針!D28"/>
    <hyperlink ref="E29" location="評価指針!D29" display="評価指針!D29"/>
    <hyperlink ref="E30" location="評価指針!D30" display="評価指針!D30"/>
    <hyperlink ref="E31" location="評価指針!D31" display="評価指針!D31"/>
    <hyperlink ref="E32" location="評価指針!D32" display="評価指針!D32"/>
    <hyperlink ref="E33" location="評価指針!D33" display="評価指針!D33"/>
    <hyperlink ref="E34" location="評価指針!D34" display="評価指針!D34"/>
    <hyperlink ref="E35" location="評価指針!D35" display="評価指針!D35"/>
    <hyperlink ref="E36" location="評価指針!D36" display="評価指針!D36"/>
    <hyperlink ref="E37" location="評価指針!D37" display="評価指針!D37"/>
    <hyperlink ref="E38" location="評価指針!D38" display="評価指針!D38"/>
    <hyperlink ref="E39" location="評価指針!D39" display="評価指針!D39"/>
    <hyperlink ref="E40" location="評価指針!D40" display="評価指針!D4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40</vt:i4>
      </vt:variant>
    </vt:vector>
  </HeadingPairs>
  <TitlesOfParts>
    <vt:vector size="47" baseType="lpstr">
      <vt:lpstr>単位list</vt:lpstr>
      <vt:lpstr>Top</vt:lpstr>
      <vt:lpstr>Report</vt:lpstr>
      <vt:lpstr>項目list</vt:lpstr>
      <vt:lpstr>配点について</vt:lpstr>
      <vt:lpstr>配点区分</vt:lpstr>
      <vt:lpstr>評価指針</vt:lpstr>
      <vt:lpstr>Pivot1</vt:lpstr>
      <vt:lpstr>Pivot製品</vt:lpstr>
      <vt:lpstr>Pivot範囲</vt:lpstr>
      <vt:lpstr>Pivot範囲2</vt:lpstr>
      <vt:lpstr>Report!Print_Area</vt:lpstr>
      <vt:lpstr>項目list!Print_Titles</vt:lpstr>
      <vt:lpstr>しくみパターン</vt:lpstr>
      <vt:lpstr>しくみ配点区分</vt:lpstr>
      <vt:lpstr>しくみ評価</vt:lpstr>
      <vt:lpstr>リサイクルの管理レベル</vt:lpstr>
      <vt:lpstr>圧力</vt:lpstr>
      <vt:lpstr>割合</vt:lpstr>
      <vt:lpstr>管理レベル</vt:lpstr>
      <vt:lpstr>管理レベル評価</vt:lpstr>
      <vt:lpstr>空気消費量</vt:lpstr>
      <vt:lpstr>時間</vt:lpstr>
      <vt:lpstr>重量</vt:lpstr>
      <vt:lpstr>上限</vt:lpstr>
      <vt:lpstr>数量</vt:lpstr>
      <vt:lpstr>節湯区分</vt:lpstr>
      <vt:lpstr>対象有無</vt:lpstr>
      <vt:lpstr>達成率</vt:lpstr>
      <vt:lpstr>単位list</vt:lpstr>
      <vt:lpstr>単位分類list</vt:lpstr>
      <vt:lpstr>単位分類名</vt:lpstr>
      <vt:lpstr>単位分類名ID</vt:lpstr>
      <vt:lpstr>単位名</vt:lpstr>
      <vt:lpstr>単位名リスト</vt:lpstr>
      <vt:lpstr>長さ</vt:lpstr>
      <vt:lpstr>定性値</vt:lpstr>
      <vt:lpstr>電力量</vt:lpstr>
      <vt:lpstr>配点区分</vt:lpstr>
      <vt:lpstr>配点表</vt:lpstr>
      <vt:lpstr>配点表1</vt:lpstr>
      <vt:lpstr>必須確認数</vt:lpstr>
      <vt:lpstr>弁座漏れ量</vt:lpstr>
      <vt:lpstr>面積</vt:lpstr>
      <vt:lpstr>有無</vt:lpstr>
      <vt:lpstr>容積</vt:lpstr>
      <vt:lpstr>力</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kohey</dc:creator>
  <cp:lastModifiedBy>kohey</cp:lastModifiedBy>
  <dcterms:created xsi:type="dcterms:W3CDTF">2015-07-23T23:51:50Z</dcterms:created>
  <dcterms:modified xsi:type="dcterms:W3CDTF">2015-07-23T23:51:56Z</dcterms:modified>
</cp:coreProperties>
</file>