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iqiang\Desktop\正蓝数据(1)\正蓝数据\"/>
    </mc:Choice>
  </mc:AlternateContent>
  <xr:revisionPtr revIDLastSave="0" documentId="13_ncr:1_{43479C1E-3FED-4E8A-BE89-DECF64E47AD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2017年收入" sheetId="18" r:id="rId1"/>
  </sheets>
  <definedNames>
    <definedName name="_xlnm._FilterDatabase" localSheetId="0" hidden="1">'2017年收入'!$A$1:$L$314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11" i="18" l="1"/>
  <c r="D173" i="18"/>
  <c r="D311" i="18" s="1"/>
  <c r="D171" i="18"/>
  <c r="C117" i="18"/>
  <c r="K160" i="18" l="1"/>
  <c r="K106" i="18" l="1"/>
  <c r="K105" i="18"/>
  <c r="J34" i="18"/>
  <c r="K226" i="18"/>
  <c r="K232" i="18"/>
  <c r="K292" i="18"/>
  <c r="K304" i="18" l="1"/>
  <c r="K123" i="18"/>
  <c r="K309" i="18" s="1"/>
  <c r="H117" i="18"/>
  <c r="K119" i="18"/>
  <c r="K311" i="18" s="1"/>
  <c r="J119" i="18"/>
  <c r="I119" i="18"/>
  <c r="I311" i="18" s="1"/>
  <c r="G119" i="18"/>
  <c r="G311" i="18" s="1"/>
  <c r="F119" i="18"/>
  <c r="F311" i="18" s="1"/>
  <c r="J41" i="18" l="1"/>
  <c r="L88" i="18" l="1"/>
  <c r="L87" i="18"/>
  <c r="L86" i="18"/>
  <c r="D312" i="18"/>
  <c r="H312" i="18"/>
  <c r="J312" i="18"/>
  <c r="K312" i="18"/>
  <c r="C312" i="18"/>
  <c r="D314" i="18"/>
  <c r="E314" i="18"/>
  <c r="F314" i="18"/>
  <c r="G314" i="18"/>
  <c r="H314" i="18"/>
  <c r="I314" i="18"/>
  <c r="J314" i="18"/>
  <c r="K314" i="18"/>
  <c r="C314" i="18"/>
  <c r="D313" i="18"/>
  <c r="E313" i="18"/>
  <c r="F313" i="18"/>
  <c r="G313" i="18"/>
  <c r="H313" i="18"/>
  <c r="I313" i="18"/>
  <c r="J313" i="18"/>
  <c r="K313" i="18"/>
  <c r="C313" i="18"/>
  <c r="L314" i="18" l="1"/>
  <c r="L313" i="18"/>
  <c r="L224" i="18"/>
  <c r="L223" i="18"/>
  <c r="L222" i="18"/>
  <c r="L308" i="18"/>
  <c r="L307" i="18"/>
  <c r="L306" i="18"/>
  <c r="L146" i="18"/>
  <c r="L145" i="18"/>
  <c r="L144" i="18"/>
  <c r="L218" i="18"/>
  <c r="L217" i="18"/>
  <c r="L216" i="18"/>
  <c r="L302" i="18"/>
  <c r="L301" i="18"/>
  <c r="L300" i="18"/>
  <c r="L73" i="18"/>
  <c r="L72" i="18"/>
  <c r="L71" i="18"/>
  <c r="L67" i="18"/>
  <c r="L66" i="18"/>
  <c r="L65" i="18"/>
  <c r="L296" i="18"/>
  <c r="L295" i="18"/>
  <c r="L294" i="18"/>
  <c r="L290" i="18"/>
  <c r="L289" i="18"/>
  <c r="L288" i="18"/>
  <c r="L140" i="18"/>
  <c r="L139" i="18"/>
  <c r="G138" i="18"/>
  <c r="E138" i="18"/>
  <c r="L206" i="18"/>
  <c r="L205" i="18"/>
  <c r="L204" i="18"/>
  <c r="L61" i="18"/>
  <c r="L60" i="18"/>
  <c r="L59" i="18"/>
  <c r="L91" i="18"/>
  <c r="L90" i="18"/>
  <c r="L89" i="18"/>
  <c r="L284" i="18"/>
  <c r="L283" i="18"/>
  <c r="G282" i="18"/>
  <c r="L282" i="18" s="1"/>
  <c r="L254" i="18"/>
  <c r="L253" i="18"/>
  <c r="L252" i="18"/>
  <c r="L55" i="18"/>
  <c r="L54" i="18"/>
  <c r="L53" i="18"/>
  <c r="L272" i="18"/>
  <c r="L271" i="18"/>
  <c r="L270" i="18"/>
  <c r="L110" i="18"/>
  <c r="L109" i="18"/>
  <c r="L108" i="18"/>
  <c r="L49" i="18"/>
  <c r="L48" i="18"/>
  <c r="L47" i="18"/>
  <c r="L128" i="18"/>
  <c r="L127" i="18"/>
  <c r="G126" i="18"/>
  <c r="L126" i="18" s="1"/>
  <c r="L43" i="18"/>
  <c r="L42" i="18"/>
  <c r="G41" i="18"/>
  <c r="E41" i="18"/>
  <c r="L37" i="18"/>
  <c r="L36" i="18"/>
  <c r="L35" i="18"/>
  <c r="L116" i="18"/>
  <c r="L115" i="18"/>
  <c r="L114" i="18"/>
  <c r="L170" i="18"/>
  <c r="L169" i="18"/>
  <c r="L168" i="18"/>
  <c r="L103" i="18"/>
  <c r="L102" i="18"/>
  <c r="I101" i="18"/>
  <c r="G32" i="18"/>
  <c r="I32" i="18"/>
  <c r="L33" i="18"/>
  <c r="L34" i="18"/>
  <c r="L31" i="18"/>
  <c r="L30" i="18"/>
  <c r="L29" i="18"/>
  <c r="L182" i="18"/>
  <c r="L181" i="18"/>
  <c r="L180" i="18"/>
  <c r="L194" i="18"/>
  <c r="L193" i="18"/>
  <c r="L192" i="18"/>
  <c r="L278" i="18"/>
  <c r="L277" i="18"/>
  <c r="L276" i="18"/>
  <c r="L129" i="18"/>
  <c r="L130" i="18"/>
  <c r="L131" i="18"/>
  <c r="L266" i="18"/>
  <c r="L265" i="18"/>
  <c r="L264" i="18"/>
  <c r="L242" i="18"/>
  <c r="L241" i="18"/>
  <c r="L240" i="18"/>
  <c r="L134" i="18"/>
  <c r="L133" i="18"/>
  <c r="G132" i="18"/>
  <c r="L132" i="18" s="1"/>
  <c r="L122" i="18"/>
  <c r="L121" i="18"/>
  <c r="F120" i="18"/>
  <c r="D195" i="18"/>
  <c r="L195" i="18" s="1"/>
  <c r="L196" i="18"/>
  <c r="L197" i="18"/>
  <c r="L25" i="18"/>
  <c r="L24" i="18"/>
  <c r="L23" i="18"/>
  <c r="L13" i="18"/>
  <c r="L12" i="18"/>
  <c r="L11" i="18"/>
  <c r="L7" i="18"/>
  <c r="L6" i="18"/>
  <c r="L5" i="18"/>
  <c r="L19" i="18"/>
  <c r="L18" i="18"/>
  <c r="L17" i="18"/>
  <c r="L188" i="18"/>
  <c r="L187" i="18"/>
  <c r="L186" i="18"/>
  <c r="L200" i="18"/>
  <c r="L199" i="18"/>
  <c r="L198" i="18"/>
  <c r="L176" i="18"/>
  <c r="L175" i="18"/>
  <c r="L174" i="18"/>
  <c r="L212" i="18"/>
  <c r="L211" i="18"/>
  <c r="L210" i="18"/>
  <c r="L164" i="18"/>
  <c r="L163" i="18"/>
  <c r="L162" i="18"/>
  <c r="L152" i="18"/>
  <c r="L151" i="18"/>
  <c r="L150" i="18"/>
  <c r="L158" i="18"/>
  <c r="L157" i="18"/>
  <c r="L156" i="18"/>
  <c r="L159" i="18"/>
  <c r="L160" i="18"/>
  <c r="L161" i="18"/>
  <c r="L79" i="18"/>
  <c r="L78" i="18"/>
  <c r="L77" i="18"/>
  <c r="L80" i="18"/>
  <c r="L81" i="18"/>
  <c r="L82" i="18"/>
  <c r="L85" i="18"/>
  <c r="L84" i="18"/>
  <c r="L83" i="18"/>
  <c r="L97" i="18"/>
  <c r="L96" i="18"/>
  <c r="L95" i="18"/>
  <c r="L236" i="18"/>
  <c r="L235" i="18"/>
  <c r="L234" i="18"/>
  <c r="J147" i="18"/>
  <c r="L147" i="18" s="1"/>
  <c r="L148" i="18"/>
  <c r="L149" i="18"/>
  <c r="L260" i="18"/>
  <c r="L259" i="18"/>
  <c r="L258" i="18"/>
  <c r="C261" i="18"/>
  <c r="D261" i="18"/>
  <c r="L262" i="18"/>
  <c r="L263" i="18"/>
  <c r="L230" i="18"/>
  <c r="L229" i="18"/>
  <c r="L228" i="18"/>
  <c r="L248" i="18"/>
  <c r="L247" i="18"/>
  <c r="L246" i="18"/>
  <c r="L32" i="18" l="1"/>
  <c r="E312" i="18"/>
  <c r="L138" i="18"/>
  <c r="G312" i="18"/>
  <c r="L261" i="18"/>
  <c r="L120" i="18"/>
  <c r="F312" i="18"/>
  <c r="L101" i="18"/>
  <c r="I312" i="18"/>
  <c r="L41" i="18"/>
  <c r="J299" i="18"/>
  <c r="J311" i="18" s="1"/>
  <c r="H304" i="18"/>
  <c r="L312" i="18" l="1"/>
  <c r="I135" i="18"/>
  <c r="H293" i="18" l="1"/>
  <c r="H311" i="18" s="1"/>
  <c r="H291" i="18"/>
  <c r="H56" i="18" l="1"/>
  <c r="H44" i="18" l="1"/>
  <c r="J44" i="18" l="1"/>
  <c r="I44" i="18"/>
  <c r="J189" i="18"/>
  <c r="G189" i="18"/>
  <c r="G201" i="18"/>
  <c r="K310" i="18" l="1"/>
  <c r="I304" i="18"/>
  <c r="J304" i="18"/>
  <c r="J106" i="18" l="1"/>
  <c r="J105" i="18"/>
  <c r="I226" i="18" l="1"/>
  <c r="I310" i="18" s="1"/>
  <c r="J226" i="18"/>
  <c r="H226" i="18"/>
  <c r="J14" i="18" l="1"/>
  <c r="C15" i="18"/>
  <c r="F14" i="18" l="1"/>
  <c r="J68" i="18"/>
  <c r="I153" i="18" l="1"/>
  <c r="H238" i="18" l="1"/>
  <c r="J62" i="18" l="1"/>
  <c r="I62" i="18"/>
  <c r="H62" i="18"/>
  <c r="F50" i="18" l="1"/>
  <c r="I50" i="18"/>
  <c r="H50" i="18"/>
  <c r="L221" i="18" l="1"/>
  <c r="L220" i="18"/>
  <c r="L219" i="18"/>
  <c r="L215" i="18"/>
  <c r="L214" i="18"/>
  <c r="L213" i="18"/>
  <c r="L68" i="18"/>
  <c r="L69" i="18"/>
  <c r="L70" i="18"/>
  <c r="L143" i="18"/>
  <c r="L142" i="18"/>
  <c r="L141" i="18"/>
  <c r="L305" i="18"/>
  <c r="L304" i="18"/>
  <c r="L303" i="18"/>
  <c r="L299" i="18"/>
  <c r="L298" i="18"/>
  <c r="L297" i="18"/>
  <c r="J92" i="18"/>
  <c r="I243" i="18" l="1"/>
  <c r="H244" i="18"/>
  <c r="H310" i="18" s="1"/>
  <c r="J310" i="18"/>
  <c r="I183" i="18"/>
  <c r="J123" i="18"/>
  <c r="J309" i="18" s="1"/>
  <c r="F123" i="18"/>
  <c r="I38" i="18" l="1"/>
  <c r="E98" i="18"/>
  <c r="I104" i="18"/>
  <c r="L106" i="18"/>
  <c r="I201" i="18" l="1"/>
  <c r="I309" i="18" s="1"/>
  <c r="H201" i="18"/>
  <c r="H309" i="18" s="1"/>
  <c r="G153" i="18" l="1"/>
  <c r="C226" i="18" l="1"/>
  <c r="C225" i="18"/>
  <c r="E2" i="18" l="1"/>
  <c r="E203" i="18"/>
  <c r="E311" i="18" s="1"/>
  <c r="F201" i="18"/>
  <c r="E202" i="18" l="1"/>
  <c r="C201" i="18"/>
  <c r="G62" i="18" l="1"/>
  <c r="F104" i="18" l="1"/>
  <c r="F38" i="18"/>
  <c r="E183" i="18"/>
  <c r="E309" i="18" s="1"/>
  <c r="F243" i="18"/>
  <c r="F92" i="18"/>
  <c r="C50" i="18"/>
  <c r="D62" i="18" l="1"/>
  <c r="F237" i="18" l="1"/>
  <c r="D8" i="18"/>
  <c r="D309" i="18" s="1"/>
  <c r="C56" i="18" l="1"/>
  <c r="F189" i="18"/>
  <c r="C44" i="18"/>
  <c r="G44" i="18"/>
  <c r="C309" i="18" l="1"/>
  <c r="F135" i="18"/>
  <c r="F309" i="18" s="1"/>
  <c r="G135" i="18"/>
  <c r="G244" i="18" l="1"/>
  <c r="G63" i="18"/>
  <c r="G225" i="18" l="1"/>
  <c r="G309" i="18" s="1"/>
  <c r="G310" i="18"/>
  <c r="F292" i="18" l="1"/>
  <c r="F310" i="18" s="1"/>
  <c r="E292" i="18"/>
  <c r="E310" i="18" s="1"/>
  <c r="D292" i="18"/>
  <c r="D310" i="18" s="1"/>
  <c r="C292" i="18"/>
  <c r="C310" i="18" s="1"/>
  <c r="L203" i="18" l="1"/>
  <c r="L202" i="18"/>
  <c r="L201" i="18"/>
  <c r="L280" i="18"/>
  <c r="L279" i="18"/>
  <c r="L46" i="18"/>
  <c r="L45" i="18"/>
  <c r="L44" i="18"/>
  <c r="L125" i="18"/>
  <c r="L124" i="18"/>
  <c r="L123" i="18"/>
  <c r="L256" i="18"/>
  <c r="L255" i="18"/>
  <c r="L251" i="18"/>
  <c r="L250" i="18"/>
  <c r="L249" i="18"/>
  <c r="L119" i="18"/>
  <c r="L118" i="18"/>
  <c r="L117" i="18"/>
  <c r="L191" i="18"/>
  <c r="L190" i="18"/>
  <c r="L189" i="18"/>
  <c r="L185" i="18"/>
  <c r="L184" i="18"/>
  <c r="L183" i="18"/>
  <c r="L179" i="18"/>
  <c r="L178" i="18"/>
  <c r="L177" i="18"/>
  <c r="L100" i="18"/>
  <c r="L99" i="18"/>
  <c r="L98" i="18"/>
  <c r="L28" i="18"/>
  <c r="L27" i="18"/>
  <c r="L26" i="18"/>
  <c r="L62" i="18" l="1"/>
  <c r="L3" i="18"/>
  <c r="L10" i="18"/>
  <c r="L257" i="18"/>
  <c r="L50" i="18"/>
  <c r="L51" i="18"/>
  <c r="L52" i="18"/>
  <c r="L267" i="18"/>
  <c r="L268" i="18"/>
  <c r="L269" i="18"/>
  <c r="L207" i="18"/>
  <c r="L208" i="18"/>
  <c r="L209" i="18"/>
  <c r="L38" i="18"/>
  <c r="L273" i="18"/>
  <c r="L274" i="18"/>
  <c r="L63" i="18"/>
  <c r="L14" i="18"/>
  <c r="L20" i="18"/>
  <c r="L22" i="18"/>
  <c r="L226" i="18"/>
  <c r="L231" i="18"/>
  <c r="L233" i="18"/>
  <c r="L153" i="18"/>
  <c r="L75" i="18"/>
  <c r="L8" i="18"/>
  <c r="L92" i="18"/>
  <c r="L93" i="18"/>
  <c r="L94" i="18"/>
  <c r="L165" i="18"/>
  <c r="L166" i="18"/>
  <c r="L167" i="18"/>
  <c r="L104" i="18"/>
  <c r="L105" i="18"/>
  <c r="L107" i="18"/>
  <c r="L171" i="18"/>
  <c r="L172" i="18"/>
  <c r="L173" i="18"/>
  <c r="L237" i="18"/>
  <c r="L238" i="18"/>
  <c r="L239" i="18"/>
  <c r="L111" i="18"/>
  <c r="L112" i="18"/>
  <c r="L113" i="18"/>
  <c r="L243" i="18"/>
  <c r="L244" i="18"/>
  <c r="L245" i="18"/>
  <c r="L285" i="18"/>
  <c r="L286" i="18"/>
  <c r="L4" i="18"/>
  <c r="L15" i="18"/>
  <c r="L16" i="18"/>
  <c r="L21" i="18"/>
  <c r="L225" i="18"/>
  <c r="L227" i="18"/>
  <c r="L232" i="18"/>
  <c r="L154" i="18"/>
  <c r="L155" i="18"/>
  <c r="L74" i="18"/>
  <c r="L76" i="18"/>
  <c r="L39" i="18"/>
  <c r="L40" i="18"/>
  <c r="L64" i="18"/>
  <c r="L2" i="18"/>
  <c r="L9" i="18"/>
  <c r="L275" i="18"/>
  <c r="L281" i="18"/>
  <c r="L56" i="18"/>
  <c r="L57" i="18"/>
  <c r="L58" i="18"/>
  <c r="L291" i="18"/>
  <c r="L292" i="18"/>
  <c r="L293" i="18"/>
  <c r="L135" i="18"/>
  <c r="L136" i="18"/>
  <c r="L137" i="18"/>
  <c r="L309" i="18" l="1"/>
  <c r="L310" i="18"/>
  <c r="L311" i="18" l="1"/>
  <c r="L287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</author>
  </authors>
  <commentList>
    <comment ref="E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</rPr>
          <t>35</t>
        </r>
      </text>
    </comment>
    <comment ref="D8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退卡47</t>
        </r>
      </text>
    </comment>
    <comment ref="F14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  <charset val="134"/>
          </rPr>
          <t>511.5</t>
        </r>
      </text>
    </comment>
    <comment ref="J14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退卡286.8+3671.35</t>
        </r>
      </text>
    </comment>
    <comment ref="C1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补以前年度的管理费</t>
        </r>
      </text>
    </comment>
    <comment ref="G3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</rPr>
          <t>9558.9</t>
        </r>
      </text>
    </comment>
    <comment ref="I32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12号楼毕业生退卡411.76，系统变更退卡11319.96</t>
        </r>
      </text>
    </comment>
    <comment ref="J34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估算</t>
        </r>
      </text>
    </comment>
    <comment ref="K34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估算</t>
        </r>
      </text>
    </comment>
    <comment ref="F3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</rPr>
          <t>20</t>
        </r>
      </text>
    </comment>
    <comment ref="I38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零星售卡12682.40</t>
        </r>
      </text>
    </comment>
    <comment ref="C44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12月支付宝手续费922，刁全通卖卡800元</t>
        </r>
      </text>
    </comment>
    <comment ref="G44" authorId="0" shapeId="0" xr:uid="{00000000-0006-0000-0000-00000F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退卡金额</t>
        </r>
        <r>
          <rPr>
            <sz val="9"/>
            <color indexed="81"/>
            <rFont val="Tahoma"/>
            <family val="2"/>
            <charset val="134"/>
          </rPr>
          <t>32633.80</t>
        </r>
        <r>
          <rPr>
            <sz val="9"/>
            <color indexed="81"/>
            <rFont val="宋体"/>
            <family val="3"/>
            <charset val="134"/>
          </rPr>
          <t>元，杭职卖卡</t>
        </r>
        <r>
          <rPr>
            <sz val="9"/>
            <color indexed="81"/>
            <rFont val="Tahoma"/>
            <family val="2"/>
            <charset val="134"/>
          </rPr>
          <t>9000</t>
        </r>
      </text>
    </comment>
    <comment ref="H44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退卡2970.8</t>
        </r>
      </text>
    </comment>
    <comment ref="I44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退卡743</t>
        </r>
      </text>
    </comment>
    <comment ref="J44" authorId="0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退卡995</t>
        </r>
      </text>
    </comment>
    <comment ref="F50" authorId="0" shapeId="0" xr:uid="{00000000-0006-0000-0000-000013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  <charset val="134"/>
          </rPr>
          <t>2030</t>
        </r>
      </text>
    </comment>
    <comment ref="H50" authorId="0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退卡11525.97</t>
        </r>
      </text>
    </comment>
    <comment ref="I50" authorId="0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退卡500</t>
        </r>
      </text>
    </comment>
    <comment ref="C56" authorId="0" shapeId="0" xr:uid="{00000000-0006-0000-0000-000016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支付宝12月份手续费27.2</t>
        </r>
      </text>
    </comment>
    <comment ref="H56" authorId="0" shapeId="0" xr:uid="{00000000-0006-0000-0000-000017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退卡2460+1490</t>
        </r>
      </text>
    </comment>
    <comment ref="G62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</rPr>
          <t>3350.04</t>
        </r>
      </text>
    </comment>
    <comment ref="H62" authorId="0" shapeId="0" xr:uid="{00000000-0006-0000-0000-000019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退卡5475.16</t>
        </r>
      </text>
    </comment>
    <comment ref="I62" authorId="0" shapeId="0" xr:uid="{00000000-0006-0000-0000-00001A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退卡924.73</t>
        </r>
      </text>
    </comment>
    <comment ref="J62" authorId="0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退卡479.05</t>
        </r>
      </text>
    </comment>
    <comment ref="J68" authorId="0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退卡3035.73</t>
        </r>
      </text>
    </comment>
    <comment ref="F9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</rPr>
          <t>14.15+2494.9</t>
        </r>
      </text>
    </comment>
    <comment ref="J92" authorId="0" shapeId="0" xr:uid="{00000000-0006-0000-0000-00001E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退卡19.2</t>
        </r>
      </text>
    </comment>
    <comment ref="E98" authorId="0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退卡30</t>
        </r>
      </text>
    </comment>
    <comment ref="F104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</rPr>
          <t>37300</t>
        </r>
        <r>
          <rPr>
            <sz val="9"/>
            <color indexed="81"/>
            <rFont val="宋体"/>
            <family val="3"/>
            <charset val="134"/>
          </rPr>
          <t>元，卖卡</t>
        </r>
        <r>
          <rPr>
            <sz val="9"/>
            <color indexed="81"/>
            <rFont val="Tahoma"/>
            <family val="2"/>
          </rPr>
          <t>140</t>
        </r>
      </text>
    </comment>
    <comment ref="I104" authorId="0" shapeId="0" xr:uid="{00000000-0006-0000-0000-000021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国教学院83000，退卡17580.85</t>
        </r>
      </text>
    </comment>
    <comment ref="K104" authorId="0" shapeId="0" xr:uid="{00000000-0006-0000-0000-000022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估算</t>
        </r>
      </text>
    </comment>
    <comment ref="C117" authorId="0" shapeId="0" xr:uid="{00000000-0006-0000-0000-000023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扣除2016年10-12月水电60802.11</t>
        </r>
      </text>
    </comment>
    <comment ref="F117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暂估</t>
        </r>
      </text>
    </comment>
    <comment ref="G117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暂估</t>
        </r>
      </text>
    </comment>
    <comment ref="F123" authorId="0" shapeId="0" xr:uid="{00000000-0006-0000-0000-000026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招待所售卡21000元</t>
        </r>
      </text>
    </comment>
    <comment ref="J123" authorId="0" shapeId="0" xr:uid="{00000000-0006-0000-0000-000027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招待所售卡16600</t>
        </r>
      </text>
    </comment>
    <comment ref="F135" authorId="0" shapeId="0" xr:uid="{00000000-0006-0000-0000-000028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退卡90元</t>
        </r>
      </text>
    </comment>
    <comment ref="I135" authorId="0" shapeId="0" xr:uid="{00000000-0006-0000-0000-000029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退卡198.84</t>
        </r>
      </text>
    </comment>
    <comment ref="K143" authorId="0" shapeId="0" xr:uid="{00000000-0006-0000-0000-00002A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估算</t>
        </r>
      </text>
    </comment>
    <comment ref="J147" authorId="0" shapeId="0" xr:uid="{00000000-0006-0000-0000-00002B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退卡239.2+70</t>
        </r>
      </text>
    </comment>
    <comment ref="I153" authorId="0" shapeId="0" xr:uid="{00000000-0006-0000-0000-00002C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退卡2600.71</t>
        </r>
      </text>
    </comment>
    <comment ref="K159" authorId="0" shapeId="0" xr:uid="{00000000-0006-0000-0000-00002D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估算</t>
        </r>
      </text>
    </comment>
    <comment ref="D17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2016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7-10</t>
        </r>
        <r>
          <rPr>
            <sz val="9"/>
            <color indexed="81"/>
            <rFont val="宋体"/>
            <family val="3"/>
            <charset val="134"/>
          </rPr>
          <t>月水电费补开发票</t>
        </r>
        <r>
          <rPr>
            <sz val="9"/>
            <color indexed="81"/>
            <rFont val="Tahoma"/>
            <family val="2"/>
          </rPr>
          <t>51017.51</t>
        </r>
        <r>
          <rPr>
            <sz val="9"/>
            <color indexed="81"/>
            <rFont val="宋体"/>
            <family val="3"/>
            <charset val="134"/>
          </rPr>
          <t>元</t>
        </r>
      </text>
    </comment>
    <comment ref="J172" authorId="0" shapeId="0" xr:uid="{00000000-0006-0000-0000-00002F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估算</t>
        </r>
      </text>
    </comment>
    <comment ref="E183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</rPr>
          <t>340</t>
        </r>
      </text>
    </comment>
    <comment ref="I183" authorId="0" shapeId="0" xr:uid="{00000000-0006-0000-0000-000031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退卡61元</t>
        </r>
      </text>
    </comment>
    <comment ref="F189" authorId="0" shapeId="0" xr:uid="{00000000-0006-0000-0000-000032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退卡1837.5</t>
        </r>
      </text>
    </comment>
    <comment ref="G189" authorId="0" shapeId="0" xr:uid="{00000000-0006-0000-0000-000033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零星售卡5357</t>
        </r>
      </text>
    </comment>
    <comment ref="J189" authorId="0" shapeId="0" xr:uid="{00000000-0006-0000-0000-000034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退卡1770</t>
        </r>
      </text>
    </comment>
    <comment ref="D195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</rPr>
          <t>40</t>
        </r>
      </text>
    </comment>
    <comment ref="C20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宋体"/>
            <family val="3"/>
            <charset val="134"/>
          </rPr>
          <t>月手续费</t>
        </r>
        <r>
          <rPr>
            <sz val="9"/>
            <color indexed="81"/>
            <rFont val="Tahoma"/>
            <family val="2"/>
          </rPr>
          <t>340.65</t>
        </r>
      </text>
    </comment>
    <comment ref="F20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</rPr>
          <t>150</t>
        </r>
        <r>
          <rPr>
            <sz val="9"/>
            <color indexed="81"/>
            <rFont val="宋体"/>
            <family val="3"/>
            <charset val="134"/>
          </rPr>
          <t>元</t>
        </r>
      </text>
    </comment>
    <comment ref="H201" authorId="0" shapeId="0" xr:uid="{00000000-0006-0000-0000-000038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退卡323</t>
        </r>
      </text>
    </comment>
    <comment ref="I201" authorId="0" shapeId="0" xr:uid="{00000000-0006-0000-0000-000039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退卡138</t>
        </r>
      </text>
    </comment>
    <comment ref="E202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手续费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>元</t>
        </r>
      </text>
    </comment>
    <comment ref="K202" authorId="0" shapeId="0" xr:uid="{00000000-0006-0000-0000-00003B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估算</t>
        </r>
      </text>
    </comment>
    <comment ref="E203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冲回</t>
        </r>
        <r>
          <rPr>
            <sz val="9"/>
            <color indexed="81"/>
            <rFont val="Tahoma"/>
            <family val="2"/>
          </rPr>
          <t>2016</t>
        </r>
        <r>
          <rPr>
            <sz val="9"/>
            <color indexed="81"/>
            <rFont val="宋体"/>
            <family val="3"/>
            <charset val="134"/>
          </rPr>
          <t>年多提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万燃气费</t>
        </r>
      </text>
    </comment>
    <comment ref="K203" authorId="0" shapeId="0" xr:uid="{00000000-0006-0000-0000-00003D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估算</t>
        </r>
      </text>
    </comment>
    <comment ref="K221" authorId="0" shapeId="0" xr:uid="{00000000-0006-0000-0000-00003E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估算</t>
        </r>
      </text>
    </comment>
    <comment ref="F237" authorId="0" shapeId="0" xr:uid="{00000000-0006-0000-0000-00003F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退卡1253.34</t>
        </r>
      </text>
    </comment>
    <comment ref="H238" authorId="0" shapeId="0" xr:uid="{00000000-0006-0000-0000-000040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罚款1000</t>
        </r>
      </text>
    </comment>
    <comment ref="J238" authorId="0" shapeId="0" xr:uid="{00000000-0006-0000-0000-000041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罚款500</t>
        </r>
      </text>
    </comment>
    <comment ref="F243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退卡</t>
        </r>
        <r>
          <rPr>
            <sz val="9"/>
            <color indexed="81"/>
            <rFont val="Tahoma"/>
            <family val="2"/>
          </rPr>
          <t>3688.5</t>
        </r>
        <r>
          <rPr>
            <sz val="9"/>
            <color indexed="81"/>
            <rFont val="宋体"/>
            <family val="3"/>
            <charset val="134"/>
          </rPr>
          <t>，卖卡</t>
        </r>
        <r>
          <rPr>
            <sz val="9"/>
            <color indexed="81"/>
            <rFont val="Tahoma"/>
            <family val="2"/>
          </rPr>
          <t>4200</t>
        </r>
      </text>
    </comment>
    <comment ref="I243" authorId="0" shapeId="0" xr:uid="{00000000-0006-0000-0000-000043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退卡1787.18，零星卖卡3516.36</t>
        </r>
      </text>
    </comment>
    <comment ref="H244" authorId="0" shapeId="0" xr:uid="{00000000-0006-0000-0000-000044000000}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设备租金50000+罚款1000</t>
        </r>
      </text>
    </comment>
    <comment ref="C261" authorId="0" shapeId="0" xr:uid="{00000000-0006-0000-0000-000045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零星卖卡1875</t>
        </r>
      </text>
    </comment>
    <comment ref="D261" authorId="0" shapeId="0" xr:uid="{00000000-0006-0000-0000-000046000000}">
      <text>
        <r>
          <rPr>
            <b/>
            <sz val="9"/>
            <color indexed="81"/>
            <rFont val="Tahoma"/>
            <family val="2"/>
            <charset val="134"/>
          </rPr>
          <t>Microsoft:</t>
        </r>
        <r>
          <rPr>
            <sz val="9"/>
            <color indexed="81"/>
            <rFont val="Tahoma"/>
            <family val="2"/>
            <charset val="134"/>
          </rPr>
          <t xml:space="preserve">
退卡30</t>
        </r>
      </text>
    </comment>
    <comment ref="C292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清洁费</t>
        </r>
        <r>
          <rPr>
            <sz val="9"/>
            <color indexed="81"/>
            <rFont val="Tahoma"/>
            <family val="2"/>
          </rPr>
          <t>1165.9</t>
        </r>
      </text>
    </comment>
  </commentList>
</comments>
</file>

<file path=xl/sharedStrings.xml><?xml version="1.0" encoding="utf-8"?>
<sst xmlns="http://schemas.openxmlformats.org/spreadsheetml/2006/main" count="629" uniqueCount="94">
  <si>
    <t>宁波城市职业技术学院</t>
  </si>
  <si>
    <t>浙江工商职业技术学院</t>
  </si>
  <si>
    <t>宁波大学</t>
  </si>
  <si>
    <t>浙江商业技师学院</t>
  </si>
  <si>
    <t>丽水职业技术学院</t>
  </si>
  <si>
    <t>丽水中学</t>
  </si>
  <si>
    <t>衢州学院</t>
  </si>
  <si>
    <t>衢州职业技术学院</t>
  </si>
  <si>
    <t>江山实验中学</t>
  </si>
  <si>
    <t>嘉兴学院</t>
  </si>
  <si>
    <t>台州学院</t>
  </si>
  <si>
    <t>杭州之江专修学院</t>
  </si>
  <si>
    <t>浙江建设职业技术学院</t>
  </si>
  <si>
    <t>浙江理工大学下沙校区</t>
  </si>
  <si>
    <t>浙江农林大学</t>
  </si>
  <si>
    <t>浙江师范大学</t>
  </si>
  <si>
    <t>南京三江学院</t>
  </si>
  <si>
    <t>华东交通大学理工学院</t>
  </si>
  <si>
    <t>合计</t>
    <phoneticPr fontId="1" type="noConversion"/>
  </si>
  <si>
    <t>充值金额</t>
    <phoneticPr fontId="1" type="noConversion"/>
  </si>
  <si>
    <t>学校管理费</t>
    <phoneticPr fontId="1" type="noConversion"/>
  </si>
  <si>
    <t>水电成本</t>
    <phoneticPr fontId="1" type="noConversion"/>
  </si>
  <si>
    <t>浙江师范大学萧山校区</t>
  </si>
  <si>
    <t>安徽商贸职业技术学院</t>
  </si>
  <si>
    <t>金华职业技术学院</t>
  </si>
  <si>
    <t>浙江传媒学院桐乡校区</t>
  </si>
  <si>
    <t>杭州职业技术学院</t>
  </si>
  <si>
    <t>临沂职业学院</t>
  </si>
  <si>
    <t>金山职业技术学院</t>
  </si>
  <si>
    <t>常州工学院</t>
  </si>
  <si>
    <t>学校名称（及校区名）</t>
    <phoneticPr fontId="1" type="noConversion"/>
  </si>
  <si>
    <t>合计</t>
    <phoneticPr fontId="1" type="noConversion"/>
  </si>
  <si>
    <t>水电成本</t>
    <phoneticPr fontId="1" type="noConversion"/>
  </si>
  <si>
    <t>学校管理费</t>
    <phoneticPr fontId="1" type="noConversion"/>
  </si>
  <si>
    <t>嘉兴学院平湖校区</t>
    <phoneticPr fontId="9" type="noConversion"/>
  </si>
  <si>
    <t>杭州之江专修学院</t>
    <phoneticPr fontId="9" type="noConversion"/>
  </si>
  <si>
    <t>浙江建设职业技术学院</t>
    <phoneticPr fontId="9" type="noConversion"/>
  </si>
  <si>
    <t>江西卫生职业学院</t>
  </si>
  <si>
    <t>温州医科大学</t>
    <phoneticPr fontId="1" type="noConversion"/>
  </si>
  <si>
    <t>常州机电职业技术学院</t>
    <phoneticPr fontId="1" type="noConversion"/>
  </si>
  <si>
    <t>浙江师范大学附属中学</t>
    <phoneticPr fontId="1" type="noConversion"/>
  </si>
  <si>
    <t>滁州学院琅琊校区</t>
    <phoneticPr fontId="1" type="noConversion"/>
  </si>
  <si>
    <t>山东农业大学</t>
    <phoneticPr fontId="1" type="noConversion"/>
  </si>
  <si>
    <t>浙江工业职业技术学院</t>
    <phoneticPr fontId="1" type="noConversion"/>
  </si>
  <si>
    <t>浙江传媒学院下沙校区</t>
    <phoneticPr fontId="9" type="noConversion"/>
  </si>
  <si>
    <t>滁州学院会峰校区</t>
    <phoneticPr fontId="1" type="noConversion"/>
  </si>
  <si>
    <t>常州工程职业技术学院</t>
    <phoneticPr fontId="1" type="noConversion"/>
  </si>
  <si>
    <t>阜阳师范学院</t>
    <phoneticPr fontId="1" type="noConversion"/>
  </si>
  <si>
    <t>郑州航空工业管理学院</t>
    <phoneticPr fontId="9" type="noConversion"/>
  </si>
  <si>
    <t>山东理工大学</t>
    <phoneticPr fontId="9" type="noConversion"/>
  </si>
  <si>
    <t>合计</t>
    <phoneticPr fontId="1" type="noConversion"/>
  </si>
  <si>
    <t>安徽职业技术学院</t>
    <phoneticPr fontId="9" type="noConversion"/>
  </si>
  <si>
    <t>舒城师范学校</t>
    <phoneticPr fontId="9" type="noConversion"/>
  </si>
  <si>
    <t>江苏大学</t>
    <phoneticPr fontId="9" type="noConversion"/>
  </si>
  <si>
    <t>齐鲁工业大学</t>
    <phoneticPr fontId="12" type="noConversion"/>
  </si>
  <si>
    <t>淮阴师范学院</t>
    <phoneticPr fontId="12" type="noConversion"/>
  </si>
  <si>
    <t>河南工学院</t>
    <phoneticPr fontId="12" type="noConversion"/>
  </si>
  <si>
    <t>温州医科大学</t>
  </si>
  <si>
    <t>维护费</t>
    <phoneticPr fontId="1" type="noConversion"/>
  </si>
  <si>
    <t>大维修</t>
    <phoneticPr fontId="1" type="noConversion"/>
  </si>
  <si>
    <t>其他</t>
    <phoneticPr fontId="1" type="noConversion"/>
  </si>
  <si>
    <t>丽水市职业高级中学</t>
  </si>
  <si>
    <t>嘉兴学院</t>
    <phoneticPr fontId="13" type="noConversion"/>
  </si>
  <si>
    <t>嘉兴学院平湖校区</t>
  </si>
  <si>
    <t>浙江师范大学附属中学</t>
  </si>
  <si>
    <t>义乌工商职业技术学院</t>
  </si>
  <si>
    <t>常州机电职业技术学院</t>
  </si>
  <si>
    <t>常州工程职业技术学院</t>
  </si>
  <si>
    <t>滁州学院琅琊校区</t>
  </si>
  <si>
    <t>滁州学院会峰校区</t>
  </si>
  <si>
    <t>浙江传媒学院下沙校区</t>
  </si>
  <si>
    <t>浙江工业职业技术学院</t>
  </si>
  <si>
    <t>山东农业大学</t>
  </si>
  <si>
    <t>阜阳师范学院</t>
  </si>
  <si>
    <t>嘉兴学院梁林校区</t>
  </si>
  <si>
    <t>郑州航空工业管理学院</t>
  </si>
  <si>
    <t>安徽工商职业学院</t>
  </si>
  <si>
    <t>山东理工大学</t>
  </si>
  <si>
    <t>齐鲁工业大学</t>
  </si>
  <si>
    <t>安徽职业技术学院</t>
  </si>
  <si>
    <t>淮阴师范学院</t>
  </si>
  <si>
    <t>江苏大学</t>
  </si>
  <si>
    <t>舒城师范学院</t>
  </si>
  <si>
    <t>河南工学院</t>
  </si>
  <si>
    <t>嘉兴学院梁林校区</t>
    <phoneticPr fontId="12" type="noConversion"/>
  </si>
  <si>
    <t>维护费</t>
    <phoneticPr fontId="1" type="noConversion"/>
  </si>
  <si>
    <t>大维修</t>
    <phoneticPr fontId="1" type="noConversion"/>
  </si>
  <si>
    <t>其他</t>
    <phoneticPr fontId="1" type="noConversion"/>
  </si>
  <si>
    <t>充值金额</t>
    <phoneticPr fontId="1" type="noConversion"/>
  </si>
  <si>
    <t>学校管理费</t>
    <phoneticPr fontId="1" type="noConversion"/>
  </si>
  <si>
    <t>水电成本</t>
    <phoneticPr fontId="1" type="noConversion"/>
  </si>
  <si>
    <t>贫困生补助</t>
    <phoneticPr fontId="1" type="noConversion"/>
  </si>
  <si>
    <t>浙江大学西溪校区</t>
  </si>
  <si>
    <t>项目名称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</si>
</sst>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 "/>
  </numFmts>
  <fonts count="14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color indexed="8"/>
      <name val="Arial Unicode MS"/>
      <family val="2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宋体"/>
      <family val="3"/>
      <charset val="134"/>
      <scheme val="minor"/>
    </font>
    <font>
      <sz val="9"/>
      <color indexed="81"/>
      <name val="Tahoma"/>
      <family val="2"/>
      <charset val="134"/>
    </font>
    <font>
      <b/>
      <sz val="9"/>
      <color indexed="81"/>
      <name val="Tahoma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807DDD7A-6EE4-46D6-8317-B1875D50983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"/>
  <sheetViews>
    <sheetView tabSelected="1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N6" sqref="N6"/>
    </sheetView>
  </sheetViews>
  <sheetFormatPr defaultColWidth="11.5" defaultRowHeight="12"/>
  <cols>
    <col min="1" max="1" width="17.625" style="3" customWidth="1"/>
    <col min="2" max="2" width="11.5" style="3"/>
    <col min="3" max="12" width="11.5" style="9"/>
    <col min="13" max="16384" width="11.5" style="1"/>
  </cols>
  <sheetData>
    <row r="1" spans="1:12">
      <c r="A1" s="11" t="s">
        <v>30</v>
      </c>
      <c r="B1" s="4" t="s">
        <v>93</v>
      </c>
      <c r="C1" s="7">
        <v>2</v>
      </c>
      <c r="D1" s="5">
        <v>3</v>
      </c>
      <c r="E1" s="5">
        <v>4</v>
      </c>
      <c r="F1" s="5">
        <v>5</v>
      </c>
      <c r="G1" s="5">
        <v>6</v>
      </c>
      <c r="H1" s="5">
        <v>9</v>
      </c>
      <c r="I1" s="5">
        <v>10</v>
      </c>
      <c r="J1" s="5">
        <v>11</v>
      </c>
      <c r="K1" s="5">
        <v>12</v>
      </c>
      <c r="L1" s="8" t="s">
        <v>31</v>
      </c>
    </row>
    <row r="2" spans="1:12" ht="15.75" customHeight="1">
      <c r="A2" s="2" t="s">
        <v>0</v>
      </c>
      <c r="B2" s="4" t="s">
        <v>88</v>
      </c>
      <c r="C2" s="14">
        <v>140200</v>
      </c>
      <c r="D2" s="14">
        <v>169220</v>
      </c>
      <c r="E2" s="14">
        <f>145680-35</f>
        <v>145645</v>
      </c>
      <c r="F2" s="14">
        <v>153940</v>
      </c>
      <c r="G2" s="14">
        <v>118700</v>
      </c>
      <c r="H2" s="15">
        <v>210940</v>
      </c>
      <c r="I2" s="15">
        <v>166440</v>
      </c>
      <c r="J2" s="15">
        <v>198240</v>
      </c>
      <c r="K2" s="15">
        <v>195020</v>
      </c>
      <c r="L2" s="15">
        <f t="shared" ref="L2:L239" si="0">SUM(C2:K2)</f>
        <v>1498345</v>
      </c>
    </row>
    <row r="3" spans="1:12" s="3" customFormat="1" ht="20.100000000000001" customHeight="1">
      <c r="A3" s="2" t="s">
        <v>0</v>
      </c>
      <c r="B3" s="4" t="s">
        <v>89</v>
      </c>
      <c r="C3" s="14">
        <v>8412</v>
      </c>
      <c r="D3" s="14">
        <v>10153.200000000001</v>
      </c>
      <c r="E3" s="14">
        <v>8740.7999999999993</v>
      </c>
      <c r="F3" s="14">
        <v>9236.4</v>
      </c>
      <c r="G3" s="14">
        <v>7122</v>
      </c>
      <c r="H3" s="14">
        <v>12656.4</v>
      </c>
      <c r="I3" s="14">
        <v>9986.4</v>
      </c>
      <c r="J3" s="15">
        <v>11894.4</v>
      </c>
      <c r="K3" s="15">
        <v>11701.2</v>
      </c>
      <c r="L3" s="15">
        <f t="shared" si="0"/>
        <v>89902.799999999988</v>
      </c>
    </row>
    <row r="4" spans="1:12" ht="20.100000000000001" customHeight="1">
      <c r="A4" s="2" t="s">
        <v>0</v>
      </c>
      <c r="B4" s="4" t="s">
        <v>21</v>
      </c>
      <c r="C4" s="14">
        <v>51211.44</v>
      </c>
      <c r="D4" s="14">
        <v>53918.93</v>
      </c>
      <c r="E4" s="14">
        <v>46246.28</v>
      </c>
      <c r="F4" s="14">
        <v>41566.69</v>
      </c>
      <c r="G4" s="14">
        <v>30854.32</v>
      </c>
      <c r="H4" s="15">
        <v>36382.69</v>
      </c>
      <c r="I4" s="15">
        <v>36830.120000000003</v>
      </c>
      <c r="J4" s="15">
        <v>51984.51</v>
      </c>
      <c r="K4" s="15">
        <v>66858.62000000001</v>
      </c>
      <c r="L4" s="15">
        <f t="shared" si="0"/>
        <v>415853.60000000003</v>
      </c>
    </row>
    <row r="5" spans="1:12" ht="20.100000000000001" customHeight="1">
      <c r="A5" s="2" t="s">
        <v>0</v>
      </c>
      <c r="B5" s="4" t="s">
        <v>85</v>
      </c>
      <c r="C5" s="15">
        <v>200</v>
      </c>
      <c r="D5" s="15">
        <v>777.55</v>
      </c>
      <c r="E5" s="15">
        <v>470.6</v>
      </c>
      <c r="F5" s="15">
        <v>1032.1099999999999</v>
      </c>
      <c r="G5" s="15">
        <v>1550.51</v>
      </c>
      <c r="H5" s="15">
        <v>2437.0500000000002</v>
      </c>
      <c r="I5" s="15">
        <v>1250.32</v>
      </c>
      <c r="J5" s="15">
        <v>3022.73</v>
      </c>
      <c r="K5" s="15">
        <v>3697.08</v>
      </c>
      <c r="L5" s="15">
        <f t="shared" ref="L5:L7" si="1">C5+D5+E5+F5+G5+H5+I5+J5+K5</f>
        <v>14437.95</v>
      </c>
    </row>
    <row r="6" spans="1:12" ht="20.100000000000001" customHeight="1">
      <c r="A6" s="2" t="s">
        <v>0</v>
      </c>
      <c r="B6" s="4" t="s">
        <v>59</v>
      </c>
      <c r="C6" s="15">
        <v>0</v>
      </c>
      <c r="D6" s="15"/>
      <c r="E6" s="15"/>
      <c r="F6" s="15"/>
      <c r="G6" s="15"/>
      <c r="H6" s="15">
        <v>0</v>
      </c>
      <c r="I6" s="15"/>
      <c r="J6" s="15"/>
      <c r="K6" s="15"/>
      <c r="L6" s="15">
        <f t="shared" si="1"/>
        <v>0</v>
      </c>
    </row>
    <row r="7" spans="1:12" s="12" customFormat="1" ht="20.100000000000001" customHeight="1">
      <c r="A7" s="2" t="s">
        <v>0</v>
      </c>
      <c r="B7" s="4" t="s">
        <v>87</v>
      </c>
      <c r="C7" s="15">
        <v>0</v>
      </c>
      <c r="D7" s="15"/>
      <c r="E7" s="15"/>
      <c r="F7" s="15"/>
      <c r="G7" s="15"/>
      <c r="H7" s="15">
        <v>0</v>
      </c>
      <c r="I7" s="15"/>
      <c r="J7" s="15"/>
      <c r="K7" s="15"/>
      <c r="L7" s="15">
        <f t="shared" si="1"/>
        <v>0</v>
      </c>
    </row>
    <row r="8" spans="1:12" s="12" customFormat="1" ht="20.100000000000001" customHeight="1">
      <c r="A8" s="2" t="s">
        <v>1</v>
      </c>
      <c r="B8" s="4" t="s">
        <v>88</v>
      </c>
      <c r="C8" s="15">
        <v>127592.54</v>
      </c>
      <c r="D8" s="15">
        <f>117415.92-47</f>
        <v>117368.92</v>
      </c>
      <c r="E8" s="15">
        <v>97053.88</v>
      </c>
      <c r="F8" s="15">
        <v>88849.21</v>
      </c>
      <c r="G8" s="15">
        <v>59181.46</v>
      </c>
      <c r="H8" s="15">
        <v>171138.97</v>
      </c>
      <c r="I8" s="15">
        <v>119528.49</v>
      </c>
      <c r="J8" s="15">
        <v>119637.48</v>
      </c>
      <c r="K8" s="15">
        <v>125913.18</v>
      </c>
      <c r="L8" s="15">
        <f t="shared" si="0"/>
        <v>1026264.1299999999</v>
      </c>
    </row>
    <row r="9" spans="1:12" s="12" customFormat="1" ht="20.100000000000001" customHeight="1">
      <c r="A9" s="2" t="s">
        <v>1</v>
      </c>
      <c r="B9" s="4" t="s">
        <v>33</v>
      </c>
      <c r="C9" s="15">
        <v>7655.55</v>
      </c>
      <c r="D9" s="15">
        <v>7044.96</v>
      </c>
      <c r="E9" s="15">
        <v>5823.23</v>
      </c>
      <c r="F9" s="15">
        <v>5330.95</v>
      </c>
      <c r="G9" s="15">
        <v>3550.89</v>
      </c>
      <c r="H9" s="15">
        <v>10268.34</v>
      </c>
      <c r="I9" s="15">
        <v>7171.71</v>
      </c>
      <c r="J9" s="15">
        <v>7178.25</v>
      </c>
      <c r="K9" s="15">
        <v>7554.79</v>
      </c>
      <c r="L9" s="15">
        <f t="shared" si="0"/>
        <v>61578.67</v>
      </c>
    </row>
    <row r="10" spans="1:12" ht="20.100000000000001" customHeight="1">
      <c r="A10" s="2" t="s">
        <v>1</v>
      </c>
      <c r="B10" s="4" t="s">
        <v>32</v>
      </c>
      <c r="C10" s="15">
        <v>26454.100000000006</v>
      </c>
      <c r="D10" s="15">
        <v>24577.05</v>
      </c>
      <c r="E10" s="15">
        <v>17503.75</v>
      </c>
      <c r="F10" s="15">
        <v>11533.5</v>
      </c>
      <c r="G10" s="15">
        <v>9925.9000000000015</v>
      </c>
      <c r="H10" s="15">
        <v>8636.0499999999993</v>
      </c>
      <c r="I10" s="15">
        <v>18600.599999999999</v>
      </c>
      <c r="J10" s="15">
        <v>21812</v>
      </c>
      <c r="K10" s="15">
        <v>28769.050000000003</v>
      </c>
      <c r="L10" s="15">
        <f t="shared" si="0"/>
        <v>167812</v>
      </c>
    </row>
    <row r="11" spans="1:12" ht="20.100000000000001" customHeight="1">
      <c r="A11" s="2" t="s">
        <v>1</v>
      </c>
      <c r="B11" s="4" t="s">
        <v>85</v>
      </c>
      <c r="C11" s="15">
        <v>74</v>
      </c>
      <c r="D11" s="15">
        <v>354</v>
      </c>
      <c r="E11" s="15">
        <v>2306.5100000000002</v>
      </c>
      <c r="F11" s="15">
        <v>12</v>
      </c>
      <c r="G11" s="15">
        <v>2368.25</v>
      </c>
      <c r="H11" s="15">
        <v>1712.95</v>
      </c>
      <c r="I11" s="15">
        <v>1605</v>
      </c>
      <c r="J11" s="15">
        <v>4368.26</v>
      </c>
      <c r="K11" s="15">
        <v>2270.35</v>
      </c>
      <c r="L11" s="15">
        <f t="shared" ref="L11:L13" si="2">C11+D11+E11+F11+G11+H11+I11+J11+K11</f>
        <v>15071.32</v>
      </c>
    </row>
    <row r="12" spans="1:12" ht="20.100000000000001" customHeight="1">
      <c r="A12" s="2" t="s">
        <v>1</v>
      </c>
      <c r="B12" s="4" t="s">
        <v>86</v>
      </c>
      <c r="C12" s="15">
        <v>0</v>
      </c>
      <c r="D12" s="15"/>
      <c r="E12" s="15"/>
      <c r="F12" s="15"/>
      <c r="G12" s="15"/>
      <c r="H12" s="15">
        <v>0</v>
      </c>
      <c r="I12" s="15"/>
      <c r="J12" s="15"/>
      <c r="K12" s="15"/>
      <c r="L12" s="15">
        <f t="shared" si="2"/>
        <v>0</v>
      </c>
    </row>
    <row r="13" spans="1:12" s="12" customFormat="1" ht="20.100000000000001" customHeight="1">
      <c r="A13" s="2" t="s">
        <v>1</v>
      </c>
      <c r="B13" s="4" t="s">
        <v>87</v>
      </c>
      <c r="C13" s="15">
        <v>0</v>
      </c>
      <c r="D13" s="15"/>
      <c r="E13" s="15"/>
      <c r="F13" s="15"/>
      <c r="G13" s="15"/>
      <c r="H13" s="15">
        <v>0</v>
      </c>
      <c r="I13" s="15"/>
      <c r="J13" s="15"/>
      <c r="K13" s="15"/>
      <c r="L13" s="15">
        <f t="shared" si="2"/>
        <v>0</v>
      </c>
    </row>
    <row r="14" spans="1:12" s="12" customFormat="1" ht="20.100000000000001" customHeight="1">
      <c r="A14" s="2" t="s">
        <v>2</v>
      </c>
      <c r="B14" s="4" t="s">
        <v>88</v>
      </c>
      <c r="C14" s="15">
        <v>279663</v>
      </c>
      <c r="D14" s="15">
        <v>247746.09999999998</v>
      </c>
      <c r="E14" s="15">
        <v>223795.75</v>
      </c>
      <c r="F14" s="15">
        <f>244911.87-511.5</f>
        <v>244400.37</v>
      </c>
      <c r="G14" s="15">
        <v>234832.64000000001</v>
      </c>
      <c r="H14" s="15">
        <v>459173.51</v>
      </c>
      <c r="I14" s="15">
        <v>258157.77</v>
      </c>
      <c r="J14" s="15">
        <f>305123-4058.15</f>
        <v>301064.84999999998</v>
      </c>
      <c r="K14" s="15">
        <v>267230</v>
      </c>
      <c r="L14" s="15">
        <f t="shared" si="0"/>
        <v>2516063.9899999998</v>
      </c>
    </row>
    <row r="15" spans="1:12" s="12" customFormat="1" ht="20.100000000000001" customHeight="1">
      <c r="A15" s="2" t="s">
        <v>2</v>
      </c>
      <c r="B15" s="4" t="s">
        <v>89</v>
      </c>
      <c r="C15" s="15">
        <f>13867.63</f>
        <v>13867.63</v>
      </c>
      <c r="D15" s="15">
        <v>28371.8</v>
      </c>
      <c r="E15" s="15">
        <v>13297.81</v>
      </c>
      <c r="F15" s="15">
        <v>12516.32</v>
      </c>
      <c r="G15" s="15">
        <v>12784.68</v>
      </c>
      <c r="H15" s="15">
        <v>26825.25</v>
      </c>
      <c r="I15" s="15">
        <v>15966.04</v>
      </c>
      <c r="J15" s="15">
        <v>20617.010000000002</v>
      </c>
      <c r="K15" s="15">
        <v>15812.800000000001</v>
      </c>
      <c r="L15" s="15">
        <f t="shared" si="0"/>
        <v>160059.34</v>
      </c>
    </row>
    <row r="16" spans="1:12" ht="20.100000000000001" customHeight="1">
      <c r="A16" s="2" t="s">
        <v>2</v>
      </c>
      <c r="B16" s="4" t="s">
        <v>90</v>
      </c>
      <c r="C16" s="15">
        <v>109333.53</v>
      </c>
      <c r="D16" s="15">
        <v>73253.919999999998</v>
      </c>
      <c r="E16" s="15">
        <v>72801.3</v>
      </c>
      <c r="F16" s="15">
        <v>49411.8</v>
      </c>
      <c r="G16" s="15">
        <v>36185.270000000004</v>
      </c>
      <c r="H16" s="15">
        <v>59728.72</v>
      </c>
      <c r="I16" s="15">
        <v>54075.519999999997</v>
      </c>
      <c r="J16" s="15">
        <v>77517.89</v>
      </c>
      <c r="K16" s="15">
        <v>82495.3</v>
      </c>
      <c r="L16" s="15">
        <f t="shared" si="0"/>
        <v>614803.25000000012</v>
      </c>
    </row>
    <row r="17" spans="1:12" ht="20.100000000000001" customHeight="1">
      <c r="A17" s="2" t="s">
        <v>2</v>
      </c>
      <c r="B17" s="4" t="s">
        <v>85</v>
      </c>
      <c r="C17" s="15">
        <v>406</v>
      </c>
      <c r="D17" s="15">
        <v>4937.03</v>
      </c>
      <c r="E17" s="15">
        <v>2833.28</v>
      </c>
      <c r="F17" s="15">
        <v>5973.19</v>
      </c>
      <c r="G17" s="15">
        <v>2276.35</v>
      </c>
      <c r="H17" s="15">
        <v>17401.769999999997</v>
      </c>
      <c r="I17" s="15">
        <v>1209.48</v>
      </c>
      <c r="J17" s="15">
        <v>13878.73</v>
      </c>
      <c r="K17" s="15">
        <v>3977.52</v>
      </c>
      <c r="L17" s="15">
        <f t="shared" ref="L17:L19" si="3">C17+D17+E17+F17+G17+H17+I17+J17+K17</f>
        <v>52893.35</v>
      </c>
    </row>
    <row r="18" spans="1:12" ht="20.100000000000001" customHeight="1">
      <c r="A18" s="2" t="s">
        <v>2</v>
      </c>
      <c r="B18" s="4" t="s">
        <v>86</v>
      </c>
      <c r="C18" s="15">
        <v>0</v>
      </c>
      <c r="D18" s="15"/>
      <c r="E18" s="15"/>
      <c r="F18" s="15">
        <v>1709.4</v>
      </c>
      <c r="G18" s="15"/>
      <c r="H18" s="15">
        <v>0</v>
      </c>
      <c r="I18" s="15"/>
      <c r="J18" s="15"/>
      <c r="K18" s="15"/>
      <c r="L18" s="15">
        <f t="shared" si="3"/>
        <v>1709.4</v>
      </c>
    </row>
    <row r="19" spans="1:12" s="12" customFormat="1" ht="20.100000000000001" customHeight="1">
      <c r="A19" s="2" t="s">
        <v>2</v>
      </c>
      <c r="B19" s="4" t="s">
        <v>87</v>
      </c>
      <c r="C19" s="15">
        <v>890</v>
      </c>
      <c r="D19" s="15"/>
      <c r="E19" s="15"/>
      <c r="F19" s="15"/>
      <c r="G19" s="15"/>
      <c r="H19" s="15">
        <v>0</v>
      </c>
      <c r="I19" s="15"/>
      <c r="J19" s="15">
        <v>3726.5</v>
      </c>
      <c r="K19" s="15"/>
      <c r="L19" s="15">
        <f t="shared" si="3"/>
        <v>4616.5</v>
      </c>
    </row>
    <row r="20" spans="1:12" s="12" customFormat="1" ht="20.100000000000001" customHeight="1">
      <c r="A20" s="2" t="s">
        <v>3</v>
      </c>
      <c r="B20" s="4" t="s">
        <v>88</v>
      </c>
      <c r="C20" s="15">
        <v>26384.269999999997</v>
      </c>
      <c r="D20" s="15">
        <v>33680.639999999999</v>
      </c>
      <c r="E20" s="15">
        <v>24778.18</v>
      </c>
      <c r="F20" s="15">
        <v>27465.08</v>
      </c>
      <c r="G20" s="15">
        <v>26224.23</v>
      </c>
      <c r="H20" s="15">
        <v>37138.350000000006</v>
      </c>
      <c r="I20" s="15">
        <v>29950.62</v>
      </c>
      <c r="J20" s="15">
        <v>29855.360000000001</v>
      </c>
      <c r="K20" s="15">
        <v>33690.339999999997</v>
      </c>
      <c r="L20" s="15">
        <f t="shared" si="0"/>
        <v>269167.06999999995</v>
      </c>
    </row>
    <row r="21" spans="1:12" s="12" customFormat="1" ht="20.100000000000001" customHeight="1">
      <c r="A21" s="2" t="s">
        <v>3</v>
      </c>
      <c r="B21" s="4" t="s">
        <v>89</v>
      </c>
      <c r="C21" s="15">
        <v>1583.06</v>
      </c>
      <c r="D21" s="15">
        <v>2020.84</v>
      </c>
      <c r="E21" s="15">
        <v>1486.69</v>
      </c>
      <c r="F21" s="15">
        <v>1647.9</v>
      </c>
      <c r="G21" s="15">
        <v>1573.45</v>
      </c>
      <c r="H21" s="15">
        <v>2228.3000000000002</v>
      </c>
      <c r="I21" s="15">
        <v>1797.04</v>
      </c>
      <c r="J21" s="15">
        <v>1791.32</v>
      </c>
      <c r="K21" s="15">
        <v>2021.42</v>
      </c>
      <c r="L21" s="15">
        <f t="shared" si="0"/>
        <v>16150.020000000002</v>
      </c>
    </row>
    <row r="22" spans="1:12" ht="20.100000000000001" customHeight="1">
      <c r="A22" s="2" t="s">
        <v>3</v>
      </c>
      <c r="B22" s="4" t="s">
        <v>90</v>
      </c>
      <c r="C22" s="15">
        <v>8819.52</v>
      </c>
      <c r="D22" s="15">
        <v>8587.8700000000008</v>
      </c>
      <c r="E22" s="15">
        <v>6083.69</v>
      </c>
      <c r="F22" s="15">
        <v>4632.88</v>
      </c>
      <c r="G22" s="15">
        <v>4208.66</v>
      </c>
      <c r="H22" s="15">
        <v>5682.23</v>
      </c>
      <c r="I22" s="15">
        <v>6291.47</v>
      </c>
      <c r="J22" s="15">
        <v>7239.26</v>
      </c>
      <c r="K22" s="15">
        <v>9260.17</v>
      </c>
      <c r="L22" s="15">
        <f t="shared" si="0"/>
        <v>60805.75</v>
      </c>
    </row>
    <row r="23" spans="1:12" ht="20.100000000000001" customHeight="1">
      <c r="A23" s="2" t="s">
        <v>3</v>
      </c>
      <c r="B23" s="4" t="s">
        <v>85</v>
      </c>
      <c r="C23" s="15">
        <v>0</v>
      </c>
      <c r="D23" s="15"/>
      <c r="E23" s="15"/>
      <c r="F23" s="15"/>
      <c r="G23" s="15"/>
      <c r="H23" s="15">
        <v>0</v>
      </c>
      <c r="I23" s="15"/>
      <c r="J23" s="15">
        <v>168</v>
      </c>
      <c r="K23" s="15">
        <v>0</v>
      </c>
      <c r="L23" s="15">
        <f t="shared" ref="L23:L25" si="4">C23+D23+E23+F23+G23+H23+I23+J23+K23</f>
        <v>168</v>
      </c>
    </row>
    <row r="24" spans="1:12" ht="20.100000000000001" customHeight="1">
      <c r="A24" s="2" t="s">
        <v>3</v>
      </c>
      <c r="B24" s="4" t="s">
        <v>86</v>
      </c>
      <c r="C24" s="15">
        <v>0</v>
      </c>
      <c r="D24" s="15"/>
      <c r="E24" s="15"/>
      <c r="F24" s="15"/>
      <c r="G24" s="15"/>
      <c r="H24" s="15">
        <v>0</v>
      </c>
      <c r="I24" s="15"/>
      <c r="J24" s="15">
        <v>12621.36</v>
      </c>
      <c r="K24" s="15"/>
      <c r="L24" s="15">
        <f t="shared" si="4"/>
        <v>12621.36</v>
      </c>
    </row>
    <row r="25" spans="1:12" s="12" customFormat="1" ht="20.100000000000001" customHeight="1">
      <c r="A25" s="2" t="s">
        <v>3</v>
      </c>
      <c r="B25" s="4" t="s">
        <v>87</v>
      </c>
      <c r="C25" s="15">
        <v>0</v>
      </c>
      <c r="D25" s="15"/>
      <c r="E25" s="15"/>
      <c r="F25" s="15"/>
      <c r="G25" s="15"/>
      <c r="H25" s="15">
        <v>0</v>
      </c>
      <c r="I25" s="15"/>
      <c r="J25" s="15"/>
      <c r="K25" s="15"/>
      <c r="L25" s="15">
        <f t="shared" si="4"/>
        <v>0</v>
      </c>
    </row>
    <row r="26" spans="1:12" s="12" customFormat="1" ht="20.100000000000001" customHeight="1">
      <c r="A26" s="2" t="s">
        <v>35</v>
      </c>
      <c r="B26" s="4" t="s">
        <v>19</v>
      </c>
      <c r="C26" s="15">
        <v>0</v>
      </c>
      <c r="D26" s="15">
        <v>41891.85</v>
      </c>
      <c r="E26" s="15">
        <v>0</v>
      </c>
      <c r="F26" s="15">
        <v>34117.050000000003</v>
      </c>
      <c r="G26" s="15">
        <v>11508.75</v>
      </c>
      <c r="H26" s="15">
        <v>25114.65</v>
      </c>
      <c r="I26" s="15">
        <v>0</v>
      </c>
      <c r="J26" s="15">
        <v>6393.75</v>
      </c>
      <c r="K26" s="15">
        <v>17493.3</v>
      </c>
      <c r="L26" s="15">
        <f>SUM(C26:K26)</f>
        <v>136519.34999999998</v>
      </c>
    </row>
    <row r="27" spans="1:12" s="12" customFormat="1" ht="20.100000000000001" customHeight="1">
      <c r="A27" s="2" t="s">
        <v>11</v>
      </c>
      <c r="B27" s="4" t="s">
        <v>20</v>
      </c>
      <c r="C27" s="15">
        <v>0</v>
      </c>
      <c r="D27" s="15">
        <v>1675.67</v>
      </c>
      <c r="E27" s="15">
        <v>0</v>
      </c>
      <c r="F27" s="15">
        <v>1364.68</v>
      </c>
      <c r="G27" s="15">
        <v>460.35</v>
      </c>
      <c r="H27" s="15">
        <v>1004.59</v>
      </c>
      <c r="I27" s="15">
        <v>0</v>
      </c>
      <c r="J27" s="15">
        <v>255.75</v>
      </c>
      <c r="K27" s="15">
        <v>699.73</v>
      </c>
      <c r="L27" s="15">
        <f>SUM(C27:K27)</f>
        <v>5460.77</v>
      </c>
    </row>
    <row r="28" spans="1:12" ht="20.100000000000001" customHeight="1">
      <c r="A28" s="2" t="s">
        <v>11</v>
      </c>
      <c r="B28" s="4" t="s">
        <v>21</v>
      </c>
      <c r="C28" s="15">
        <v>0</v>
      </c>
      <c r="D28" s="15">
        <v>19377.36</v>
      </c>
      <c r="E28" s="15">
        <v>0</v>
      </c>
      <c r="F28" s="15">
        <v>12196.24</v>
      </c>
      <c r="G28" s="15">
        <v>3968.8</v>
      </c>
      <c r="H28" s="15">
        <v>8495.2199999999993</v>
      </c>
      <c r="I28" s="15">
        <v>0</v>
      </c>
      <c r="J28" s="15">
        <v>2731.4</v>
      </c>
      <c r="K28" s="15">
        <v>6770.7999999999993</v>
      </c>
      <c r="L28" s="15">
        <f>SUM(C28:K28)</f>
        <v>53539.820000000007</v>
      </c>
    </row>
    <row r="29" spans="1:12" ht="20.100000000000001" customHeight="1">
      <c r="A29" s="2" t="s">
        <v>11</v>
      </c>
      <c r="B29" s="4" t="s">
        <v>58</v>
      </c>
      <c r="C29" s="15">
        <v>0</v>
      </c>
      <c r="D29" s="15">
        <v>544</v>
      </c>
      <c r="E29" s="15"/>
      <c r="F29" s="15"/>
      <c r="G29" s="15">
        <v>200</v>
      </c>
      <c r="H29" s="15">
        <v>80.849999999999994</v>
      </c>
      <c r="I29" s="15"/>
      <c r="J29" s="15"/>
      <c r="K29" s="15">
        <v>903.58</v>
      </c>
      <c r="L29" s="15">
        <f t="shared" ref="L29:L31" si="5">C29+D29+E29+F29+G29+H29+I29+J29+K29</f>
        <v>1728.43</v>
      </c>
    </row>
    <row r="30" spans="1:12" ht="20.100000000000001" customHeight="1">
      <c r="A30" s="2" t="s">
        <v>11</v>
      </c>
      <c r="B30" s="4" t="s">
        <v>59</v>
      </c>
      <c r="C30" s="15">
        <v>0</v>
      </c>
      <c r="D30" s="15"/>
      <c r="E30" s="15"/>
      <c r="F30" s="15"/>
      <c r="G30" s="15"/>
      <c r="H30" s="15">
        <v>0</v>
      </c>
      <c r="I30" s="15"/>
      <c r="J30" s="15"/>
      <c r="K30" s="15"/>
      <c r="L30" s="15">
        <f t="shared" si="5"/>
        <v>0</v>
      </c>
    </row>
    <row r="31" spans="1:12" s="12" customFormat="1" ht="20.100000000000001" customHeight="1">
      <c r="A31" s="2" t="s">
        <v>11</v>
      </c>
      <c r="B31" s="4" t="s">
        <v>60</v>
      </c>
      <c r="C31" s="15">
        <v>0</v>
      </c>
      <c r="D31" s="15"/>
      <c r="E31" s="15"/>
      <c r="F31" s="15"/>
      <c r="G31" s="15"/>
      <c r="H31" s="15">
        <v>0</v>
      </c>
      <c r="I31" s="15"/>
      <c r="J31" s="15"/>
      <c r="K31" s="15"/>
      <c r="L31" s="15">
        <f t="shared" si="5"/>
        <v>0</v>
      </c>
    </row>
    <row r="32" spans="1:12" s="12" customFormat="1" ht="20.100000000000001" customHeight="1">
      <c r="A32" s="2" t="s">
        <v>13</v>
      </c>
      <c r="B32" s="4" t="s">
        <v>19</v>
      </c>
      <c r="C32" s="15">
        <v>192692.01</v>
      </c>
      <c r="D32" s="15">
        <v>261767.92</v>
      </c>
      <c r="E32" s="15">
        <v>281947.06</v>
      </c>
      <c r="F32" s="15">
        <v>233410.78</v>
      </c>
      <c r="G32" s="15">
        <f>233073.74-9558.9</f>
        <v>223514.84</v>
      </c>
      <c r="H32" s="15">
        <v>263807.55</v>
      </c>
      <c r="I32" s="15">
        <f>295811.75-411.76-11319.96</f>
        <v>284080.02999999997</v>
      </c>
      <c r="J32" s="15">
        <v>363654.8</v>
      </c>
      <c r="K32" s="15">
        <v>427640.35</v>
      </c>
      <c r="L32" s="15">
        <f>SUM(C32:K32)</f>
        <v>2532515.3400000003</v>
      </c>
    </row>
    <row r="33" spans="1:12" s="12" customFormat="1" ht="20.100000000000001" customHeight="1">
      <c r="A33" s="2" t="s">
        <v>13</v>
      </c>
      <c r="B33" s="4" t="s">
        <v>20</v>
      </c>
      <c r="C33" s="15">
        <v>12566.87</v>
      </c>
      <c r="D33" s="15">
        <v>17071.82</v>
      </c>
      <c r="E33" s="15">
        <v>18387.849999999999</v>
      </c>
      <c r="F33" s="15">
        <v>15222.44</v>
      </c>
      <c r="G33" s="15">
        <v>15200.46</v>
      </c>
      <c r="H33" s="15">
        <v>17204.84</v>
      </c>
      <c r="I33" s="15">
        <v>19292.07</v>
      </c>
      <c r="J33" s="15">
        <v>23716.62</v>
      </c>
      <c r="K33" s="15">
        <v>27889.59</v>
      </c>
      <c r="L33" s="15">
        <f>SUM(C33:K33)</f>
        <v>166552.56</v>
      </c>
    </row>
    <row r="34" spans="1:12" ht="20.100000000000001" customHeight="1">
      <c r="A34" s="2" t="s">
        <v>13</v>
      </c>
      <c r="B34" s="4" t="s">
        <v>21</v>
      </c>
      <c r="C34" s="15">
        <v>82197.86</v>
      </c>
      <c r="D34" s="15">
        <v>80048.039999999994</v>
      </c>
      <c r="E34" s="15">
        <v>74287.22</v>
      </c>
      <c r="F34" s="15">
        <v>55208.79</v>
      </c>
      <c r="G34" s="15">
        <v>52498.3</v>
      </c>
      <c r="H34" s="15">
        <v>60365.35</v>
      </c>
      <c r="I34" s="15">
        <v>57010.52</v>
      </c>
      <c r="J34" s="16">
        <f>J32*0.27</f>
        <v>98186.796000000002</v>
      </c>
      <c r="K34" s="16">
        <v>137345.9</v>
      </c>
      <c r="L34" s="15">
        <f>SUM(C34:K34)</f>
        <v>697148.77599999995</v>
      </c>
    </row>
    <row r="35" spans="1:12" ht="20.100000000000001" customHeight="1">
      <c r="A35" s="2" t="s">
        <v>13</v>
      </c>
      <c r="B35" s="4" t="s">
        <v>58</v>
      </c>
      <c r="C35" s="15">
        <v>5019.93</v>
      </c>
      <c r="D35" s="15">
        <v>761.06</v>
      </c>
      <c r="E35" s="15">
        <v>4439.49</v>
      </c>
      <c r="F35" s="15">
        <v>449.62</v>
      </c>
      <c r="G35" s="15">
        <v>915.52</v>
      </c>
      <c r="H35" s="15">
        <v>21838.89</v>
      </c>
      <c r="I35" s="15">
        <v>1258.67</v>
      </c>
      <c r="J35" s="15">
        <v>628</v>
      </c>
      <c r="K35" s="15">
        <v>256.45</v>
      </c>
      <c r="L35" s="15">
        <f t="shared" ref="L35:L37" si="6">C35+D35+E35+F35+G35+H35+I35+J35+K35</f>
        <v>35567.629999999997</v>
      </c>
    </row>
    <row r="36" spans="1:12" ht="20.100000000000001" customHeight="1">
      <c r="A36" s="2" t="s">
        <v>13</v>
      </c>
      <c r="B36" s="4" t="s">
        <v>59</v>
      </c>
      <c r="C36" s="15">
        <v>0</v>
      </c>
      <c r="D36" s="15"/>
      <c r="E36" s="15"/>
      <c r="F36" s="15"/>
      <c r="G36" s="15"/>
      <c r="H36" s="15">
        <v>0</v>
      </c>
      <c r="I36" s="15"/>
      <c r="J36" s="15"/>
      <c r="K36" s="15"/>
      <c r="L36" s="15">
        <f t="shared" si="6"/>
        <v>0</v>
      </c>
    </row>
    <row r="37" spans="1:12" s="12" customFormat="1" ht="20.100000000000001" customHeight="1">
      <c r="A37" s="2" t="s">
        <v>13</v>
      </c>
      <c r="B37" s="4" t="s">
        <v>60</v>
      </c>
      <c r="C37" s="15">
        <v>0</v>
      </c>
      <c r="D37" s="15"/>
      <c r="E37" s="15"/>
      <c r="F37" s="15"/>
      <c r="G37" s="15"/>
      <c r="H37" s="15">
        <v>0</v>
      </c>
      <c r="I37" s="15"/>
      <c r="J37" s="15"/>
      <c r="K37" s="15"/>
      <c r="L37" s="15">
        <f t="shared" si="6"/>
        <v>0</v>
      </c>
    </row>
    <row r="38" spans="1:12" s="12" customFormat="1" ht="20.100000000000001" customHeight="1">
      <c r="A38" s="2" t="s">
        <v>44</v>
      </c>
      <c r="B38" s="4" t="s">
        <v>19</v>
      </c>
      <c r="C38" s="15">
        <v>301578.15000000002</v>
      </c>
      <c r="D38" s="15">
        <v>331455.26</v>
      </c>
      <c r="E38" s="15">
        <v>308064.40000000002</v>
      </c>
      <c r="F38" s="15">
        <f>333838.28-20</f>
        <v>333818.28000000003</v>
      </c>
      <c r="G38" s="15">
        <v>246158.03</v>
      </c>
      <c r="H38" s="15">
        <v>407631.7</v>
      </c>
      <c r="I38" s="15">
        <f>319199.67+12682.4</f>
        <v>331882.07</v>
      </c>
      <c r="J38" s="15">
        <v>365083.9</v>
      </c>
      <c r="K38" s="15">
        <v>352347.19</v>
      </c>
      <c r="L38" s="15">
        <f>SUM(C38:K38)</f>
        <v>2978018.98</v>
      </c>
    </row>
    <row r="39" spans="1:12" s="12" customFormat="1" ht="20.100000000000001" customHeight="1">
      <c r="A39" s="2" t="s">
        <v>44</v>
      </c>
      <c r="B39" s="4" t="s">
        <v>20</v>
      </c>
      <c r="C39" s="15">
        <v>12063.13</v>
      </c>
      <c r="D39" s="15">
        <v>13258.21</v>
      </c>
      <c r="E39" s="15">
        <v>12322.58</v>
      </c>
      <c r="F39" s="15">
        <v>13353.53</v>
      </c>
      <c r="G39" s="15">
        <v>9846.32</v>
      </c>
      <c r="H39" s="15">
        <v>16305.27</v>
      </c>
      <c r="I39" s="15">
        <v>12767.99</v>
      </c>
      <c r="J39" s="15">
        <v>14603.36</v>
      </c>
      <c r="K39" s="15">
        <v>14093.89</v>
      </c>
      <c r="L39" s="15">
        <f>SUM(C39:K39)</f>
        <v>118614.28</v>
      </c>
    </row>
    <row r="40" spans="1:12" s="6" customFormat="1" ht="20.100000000000001" customHeight="1">
      <c r="A40" s="2" t="s">
        <v>44</v>
      </c>
      <c r="B40" s="4" t="s">
        <v>21</v>
      </c>
      <c r="C40" s="15">
        <v>127692.8</v>
      </c>
      <c r="D40" s="15">
        <v>225849.60000000001</v>
      </c>
      <c r="E40" s="15">
        <v>27827.199999999997</v>
      </c>
      <c r="F40" s="15">
        <v>103929.60000000001</v>
      </c>
      <c r="G40" s="15">
        <v>20524.8</v>
      </c>
      <c r="H40" s="15">
        <v>124489.60000000001</v>
      </c>
      <c r="I40" s="15">
        <v>126236.8</v>
      </c>
      <c r="J40" s="15">
        <v>186534.39999999999</v>
      </c>
      <c r="K40" s="15">
        <v>27952</v>
      </c>
      <c r="L40" s="15">
        <f>SUM(C40:K40)</f>
        <v>971036.80000000016</v>
      </c>
    </row>
    <row r="41" spans="1:12" s="6" customFormat="1" ht="20.100000000000001" customHeight="1">
      <c r="A41" s="2" t="s">
        <v>70</v>
      </c>
      <c r="B41" s="4" t="s">
        <v>58</v>
      </c>
      <c r="C41" s="15">
        <v>1778</v>
      </c>
      <c r="D41" s="15">
        <v>26707.97</v>
      </c>
      <c r="E41" s="15">
        <f>24437.49+6750</f>
        <v>31187.49</v>
      </c>
      <c r="F41" s="15">
        <v>4957.24</v>
      </c>
      <c r="G41" s="15">
        <f>1607.01+2799.15</f>
        <v>4406.16</v>
      </c>
      <c r="H41" s="15">
        <v>8071.73</v>
      </c>
      <c r="I41" s="15">
        <v>3364.62</v>
      </c>
      <c r="J41" s="15">
        <f>412.5+600</f>
        <v>1012.5</v>
      </c>
      <c r="K41" s="15">
        <v>9357.5499999999993</v>
      </c>
      <c r="L41" s="15">
        <f t="shared" ref="L41:L43" si="7">C41+D41+E41+F41+G41+H41+I41+J41+K41</f>
        <v>90843.26</v>
      </c>
    </row>
    <row r="42" spans="1:12" s="6" customFormat="1" ht="20.100000000000001" customHeight="1">
      <c r="A42" s="2" t="s">
        <v>70</v>
      </c>
      <c r="B42" s="4" t="s">
        <v>59</v>
      </c>
      <c r="C42" s="15">
        <v>0</v>
      </c>
      <c r="D42" s="15">
        <v>7500</v>
      </c>
      <c r="E42" s="15"/>
      <c r="F42" s="15"/>
      <c r="G42" s="15">
        <v>2799.15</v>
      </c>
      <c r="H42" s="15">
        <v>0</v>
      </c>
      <c r="I42" s="15"/>
      <c r="J42" s="15"/>
      <c r="K42" s="15"/>
      <c r="L42" s="15">
        <f t="shared" si="7"/>
        <v>10299.15</v>
      </c>
    </row>
    <row r="43" spans="1:12" s="12" customFormat="1" ht="20.100000000000001" customHeight="1">
      <c r="A43" s="2" t="s">
        <v>70</v>
      </c>
      <c r="B43" s="4" t="s">
        <v>60</v>
      </c>
      <c r="C43" s="15">
        <v>0</v>
      </c>
      <c r="D43" s="15"/>
      <c r="E43" s="15"/>
      <c r="F43" s="15"/>
      <c r="G43" s="15"/>
      <c r="H43" s="15">
        <v>0</v>
      </c>
      <c r="I43" s="15"/>
      <c r="J43" s="15">
        <v>10188.68</v>
      </c>
      <c r="K43" s="15"/>
      <c r="L43" s="15">
        <f t="shared" si="7"/>
        <v>10188.68</v>
      </c>
    </row>
    <row r="44" spans="1:12" s="12" customFormat="1" ht="20.100000000000001" customHeight="1">
      <c r="A44" s="2" t="s">
        <v>26</v>
      </c>
      <c r="B44" s="4" t="s">
        <v>19</v>
      </c>
      <c r="C44" s="15">
        <f>251330-922+800</f>
        <v>251208</v>
      </c>
      <c r="D44" s="15">
        <v>221660</v>
      </c>
      <c r="E44" s="15">
        <v>195610</v>
      </c>
      <c r="F44" s="15">
        <v>211800</v>
      </c>
      <c r="G44" s="15">
        <f>118040-694.35-1790-818-20-302.15-29009.3+9000</f>
        <v>94406.2</v>
      </c>
      <c r="H44" s="15">
        <f>446092.63-2970.8+810+5250+710+4360+2697</f>
        <v>456948.83</v>
      </c>
      <c r="I44" s="15">
        <f>213710.1-743</f>
        <v>212967.1</v>
      </c>
      <c r="J44" s="15">
        <f>274671.57-995</f>
        <v>273676.57</v>
      </c>
      <c r="K44" s="15">
        <v>262932.53000000003</v>
      </c>
      <c r="L44" s="15">
        <f>SUM(C44:K44)</f>
        <v>2181209.2300000004</v>
      </c>
    </row>
    <row r="45" spans="1:12" s="12" customFormat="1" ht="20.100000000000001" customHeight="1">
      <c r="A45" s="2" t="s">
        <v>26</v>
      </c>
      <c r="B45" s="4" t="s">
        <v>20</v>
      </c>
      <c r="C45" s="15">
        <v>9950</v>
      </c>
      <c r="D45" s="15">
        <v>8866.4</v>
      </c>
      <c r="E45" s="15">
        <v>7824.4</v>
      </c>
      <c r="F45" s="15">
        <v>8312</v>
      </c>
      <c r="G45" s="15">
        <v>4721.6000000000004</v>
      </c>
      <c r="H45" s="15">
        <v>8395.7099999999991</v>
      </c>
      <c r="I45" s="15">
        <v>7960.4</v>
      </c>
      <c r="J45" s="15">
        <v>10986.86</v>
      </c>
      <c r="K45" s="15">
        <v>10357.299999999999</v>
      </c>
      <c r="L45" s="15">
        <f>SUM(C45:K45)</f>
        <v>77374.67</v>
      </c>
    </row>
    <row r="46" spans="1:12" s="6" customFormat="1" ht="20.100000000000001" customHeight="1">
      <c r="A46" s="2" t="s">
        <v>26</v>
      </c>
      <c r="B46" s="4" t="s">
        <v>21</v>
      </c>
      <c r="C46" s="15">
        <v>31596.659999999985</v>
      </c>
      <c r="D46" s="15">
        <v>34648.759999999995</v>
      </c>
      <c r="E46" s="15">
        <v>25848.26</v>
      </c>
      <c r="F46" s="15">
        <v>17694.18</v>
      </c>
      <c r="G46" s="15">
        <v>16244.220000000005</v>
      </c>
      <c r="H46" s="15">
        <v>15170.320000000018</v>
      </c>
      <c r="I46" s="15">
        <v>20417.579999999994</v>
      </c>
      <c r="J46" s="15">
        <v>31140.48</v>
      </c>
      <c r="K46" s="15">
        <v>37854.98000000001</v>
      </c>
      <c r="L46" s="15">
        <f>SUM(C46:K46)</f>
        <v>230615.44</v>
      </c>
    </row>
    <row r="47" spans="1:12" s="6" customFormat="1" ht="20.100000000000001" customHeight="1">
      <c r="A47" s="2" t="s">
        <v>26</v>
      </c>
      <c r="B47" s="4" t="s">
        <v>58</v>
      </c>
      <c r="C47" s="15">
        <v>0</v>
      </c>
      <c r="D47" s="15"/>
      <c r="E47" s="15">
        <v>22364</v>
      </c>
      <c r="F47" s="15"/>
      <c r="G47" s="15"/>
      <c r="H47" s="15">
        <v>14358.97</v>
      </c>
      <c r="I47" s="15">
        <v>962</v>
      </c>
      <c r="J47" s="15">
        <v>848</v>
      </c>
      <c r="K47" s="15">
        <v>0</v>
      </c>
      <c r="L47" s="15">
        <f t="shared" ref="L47:L49" si="8">C47+D47+E47+F47+G47+H47+I47+J47+K47</f>
        <v>38532.97</v>
      </c>
    </row>
    <row r="48" spans="1:12" s="6" customFormat="1" ht="21" customHeight="1">
      <c r="A48" s="2" t="s">
        <v>26</v>
      </c>
      <c r="B48" s="4" t="s">
        <v>59</v>
      </c>
      <c r="C48" s="15">
        <v>0</v>
      </c>
      <c r="D48" s="15"/>
      <c r="E48" s="15"/>
      <c r="F48" s="15"/>
      <c r="G48" s="15"/>
      <c r="H48" s="15">
        <v>0</v>
      </c>
      <c r="I48" s="15"/>
      <c r="J48" s="15"/>
      <c r="K48" s="15"/>
      <c r="L48" s="15">
        <f t="shared" si="8"/>
        <v>0</v>
      </c>
    </row>
    <row r="49" spans="1:12" s="12" customFormat="1" ht="20.100000000000001" customHeight="1">
      <c r="A49" s="2" t="s">
        <v>26</v>
      </c>
      <c r="B49" s="4" t="s">
        <v>60</v>
      </c>
      <c r="C49" s="15">
        <v>0</v>
      </c>
      <c r="D49" s="15"/>
      <c r="E49" s="15"/>
      <c r="F49" s="15"/>
      <c r="G49" s="15"/>
      <c r="H49" s="15">
        <v>0</v>
      </c>
      <c r="I49" s="15"/>
      <c r="J49" s="15"/>
      <c r="K49" s="15"/>
      <c r="L49" s="15">
        <f t="shared" si="8"/>
        <v>0</v>
      </c>
    </row>
    <row r="50" spans="1:12" s="12" customFormat="1" ht="20.100000000000001" customHeight="1">
      <c r="A50" s="2" t="s">
        <v>42</v>
      </c>
      <c r="B50" s="4" t="s">
        <v>19</v>
      </c>
      <c r="C50" s="15">
        <f>28810.8+125.99</f>
        <v>28936.79</v>
      </c>
      <c r="D50" s="15">
        <v>133866.1</v>
      </c>
      <c r="E50" s="15">
        <v>92743.2</v>
      </c>
      <c r="F50" s="15">
        <f>123364.1-2030</f>
        <v>121334.1</v>
      </c>
      <c r="G50" s="15">
        <v>108344.3</v>
      </c>
      <c r="H50" s="15">
        <f>370265.6-11525.97</f>
        <v>358739.63</v>
      </c>
      <c r="I50" s="15">
        <f>112578.8-500</f>
        <v>112078.8</v>
      </c>
      <c r="J50" s="15">
        <v>125176.2</v>
      </c>
      <c r="K50" s="15">
        <v>116012.29999999999</v>
      </c>
      <c r="L50" s="15">
        <f>SUM(C50:K50)</f>
        <v>1197231.4200000002</v>
      </c>
    </row>
    <row r="51" spans="1:12" s="12" customFormat="1" ht="20.100000000000001" customHeight="1">
      <c r="A51" s="2" t="s">
        <v>42</v>
      </c>
      <c r="B51" s="4" t="s">
        <v>20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f>SUM(C51:K51)</f>
        <v>0</v>
      </c>
    </row>
    <row r="52" spans="1:12" s="6" customFormat="1" ht="20.100000000000001" customHeight="1">
      <c r="A52" s="2" t="s">
        <v>42</v>
      </c>
      <c r="B52" s="4" t="s">
        <v>21</v>
      </c>
      <c r="C52" s="15">
        <v>22196.97</v>
      </c>
      <c r="D52" s="15">
        <v>23308.2</v>
      </c>
      <c r="E52" s="15">
        <v>21184.560000000001</v>
      </c>
      <c r="F52" s="15">
        <v>13828.5</v>
      </c>
      <c r="G52" s="15">
        <v>13626.27</v>
      </c>
      <c r="H52" s="15">
        <v>36010.979999999996</v>
      </c>
      <c r="I52" s="15">
        <v>21295.71</v>
      </c>
      <c r="J52" s="15">
        <v>26573.58</v>
      </c>
      <c r="K52" s="15">
        <v>41327.730000000003</v>
      </c>
      <c r="L52" s="15">
        <f>SUM(C52:K52)</f>
        <v>219352.50000000003</v>
      </c>
    </row>
    <row r="53" spans="1:12" s="6" customFormat="1" ht="20.100000000000001" customHeight="1">
      <c r="A53" s="2" t="s">
        <v>72</v>
      </c>
      <c r="B53" s="4" t="s">
        <v>58</v>
      </c>
      <c r="C53" s="15">
        <v>3703.6400000000003</v>
      </c>
      <c r="D53" s="15">
        <v>4547.51</v>
      </c>
      <c r="E53" s="15">
        <v>2832.02</v>
      </c>
      <c r="F53" s="15">
        <v>1931.32</v>
      </c>
      <c r="G53" s="15">
        <v>1559.21</v>
      </c>
      <c r="H53" s="15">
        <v>30889.32</v>
      </c>
      <c r="I53" s="15">
        <v>790</v>
      </c>
      <c r="J53" s="15">
        <v>2785.14</v>
      </c>
      <c r="K53" s="15">
        <v>2438.2800000000002</v>
      </c>
      <c r="L53" s="15">
        <f>C53+D53+E53+F53+G53+H53+I53+J53+K53</f>
        <v>51476.44</v>
      </c>
    </row>
    <row r="54" spans="1:12" s="6" customFormat="1" ht="20.100000000000001" customHeight="1">
      <c r="A54" s="2" t="s">
        <v>72</v>
      </c>
      <c r="B54" s="4" t="s">
        <v>59</v>
      </c>
      <c r="C54" s="15">
        <v>0</v>
      </c>
      <c r="D54" s="15"/>
      <c r="E54" s="15"/>
      <c r="F54" s="15"/>
      <c r="G54" s="15"/>
      <c r="H54" s="15">
        <v>0</v>
      </c>
      <c r="I54" s="15"/>
      <c r="J54" s="15"/>
      <c r="K54" s="15"/>
      <c r="L54" s="15">
        <f>C54+D54+E54+F54+G54+H54+I54+J54+K54</f>
        <v>0</v>
      </c>
    </row>
    <row r="55" spans="1:12" s="12" customFormat="1" ht="20.100000000000001" customHeight="1">
      <c r="A55" s="2" t="s">
        <v>72</v>
      </c>
      <c r="B55" s="4" t="s">
        <v>60</v>
      </c>
      <c r="C55" s="15">
        <v>0</v>
      </c>
      <c r="D55" s="15"/>
      <c r="E55" s="15"/>
      <c r="F55" s="15"/>
      <c r="G55" s="15"/>
      <c r="H55" s="15">
        <v>0</v>
      </c>
      <c r="I55" s="15"/>
      <c r="J55" s="15"/>
      <c r="K55" s="15"/>
      <c r="L55" s="15">
        <f>C55+D55+E55+F55+G55+H55+I55+J55+K55</f>
        <v>0</v>
      </c>
    </row>
    <row r="56" spans="1:12" s="12" customFormat="1" ht="20.100000000000001" customHeight="1">
      <c r="A56" s="2" t="s">
        <v>27</v>
      </c>
      <c r="B56" s="4" t="s">
        <v>19</v>
      </c>
      <c r="C56" s="15">
        <f>6760-27.2</f>
        <v>6732.8</v>
      </c>
      <c r="D56" s="15">
        <v>10190</v>
      </c>
      <c r="E56" s="15">
        <v>23150</v>
      </c>
      <c r="F56" s="15">
        <v>38510</v>
      </c>
      <c r="G56" s="15">
        <v>26180</v>
      </c>
      <c r="H56" s="15">
        <f>366846.1-3950</f>
        <v>362896.1</v>
      </c>
      <c r="I56" s="15">
        <v>25033.1</v>
      </c>
      <c r="J56" s="15">
        <v>15193</v>
      </c>
      <c r="K56" s="15">
        <v>12663</v>
      </c>
      <c r="L56" s="15">
        <f>SUM(C56:K56)</f>
        <v>520547.99999999994</v>
      </c>
    </row>
    <row r="57" spans="1:12" s="12" customFormat="1" ht="20.100000000000001" customHeight="1">
      <c r="A57" s="2" t="s">
        <v>27</v>
      </c>
      <c r="B57" s="4" t="s">
        <v>20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f>SUM(C57:K57)</f>
        <v>0</v>
      </c>
    </row>
    <row r="58" spans="1:12" s="6" customFormat="1" ht="21" customHeight="1">
      <c r="A58" s="2" t="s">
        <v>27</v>
      </c>
      <c r="B58" s="4" t="s">
        <v>21</v>
      </c>
      <c r="C58" s="15">
        <v>4639.6000000000004</v>
      </c>
      <c r="D58" s="15">
        <v>9610.1</v>
      </c>
      <c r="E58" s="15">
        <v>5343.55</v>
      </c>
      <c r="F58" s="15">
        <v>5208.4000000000005</v>
      </c>
      <c r="G58" s="15">
        <v>5282.8</v>
      </c>
      <c r="H58" s="15">
        <v>3395.15</v>
      </c>
      <c r="I58" s="15">
        <v>5053.7000000000007</v>
      </c>
      <c r="J58" s="15">
        <v>3664.8500000000004</v>
      </c>
      <c r="K58" s="15">
        <v>13020.35</v>
      </c>
      <c r="L58" s="15">
        <f>SUM(C58:K58)</f>
        <v>55218.5</v>
      </c>
    </row>
    <row r="59" spans="1:12" s="6" customFormat="1" ht="21" customHeight="1">
      <c r="A59" s="2" t="s">
        <v>27</v>
      </c>
      <c r="B59" s="4" t="s">
        <v>58</v>
      </c>
      <c r="C59" s="15">
        <v>3495.91</v>
      </c>
      <c r="D59" s="15">
        <v>6285.4</v>
      </c>
      <c r="E59" s="15">
        <v>5080.88</v>
      </c>
      <c r="F59" s="15">
        <v>4264.03</v>
      </c>
      <c r="G59" s="15">
        <v>4181</v>
      </c>
      <c r="H59" s="15">
        <v>788.02</v>
      </c>
      <c r="I59" s="15">
        <v>855.24</v>
      </c>
      <c r="J59" s="15">
        <v>6480</v>
      </c>
      <c r="K59" s="15">
        <v>12817.86</v>
      </c>
      <c r="L59" s="15">
        <f>C59+D59+E59+F59+G59+H59+I59+J59+K59</f>
        <v>44248.34</v>
      </c>
    </row>
    <row r="60" spans="1:12" s="6" customFormat="1" ht="21" customHeight="1">
      <c r="A60" s="2" t="s">
        <v>27</v>
      </c>
      <c r="B60" s="4" t="s">
        <v>59</v>
      </c>
      <c r="C60" s="15">
        <v>0</v>
      </c>
      <c r="D60" s="15"/>
      <c r="E60" s="15"/>
      <c r="F60" s="15"/>
      <c r="G60" s="15"/>
      <c r="H60" s="15">
        <v>0</v>
      </c>
      <c r="I60" s="15"/>
      <c r="J60" s="15"/>
      <c r="K60" s="15"/>
      <c r="L60" s="15">
        <f>C60+D60+E60+F60+G60+H60+I60+J60+K60</f>
        <v>0</v>
      </c>
    </row>
    <row r="61" spans="1:12" s="12" customFormat="1" ht="20.100000000000001" customHeight="1">
      <c r="A61" s="2" t="s">
        <v>27</v>
      </c>
      <c r="B61" s="4" t="s">
        <v>60</v>
      </c>
      <c r="C61" s="15">
        <v>0</v>
      </c>
      <c r="D61" s="15"/>
      <c r="E61" s="15"/>
      <c r="F61" s="15"/>
      <c r="G61" s="15"/>
      <c r="H61" s="15">
        <v>0</v>
      </c>
      <c r="I61" s="15"/>
      <c r="J61" s="15"/>
      <c r="K61" s="15"/>
      <c r="L61" s="15">
        <f>C61+D61+E61+F61+G61+H61+I61+J61+K61</f>
        <v>0</v>
      </c>
    </row>
    <row r="62" spans="1:12" s="12" customFormat="1" ht="20.100000000000001" customHeight="1">
      <c r="A62" s="2" t="s">
        <v>49</v>
      </c>
      <c r="B62" s="4" t="s">
        <v>19</v>
      </c>
      <c r="C62" s="15"/>
      <c r="D62" s="15">
        <f>80950+193</f>
        <v>81143</v>
      </c>
      <c r="E62" s="15">
        <v>7640</v>
      </c>
      <c r="F62" s="15">
        <v>10260</v>
      </c>
      <c r="G62" s="15">
        <f>10010-3350.04</f>
        <v>6659.96</v>
      </c>
      <c r="H62" s="15">
        <f>85070-5475.16</f>
        <v>79594.84</v>
      </c>
      <c r="I62" s="15">
        <f>14940-924.73</f>
        <v>14015.27</v>
      </c>
      <c r="J62" s="15">
        <f>23056-479.05</f>
        <v>22576.95</v>
      </c>
      <c r="K62" s="15">
        <v>24871</v>
      </c>
      <c r="L62" s="15">
        <f>SUM(C62:K62)</f>
        <v>246761.02</v>
      </c>
    </row>
    <row r="63" spans="1:12" s="12" customFormat="1" ht="20.100000000000001" customHeight="1">
      <c r="A63" s="2" t="s">
        <v>49</v>
      </c>
      <c r="B63" s="4" t="s">
        <v>20</v>
      </c>
      <c r="C63" s="15"/>
      <c r="D63" s="15">
        <v>0</v>
      </c>
      <c r="E63" s="15">
        <v>0</v>
      </c>
      <c r="F63" s="15">
        <v>0</v>
      </c>
      <c r="G63" s="15">
        <f>78590*0.05</f>
        <v>3929.5</v>
      </c>
      <c r="H63" s="15">
        <v>0</v>
      </c>
      <c r="I63" s="15">
        <v>5946.5</v>
      </c>
      <c r="J63" s="15">
        <v>1290</v>
      </c>
      <c r="K63" s="15">
        <v>1286</v>
      </c>
      <c r="L63" s="15">
        <f>SUM(C63:K63)</f>
        <v>12452</v>
      </c>
    </row>
    <row r="64" spans="1:12" s="6" customFormat="1" ht="21" customHeight="1">
      <c r="A64" s="2" t="s">
        <v>49</v>
      </c>
      <c r="B64" s="4" t="s">
        <v>21</v>
      </c>
      <c r="C64" s="15"/>
      <c r="D64" s="15">
        <v>0</v>
      </c>
      <c r="E64" s="15">
        <v>15770.125000000002</v>
      </c>
      <c r="F64" s="15">
        <v>4108.625</v>
      </c>
      <c r="G64" s="15">
        <v>3796.3250000000007</v>
      </c>
      <c r="H64" s="15">
        <v>10277.575000000001</v>
      </c>
      <c r="I64" s="15">
        <v>5361.7000000000007</v>
      </c>
      <c r="J64" s="15">
        <v>7055.08</v>
      </c>
      <c r="K64" s="15">
        <v>6323.43</v>
      </c>
      <c r="L64" s="15">
        <f>SUM(C64:K64)</f>
        <v>52692.860000000008</v>
      </c>
    </row>
    <row r="65" spans="1:12" s="6" customFormat="1" ht="21" customHeight="1">
      <c r="A65" s="2" t="s">
        <v>77</v>
      </c>
      <c r="B65" s="4" t="s">
        <v>58</v>
      </c>
      <c r="C65" s="15">
        <v>0</v>
      </c>
      <c r="D65" s="15">
        <v>100</v>
      </c>
      <c r="E65" s="15">
        <v>1901.3</v>
      </c>
      <c r="F65" s="15">
        <v>3242.65</v>
      </c>
      <c r="G65" s="15">
        <v>6423.3</v>
      </c>
      <c r="H65" s="15">
        <v>7151.63</v>
      </c>
      <c r="I65" s="15">
        <v>127.1</v>
      </c>
      <c r="J65" s="15">
        <v>11211.6</v>
      </c>
      <c r="K65" s="15">
        <v>103.5</v>
      </c>
      <c r="L65" s="15">
        <f>C65+D65+E65+F65+G65+H65+I65+J65+K65</f>
        <v>30261.08</v>
      </c>
    </row>
    <row r="66" spans="1:12" s="6" customFormat="1" ht="21" customHeight="1">
      <c r="A66" s="2" t="s">
        <v>77</v>
      </c>
      <c r="B66" s="4" t="s">
        <v>59</v>
      </c>
      <c r="C66" s="15">
        <v>0</v>
      </c>
      <c r="D66" s="15"/>
      <c r="E66" s="15"/>
      <c r="F66" s="15"/>
      <c r="G66" s="15"/>
      <c r="H66" s="15">
        <v>0</v>
      </c>
      <c r="I66" s="15"/>
      <c r="J66" s="15"/>
      <c r="K66" s="15"/>
      <c r="L66" s="15">
        <f>C66+D66+E66+F66+G66+H66+I66+J66+K66</f>
        <v>0</v>
      </c>
    </row>
    <row r="67" spans="1:12" s="12" customFormat="1" ht="20.100000000000001" customHeight="1">
      <c r="A67" s="2" t="s">
        <v>77</v>
      </c>
      <c r="B67" s="4" t="s">
        <v>60</v>
      </c>
      <c r="C67" s="15">
        <v>0</v>
      </c>
      <c r="D67" s="15"/>
      <c r="E67" s="15"/>
      <c r="F67" s="15"/>
      <c r="G67" s="15"/>
      <c r="H67" s="15">
        <v>0</v>
      </c>
      <c r="I67" s="15"/>
      <c r="J67" s="15"/>
      <c r="K67" s="15"/>
      <c r="L67" s="15">
        <f>C67+D67+E67+F67+G67+H67+I67+J67+K67</f>
        <v>0</v>
      </c>
    </row>
    <row r="68" spans="1:12" s="12" customFormat="1" ht="20.100000000000001" customHeight="1">
      <c r="A68" s="2" t="s">
        <v>54</v>
      </c>
      <c r="B68" s="4" t="s">
        <v>19</v>
      </c>
      <c r="C68" s="15"/>
      <c r="D68" s="15"/>
      <c r="E68" s="15"/>
      <c r="F68" s="15"/>
      <c r="G68" s="15"/>
      <c r="H68" s="15">
        <v>66237.63</v>
      </c>
      <c r="I68" s="15">
        <v>412523.4</v>
      </c>
      <c r="J68" s="15">
        <f>415536.35-3035.73</f>
        <v>412500.62</v>
      </c>
      <c r="K68" s="15">
        <v>412013</v>
      </c>
      <c r="L68" s="15">
        <f>SUM(C68:K68)</f>
        <v>1303274.6499999999</v>
      </c>
    </row>
    <row r="69" spans="1:12" s="12" customFormat="1" ht="20.100000000000001" customHeight="1">
      <c r="A69" s="2" t="s">
        <v>54</v>
      </c>
      <c r="B69" s="4" t="s">
        <v>20</v>
      </c>
      <c r="C69" s="15"/>
      <c r="D69" s="15"/>
      <c r="E69" s="15"/>
      <c r="F69" s="15"/>
      <c r="G69" s="15"/>
      <c r="H69" s="15"/>
      <c r="I69" s="15">
        <v>36823.9</v>
      </c>
      <c r="J69" s="15">
        <v>35694.25</v>
      </c>
      <c r="K69" s="15">
        <v>34842.69</v>
      </c>
      <c r="L69" s="15">
        <f>SUM(C69:K69)</f>
        <v>107360.84</v>
      </c>
    </row>
    <row r="70" spans="1:12" s="6" customFormat="1" ht="21" customHeight="1">
      <c r="A70" s="2" t="s">
        <v>54</v>
      </c>
      <c r="B70" s="4" t="s">
        <v>21</v>
      </c>
      <c r="C70" s="15"/>
      <c r="D70" s="15"/>
      <c r="E70" s="15"/>
      <c r="F70" s="15"/>
      <c r="G70" s="15"/>
      <c r="H70" s="15"/>
      <c r="I70" s="15">
        <v>43090.99</v>
      </c>
      <c r="J70" s="15">
        <v>57322.5</v>
      </c>
      <c r="K70" s="15">
        <v>63586.13</v>
      </c>
      <c r="L70" s="15">
        <f>SUM(C70:K70)</f>
        <v>163999.62</v>
      </c>
    </row>
    <row r="71" spans="1:12" s="6" customFormat="1" ht="21" customHeight="1">
      <c r="A71" s="2" t="s">
        <v>78</v>
      </c>
      <c r="B71" s="4" t="s">
        <v>58</v>
      </c>
      <c r="C71" s="15">
        <v>0</v>
      </c>
      <c r="D71" s="15"/>
      <c r="E71" s="15"/>
      <c r="F71" s="15"/>
      <c r="G71" s="15"/>
      <c r="H71" s="15">
        <v>3391.6</v>
      </c>
      <c r="I71" s="15">
        <v>2168.0100000000002</v>
      </c>
      <c r="J71" s="15">
        <v>1669.01</v>
      </c>
      <c r="K71" s="15">
        <v>3488</v>
      </c>
      <c r="L71" s="15">
        <f>C71+D71+E71+F71+G71+H71+I71+J71+K71</f>
        <v>10716.62</v>
      </c>
    </row>
    <row r="72" spans="1:12" s="6" customFormat="1" ht="21" customHeight="1">
      <c r="A72" s="2" t="s">
        <v>78</v>
      </c>
      <c r="B72" s="4" t="s">
        <v>59</v>
      </c>
      <c r="C72" s="15">
        <v>0</v>
      </c>
      <c r="D72" s="15"/>
      <c r="E72" s="15"/>
      <c r="F72" s="15"/>
      <c r="G72" s="15"/>
      <c r="H72" s="15">
        <v>0</v>
      </c>
      <c r="I72" s="15"/>
      <c r="J72" s="15"/>
      <c r="K72" s="15"/>
      <c r="L72" s="15">
        <f>C72+D72+E72+F72+G72+H72+I72+J72+K72</f>
        <v>0</v>
      </c>
    </row>
    <row r="73" spans="1:12" s="12" customFormat="1" ht="20.100000000000001" customHeight="1">
      <c r="A73" s="2" t="s">
        <v>78</v>
      </c>
      <c r="B73" s="4" t="s">
        <v>60</v>
      </c>
      <c r="C73" s="15">
        <v>0</v>
      </c>
      <c r="D73" s="15"/>
      <c r="E73" s="15"/>
      <c r="F73" s="15"/>
      <c r="G73" s="15"/>
      <c r="H73" s="15">
        <v>0</v>
      </c>
      <c r="I73" s="15"/>
      <c r="J73" s="15"/>
      <c r="K73" s="15"/>
      <c r="L73" s="15">
        <f>C73+D73+E73+F73+G73+H73+I73+J73+K73</f>
        <v>0</v>
      </c>
    </row>
    <row r="74" spans="1:12" s="12" customFormat="1" ht="20.100000000000001" customHeight="1">
      <c r="A74" s="2" t="s">
        <v>34</v>
      </c>
      <c r="B74" s="4" t="s">
        <v>19</v>
      </c>
      <c r="C74" s="15">
        <v>48260</v>
      </c>
      <c r="D74" s="15">
        <v>60840</v>
      </c>
      <c r="E74" s="15">
        <v>52220</v>
      </c>
      <c r="F74" s="15">
        <v>55920</v>
      </c>
      <c r="G74" s="15">
        <v>51040</v>
      </c>
      <c r="H74" s="15">
        <v>64945</v>
      </c>
      <c r="I74" s="15">
        <v>67230</v>
      </c>
      <c r="J74" s="15">
        <v>79170</v>
      </c>
      <c r="K74" s="15">
        <v>85440</v>
      </c>
      <c r="L74" s="15">
        <f>SUM(C74:K74)</f>
        <v>565065</v>
      </c>
    </row>
    <row r="75" spans="1:12" s="12" customFormat="1" ht="20.100000000000001" customHeight="1">
      <c r="A75" s="2" t="s">
        <v>34</v>
      </c>
      <c r="B75" s="4" t="s">
        <v>20</v>
      </c>
      <c r="C75" s="15">
        <v>1930.4</v>
      </c>
      <c r="D75" s="15">
        <v>2433.6</v>
      </c>
      <c r="E75" s="15">
        <v>2088.8000000000002</v>
      </c>
      <c r="F75" s="15">
        <v>2236.8000000000002</v>
      </c>
      <c r="G75" s="15">
        <v>2041.6</v>
      </c>
      <c r="H75" s="15">
        <v>2597.8000000000002</v>
      </c>
      <c r="I75" s="15">
        <v>2689.2</v>
      </c>
      <c r="J75" s="15">
        <v>3166.8</v>
      </c>
      <c r="K75" s="15">
        <v>3417.6</v>
      </c>
      <c r="L75" s="15">
        <f>SUM(C75:K75)</f>
        <v>22602.6</v>
      </c>
    </row>
    <row r="76" spans="1:12" ht="20.100000000000001" customHeight="1">
      <c r="A76" s="2" t="s">
        <v>34</v>
      </c>
      <c r="B76" s="4" t="s">
        <v>21</v>
      </c>
      <c r="C76" s="15">
        <v>21812.66</v>
      </c>
      <c r="D76" s="15">
        <v>17200.990000000002</v>
      </c>
      <c r="E76" s="15">
        <v>13616.38</v>
      </c>
      <c r="F76" s="15">
        <v>12182.17</v>
      </c>
      <c r="G76" s="15">
        <v>8687.43</v>
      </c>
      <c r="H76" s="15">
        <v>9753.43</v>
      </c>
      <c r="I76" s="15">
        <v>9306.11</v>
      </c>
      <c r="J76" s="15">
        <v>19393.059999999998</v>
      </c>
      <c r="K76" s="15">
        <v>20829.93</v>
      </c>
      <c r="L76" s="15">
        <f>SUM(C76:K76)</f>
        <v>132782.16</v>
      </c>
    </row>
    <row r="77" spans="1:12" ht="20.100000000000001" customHeight="1">
      <c r="A77" s="2" t="s">
        <v>63</v>
      </c>
      <c r="B77" s="4" t="s">
        <v>58</v>
      </c>
      <c r="C77" s="15">
        <v>0</v>
      </c>
      <c r="D77" s="15"/>
      <c r="E77" s="15"/>
      <c r="F77" s="15"/>
      <c r="G77" s="15"/>
      <c r="H77" s="15">
        <v>1099.6500000000001</v>
      </c>
      <c r="I77" s="15"/>
      <c r="J77" s="15"/>
      <c r="K77" s="15">
        <v>0</v>
      </c>
      <c r="L77" s="15">
        <f t="shared" ref="L77:L79" si="9">C77+D77+E77+F77+G77+H77+I77+J77+K77</f>
        <v>1099.6500000000001</v>
      </c>
    </row>
    <row r="78" spans="1:12" ht="20.100000000000001" customHeight="1">
      <c r="A78" s="2" t="s">
        <v>63</v>
      </c>
      <c r="B78" s="4" t="s">
        <v>59</v>
      </c>
      <c r="C78" s="15">
        <v>0</v>
      </c>
      <c r="D78" s="15"/>
      <c r="E78" s="15"/>
      <c r="F78" s="15"/>
      <c r="G78" s="15"/>
      <c r="H78" s="15">
        <v>0</v>
      </c>
      <c r="I78" s="15"/>
      <c r="J78" s="15"/>
      <c r="K78" s="15"/>
      <c r="L78" s="15">
        <f t="shared" si="9"/>
        <v>0</v>
      </c>
    </row>
    <row r="79" spans="1:12" s="12" customFormat="1" ht="20.100000000000001" customHeight="1">
      <c r="A79" s="2" t="s">
        <v>63</v>
      </c>
      <c r="B79" s="4" t="s">
        <v>60</v>
      </c>
      <c r="C79" s="15">
        <v>0</v>
      </c>
      <c r="D79" s="15"/>
      <c r="E79" s="15"/>
      <c r="F79" s="15"/>
      <c r="G79" s="15"/>
      <c r="H79" s="15">
        <v>0</v>
      </c>
      <c r="I79" s="15"/>
      <c r="J79" s="15"/>
      <c r="K79" s="15"/>
      <c r="L79" s="15">
        <f t="shared" si="9"/>
        <v>0</v>
      </c>
    </row>
    <row r="80" spans="1:12" s="12" customFormat="1" ht="20.100000000000001" customHeight="1">
      <c r="A80" s="2" t="s">
        <v>9</v>
      </c>
      <c r="B80" s="4" t="s">
        <v>19</v>
      </c>
      <c r="C80" s="15">
        <v>104850</v>
      </c>
      <c r="D80" s="15">
        <v>101200</v>
      </c>
      <c r="E80" s="15">
        <v>110860</v>
      </c>
      <c r="F80" s="15">
        <v>110660</v>
      </c>
      <c r="G80" s="15">
        <v>101995</v>
      </c>
      <c r="H80" s="15">
        <v>127495</v>
      </c>
      <c r="I80" s="15">
        <v>87470</v>
      </c>
      <c r="J80" s="15">
        <v>106700</v>
      </c>
      <c r="K80" s="15">
        <v>110510</v>
      </c>
      <c r="L80" s="15">
        <f>SUM(C80:K80)</f>
        <v>961740</v>
      </c>
    </row>
    <row r="81" spans="1:12" s="12" customFormat="1" ht="20.100000000000001" customHeight="1">
      <c r="A81" s="2" t="s">
        <v>9</v>
      </c>
      <c r="B81" s="4" t="s">
        <v>20</v>
      </c>
      <c r="C81" s="15">
        <v>9018</v>
      </c>
      <c r="D81" s="15">
        <v>8888</v>
      </c>
      <c r="E81" s="15">
        <v>9731</v>
      </c>
      <c r="F81" s="15">
        <v>9524.5</v>
      </c>
      <c r="G81" s="15">
        <v>8969</v>
      </c>
      <c r="H81" s="15">
        <v>11108</v>
      </c>
      <c r="I81" s="15">
        <v>7522</v>
      </c>
      <c r="J81" s="15">
        <v>9182.5</v>
      </c>
      <c r="K81" s="15">
        <v>9412</v>
      </c>
      <c r="L81" s="15">
        <f>SUM(C81:K81)</f>
        <v>83355</v>
      </c>
    </row>
    <row r="82" spans="1:12" ht="20.100000000000001" customHeight="1">
      <c r="A82" s="2" t="s">
        <v>9</v>
      </c>
      <c r="B82" s="4" t="s">
        <v>21</v>
      </c>
      <c r="C82" s="15">
        <v>43680.91</v>
      </c>
      <c r="D82" s="15">
        <v>32961.82</v>
      </c>
      <c r="E82" s="15">
        <v>24373.86</v>
      </c>
      <c r="F82" s="15"/>
      <c r="G82" s="15">
        <v>41560.5</v>
      </c>
      <c r="H82" s="15">
        <v>17381.84</v>
      </c>
      <c r="I82" s="15">
        <v>24170.28</v>
      </c>
      <c r="J82" s="15">
        <v>35569.339999999997</v>
      </c>
      <c r="K82" s="15">
        <v>36824.559999999998</v>
      </c>
      <c r="L82" s="15">
        <f>SUM(C82:K82)</f>
        <v>256523.11000000002</v>
      </c>
    </row>
    <row r="83" spans="1:12" ht="20.100000000000001" customHeight="1">
      <c r="A83" s="2" t="s">
        <v>62</v>
      </c>
      <c r="B83" s="4" t="s">
        <v>58</v>
      </c>
      <c r="C83" s="15">
        <v>4275</v>
      </c>
      <c r="D83" s="15">
        <v>577.54</v>
      </c>
      <c r="E83" s="15">
        <v>830.25</v>
      </c>
      <c r="F83" s="15">
        <v>806.55</v>
      </c>
      <c r="G83" s="15">
        <v>3273</v>
      </c>
      <c r="H83" s="15">
        <v>963.62</v>
      </c>
      <c r="I83" s="15">
        <v>1036.3399999999999</v>
      </c>
      <c r="J83" s="15">
        <v>7063.51</v>
      </c>
      <c r="K83" s="15">
        <v>1064.98</v>
      </c>
      <c r="L83" s="15">
        <f t="shared" ref="L83:L91" si="10">C83+D83+E83+F83+G83+H83+I83+J83+K83</f>
        <v>19890.79</v>
      </c>
    </row>
    <row r="84" spans="1:12" ht="20.100000000000001" customHeight="1">
      <c r="A84" s="2" t="s">
        <v>9</v>
      </c>
      <c r="B84" s="4" t="s">
        <v>59</v>
      </c>
      <c r="C84" s="15">
        <v>0</v>
      </c>
      <c r="D84" s="15"/>
      <c r="E84" s="15"/>
      <c r="F84" s="15"/>
      <c r="G84" s="15"/>
      <c r="H84" s="15">
        <v>0</v>
      </c>
      <c r="I84" s="15"/>
      <c r="J84" s="15"/>
      <c r="K84" s="15"/>
      <c r="L84" s="15">
        <f t="shared" si="10"/>
        <v>0</v>
      </c>
    </row>
    <row r="85" spans="1:12" s="12" customFormat="1" ht="20.100000000000001" customHeight="1">
      <c r="A85" s="2" t="s">
        <v>9</v>
      </c>
      <c r="B85" s="4" t="s">
        <v>60</v>
      </c>
      <c r="C85" s="15">
        <v>0</v>
      </c>
      <c r="D85" s="15"/>
      <c r="E85" s="15"/>
      <c r="F85" s="15"/>
      <c r="G85" s="15"/>
      <c r="H85" s="15">
        <v>0</v>
      </c>
      <c r="I85" s="15"/>
      <c r="J85" s="15"/>
      <c r="K85" s="15"/>
      <c r="L85" s="15">
        <f t="shared" si="10"/>
        <v>0</v>
      </c>
    </row>
    <row r="86" spans="1:12" s="12" customFormat="1" ht="20.100000000000001" customHeight="1">
      <c r="A86" s="2" t="s">
        <v>84</v>
      </c>
      <c r="B86" s="4" t="s">
        <v>19</v>
      </c>
      <c r="C86" s="15">
        <v>263261.20999999996</v>
      </c>
      <c r="D86" s="15">
        <v>236317.5</v>
      </c>
      <c r="E86" s="15">
        <v>238022.91</v>
      </c>
      <c r="F86" s="15">
        <v>225019.74</v>
      </c>
      <c r="G86" s="15">
        <v>177551.4</v>
      </c>
      <c r="H86" s="15">
        <v>239487.62</v>
      </c>
      <c r="I86" s="15">
        <v>207560</v>
      </c>
      <c r="J86" s="15">
        <v>270583.56</v>
      </c>
      <c r="K86" s="15">
        <v>295899.40000000002</v>
      </c>
      <c r="L86" s="15">
        <f>SUM(C86:K86)</f>
        <v>2153703.34</v>
      </c>
    </row>
    <row r="87" spans="1:12" s="12" customFormat="1" ht="20.100000000000001" customHeight="1">
      <c r="A87" s="2" t="s">
        <v>84</v>
      </c>
      <c r="B87" s="4" t="s">
        <v>20</v>
      </c>
      <c r="C87" s="15">
        <v>23053.21</v>
      </c>
      <c r="D87" s="15">
        <v>20667</v>
      </c>
      <c r="E87" s="15">
        <v>20818.57</v>
      </c>
      <c r="F87" s="15">
        <v>19664.490000000002</v>
      </c>
      <c r="G87" s="15">
        <v>15506.98</v>
      </c>
      <c r="H87" s="15">
        <v>21166.720000000001</v>
      </c>
      <c r="I87" s="15">
        <v>18223.400000000001</v>
      </c>
      <c r="J87" s="15">
        <v>23787.119999999999</v>
      </c>
      <c r="K87" s="15">
        <v>25872.67</v>
      </c>
      <c r="L87" s="15">
        <f>SUM(C87:K87)</f>
        <v>188760.15999999997</v>
      </c>
    </row>
    <row r="88" spans="1:12" s="12" customFormat="1" ht="20.100000000000001" customHeight="1">
      <c r="A88" s="2" t="s">
        <v>84</v>
      </c>
      <c r="B88" s="4" t="s">
        <v>21</v>
      </c>
      <c r="C88" s="15">
        <v>90290.21</v>
      </c>
      <c r="D88" s="15">
        <v>84183.78</v>
      </c>
      <c r="E88" s="15">
        <v>64469.52</v>
      </c>
      <c r="F88" s="15"/>
      <c r="G88" s="15">
        <v>90181.34</v>
      </c>
      <c r="H88" s="15">
        <v>32195.86</v>
      </c>
      <c r="I88" s="15">
        <v>55670.39</v>
      </c>
      <c r="J88" s="15">
        <v>86212.94</v>
      </c>
      <c r="K88" s="15">
        <v>92684.72</v>
      </c>
      <c r="L88" s="15">
        <f>SUM(C88:K88)</f>
        <v>595888.76</v>
      </c>
    </row>
    <row r="89" spans="1:12" s="12" customFormat="1" ht="20.100000000000001" customHeight="1">
      <c r="A89" s="2" t="s">
        <v>74</v>
      </c>
      <c r="B89" s="4" t="s">
        <v>58</v>
      </c>
      <c r="C89" s="15">
        <v>452</v>
      </c>
      <c r="D89" s="15"/>
      <c r="E89" s="15">
        <v>2120.5100000000002</v>
      </c>
      <c r="F89" s="15">
        <v>439.01</v>
      </c>
      <c r="G89" s="15">
        <v>1196.1400000000001</v>
      </c>
      <c r="H89" s="15">
        <v>350.86</v>
      </c>
      <c r="I89" s="15">
        <v>572</v>
      </c>
      <c r="J89" s="15">
        <v>133</v>
      </c>
      <c r="K89" s="15">
        <v>1668.72</v>
      </c>
      <c r="L89" s="15">
        <f t="shared" si="10"/>
        <v>6932.2400000000007</v>
      </c>
    </row>
    <row r="90" spans="1:12" s="12" customFormat="1" ht="20.100000000000001" customHeight="1">
      <c r="A90" s="2" t="s">
        <v>74</v>
      </c>
      <c r="B90" s="4" t="s">
        <v>59</v>
      </c>
      <c r="C90" s="15">
        <v>0</v>
      </c>
      <c r="D90" s="15"/>
      <c r="E90" s="15"/>
      <c r="F90" s="15"/>
      <c r="G90" s="15"/>
      <c r="H90" s="15">
        <v>0</v>
      </c>
      <c r="I90" s="15"/>
      <c r="J90" s="15"/>
      <c r="K90" s="15"/>
      <c r="L90" s="15">
        <f t="shared" si="10"/>
        <v>0</v>
      </c>
    </row>
    <row r="91" spans="1:12" s="12" customFormat="1" ht="20.100000000000001" customHeight="1">
      <c r="A91" s="2" t="s">
        <v>74</v>
      </c>
      <c r="B91" s="4" t="s">
        <v>60</v>
      </c>
      <c r="C91" s="15">
        <v>0</v>
      </c>
      <c r="D91" s="15"/>
      <c r="E91" s="15"/>
      <c r="F91" s="15"/>
      <c r="G91" s="15"/>
      <c r="H91" s="15">
        <v>0</v>
      </c>
      <c r="I91" s="15"/>
      <c r="J91" s="15"/>
      <c r="K91" s="15"/>
      <c r="L91" s="15">
        <f t="shared" si="10"/>
        <v>0</v>
      </c>
    </row>
    <row r="92" spans="1:12" s="12" customFormat="1" ht="20.100000000000001" customHeight="1">
      <c r="A92" s="2" t="s">
        <v>10</v>
      </c>
      <c r="B92" s="4" t="s">
        <v>19</v>
      </c>
      <c r="C92" s="15">
        <v>96411.8</v>
      </c>
      <c r="D92" s="15">
        <v>67624</v>
      </c>
      <c r="E92" s="15">
        <v>64660.7</v>
      </c>
      <c r="F92" s="15">
        <f>74077-14.15-2494.9</f>
        <v>71567.950000000012</v>
      </c>
      <c r="G92" s="15">
        <v>62190</v>
      </c>
      <c r="H92" s="15">
        <v>127928</v>
      </c>
      <c r="I92" s="15">
        <v>82160</v>
      </c>
      <c r="J92" s="15">
        <f>84070-19.2</f>
        <v>84050.8</v>
      </c>
      <c r="K92" s="15">
        <v>84960</v>
      </c>
      <c r="L92" s="15">
        <f>SUM(C92:K92)</f>
        <v>741553.25</v>
      </c>
    </row>
    <row r="93" spans="1:12" s="12" customFormat="1" ht="20.100000000000001" customHeight="1">
      <c r="A93" s="2" t="s">
        <v>10</v>
      </c>
      <c r="B93" s="4" t="s">
        <v>20</v>
      </c>
      <c r="C93" s="15">
        <v>3856.47</v>
      </c>
      <c r="D93" s="15">
        <v>2704.96</v>
      </c>
      <c r="E93" s="15">
        <v>2586.4299999999998</v>
      </c>
      <c r="F93" s="15">
        <v>2963.08</v>
      </c>
      <c r="G93" s="15">
        <v>2487.6</v>
      </c>
      <c r="H93" s="15">
        <v>5117.12</v>
      </c>
      <c r="I93" s="15">
        <v>3286.4</v>
      </c>
      <c r="J93" s="15">
        <v>3362.8</v>
      </c>
      <c r="K93" s="15">
        <v>3398.4</v>
      </c>
      <c r="L93" s="15">
        <f>SUM(C93:K93)</f>
        <v>29763.260000000002</v>
      </c>
    </row>
    <row r="94" spans="1:12" ht="18.75" customHeight="1">
      <c r="A94" s="2" t="s">
        <v>10</v>
      </c>
      <c r="B94" s="4" t="s">
        <v>21</v>
      </c>
      <c r="C94" s="15">
        <v>31111.5</v>
      </c>
      <c r="D94" s="15">
        <v>20170.2</v>
      </c>
      <c r="E94" s="15">
        <v>17618.11</v>
      </c>
      <c r="F94" s="15">
        <v>17743.310000000001</v>
      </c>
      <c r="G94" s="15">
        <v>11492.91</v>
      </c>
      <c r="H94" s="15">
        <v>13400.59</v>
      </c>
      <c r="I94" s="15">
        <v>17982.57</v>
      </c>
      <c r="J94" s="15">
        <v>14851.14</v>
      </c>
      <c r="K94" s="15">
        <v>22401.33</v>
      </c>
      <c r="L94" s="15">
        <f>SUM(C94:K94)</f>
        <v>166771.66000000003</v>
      </c>
    </row>
    <row r="95" spans="1:12" ht="18.75" customHeight="1">
      <c r="A95" s="2" t="s">
        <v>10</v>
      </c>
      <c r="B95" s="4" t="s">
        <v>58</v>
      </c>
      <c r="C95" s="15">
        <v>450</v>
      </c>
      <c r="D95" s="15">
        <v>1194.03</v>
      </c>
      <c r="E95" s="15">
        <v>691.51</v>
      </c>
      <c r="F95" s="15">
        <v>1096.5</v>
      </c>
      <c r="G95" s="15">
        <v>464</v>
      </c>
      <c r="H95" s="15">
        <v>2361.1</v>
      </c>
      <c r="I95" s="15">
        <v>1208.8499999999999</v>
      </c>
      <c r="J95" s="15">
        <v>190.46</v>
      </c>
      <c r="K95" s="15">
        <v>4453.32</v>
      </c>
      <c r="L95" s="15">
        <f t="shared" ref="L95:L97" si="11">C95+D95+E95+F95+G95+H95+I95+J95+K95</f>
        <v>12109.77</v>
      </c>
    </row>
    <row r="96" spans="1:12" ht="18.75" customHeight="1">
      <c r="A96" s="2" t="s">
        <v>10</v>
      </c>
      <c r="B96" s="4" t="s">
        <v>59</v>
      </c>
      <c r="C96" s="15">
        <v>0</v>
      </c>
      <c r="D96" s="15"/>
      <c r="E96" s="15"/>
      <c r="F96" s="15"/>
      <c r="G96" s="15"/>
      <c r="H96" s="15">
        <v>0</v>
      </c>
      <c r="I96" s="15"/>
      <c r="J96" s="15"/>
      <c r="K96" s="15"/>
      <c r="L96" s="15">
        <f t="shared" si="11"/>
        <v>0</v>
      </c>
    </row>
    <row r="97" spans="1:12" s="12" customFormat="1" ht="20.100000000000001" customHeight="1">
      <c r="A97" s="2" t="s">
        <v>10</v>
      </c>
      <c r="B97" s="4" t="s">
        <v>60</v>
      </c>
      <c r="C97" s="15">
        <v>0</v>
      </c>
      <c r="D97" s="15"/>
      <c r="E97" s="15"/>
      <c r="F97" s="15"/>
      <c r="G97" s="15"/>
      <c r="H97" s="15">
        <v>0</v>
      </c>
      <c r="I97" s="15"/>
      <c r="J97" s="15"/>
      <c r="K97" s="15"/>
      <c r="L97" s="15">
        <f t="shared" si="11"/>
        <v>0</v>
      </c>
    </row>
    <row r="98" spans="1:12" s="12" customFormat="1" ht="20.100000000000001" customHeight="1">
      <c r="A98" s="2" t="s">
        <v>36</v>
      </c>
      <c r="B98" s="4" t="s">
        <v>19</v>
      </c>
      <c r="C98" s="15">
        <v>151490</v>
      </c>
      <c r="D98" s="15">
        <v>155370</v>
      </c>
      <c r="E98" s="15">
        <f>153200-30</f>
        <v>153170</v>
      </c>
      <c r="F98" s="15">
        <v>143533</v>
      </c>
      <c r="G98" s="15">
        <v>122491</v>
      </c>
      <c r="H98" s="15">
        <v>150881</v>
      </c>
      <c r="I98" s="15">
        <v>130560</v>
      </c>
      <c r="J98" s="15">
        <v>183630</v>
      </c>
      <c r="K98" s="15">
        <v>170600</v>
      </c>
      <c r="L98" s="15">
        <f>SUM(C98:K98)</f>
        <v>1361725</v>
      </c>
    </row>
    <row r="99" spans="1:12" s="12" customFormat="1" ht="20.100000000000001" customHeight="1">
      <c r="A99" s="2" t="s">
        <v>12</v>
      </c>
      <c r="B99" s="4" t="s">
        <v>20</v>
      </c>
      <c r="C99" s="15">
        <v>6059.6</v>
      </c>
      <c r="D99" s="15">
        <v>6214.8</v>
      </c>
      <c r="E99" s="15">
        <v>6128</v>
      </c>
      <c r="F99" s="15">
        <v>5741.32</v>
      </c>
      <c r="G99" s="15">
        <v>4899.6400000000003</v>
      </c>
      <c r="H99" s="15">
        <v>6035.24</v>
      </c>
      <c r="I99" s="15">
        <v>5222.3999999999996</v>
      </c>
      <c r="J99" s="15">
        <v>7345.2</v>
      </c>
      <c r="K99" s="15">
        <v>6824</v>
      </c>
      <c r="L99" s="15">
        <f>SUM(C99:K99)</f>
        <v>54470.2</v>
      </c>
    </row>
    <row r="100" spans="1:12" ht="20.100000000000001" customHeight="1">
      <c r="A100" s="2" t="s">
        <v>12</v>
      </c>
      <c r="B100" s="4" t="s">
        <v>21</v>
      </c>
      <c r="C100" s="15">
        <v>57617.78</v>
      </c>
      <c r="D100" s="15">
        <v>45387.86</v>
      </c>
      <c r="E100" s="15">
        <v>38608.78</v>
      </c>
      <c r="F100" s="15">
        <v>27630.82</v>
      </c>
      <c r="G100" s="15">
        <v>30239.58</v>
      </c>
      <c r="H100" s="15">
        <v>18449.240000000002</v>
      </c>
      <c r="I100" s="15">
        <v>27652.19</v>
      </c>
      <c r="J100" s="15">
        <v>41897.03</v>
      </c>
      <c r="K100" s="15">
        <v>55836.78</v>
      </c>
      <c r="L100" s="15">
        <f>SUM(C100:K100)</f>
        <v>343320.06000000006</v>
      </c>
    </row>
    <row r="101" spans="1:12" ht="20.100000000000001" customHeight="1">
      <c r="A101" s="2" t="s">
        <v>12</v>
      </c>
      <c r="B101" s="4" t="s">
        <v>58</v>
      </c>
      <c r="C101" s="15">
        <v>1231</v>
      </c>
      <c r="D101" s="15">
        <v>1849.86</v>
      </c>
      <c r="E101" s="15">
        <v>2301.19</v>
      </c>
      <c r="F101" s="15">
        <v>1257.47</v>
      </c>
      <c r="G101" s="15">
        <v>1202.06</v>
      </c>
      <c r="H101" s="15">
        <v>3421.06</v>
      </c>
      <c r="I101" s="15">
        <f>8270.88+520</f>
        <v>8790.8799999999992</v>
      </c>
      <c r="J101" s="15">
        <v>2176.9</v>
      </c>
      <c r="K101" s="15">
        <v>805.16</v>
      </c>
      <c r="L101" s="15">
        <f t="shared" ref="L101:L103" si="12">C101+D101+E101+F101+G101+H101+I101+J101+K101</f>
        <v>23035.579999999998</v>
      </c>
    </row>
    <row r="102" spans="1:12" ht="20.25" customHeight="1">
      <c r="A102" s="2" t="s">
        <v>12</v>
      </c>
      <c r="B102" s="4" t="s">
        <v>59</v>
      </c>
      <c r="C102" s="15">
        <v>0</v>
      </c>
      <c r="D102" s="15"/>
      <c r="E102" s="15"/>
      <c r="F102" s="15"/>
      <c r="G102" s="15"/>
      <c r="H102" s="15">
        <v>0</v>
      </c>
      <c r="I102" s="15"/>
      <c r="J102" s="15"/>
      <c r="K102" s="15"/>
      <c r="L102" s="15">
        <f t="shared" si="12"/>
        <v>0</v>
      </c>
    </row>
    <row r="103" spans="1:12" s="12" customFormat="1" ht="20.100000000000001" customHeight="1">
      <c r="A103" s="2" t="s">
        <v>12</v>
      </c>
      <c r="B103" s="4" t="s">
        <v>60</v>
      </c>
      <c r="C103" s="15">
        <v>0</v>
      </c>
      <c r="D103" s="15"/>
      <c r="E103" s="15"/>
      <c r="F103" s="15"/>
      <c r="G103" s="15"/>
      <c r="H103" s="15">
        <v>0</v>
      </c>
      <c r="I103" s="15"/>
      <c r="J103" s="15"/>
      <c r="K103" s="15"/>
      <c r="L103" s="15">
        <f t="shared" si="12"/>
        <v>0</v>
      </c>
    </row>
    <row r="104" spans="1:12" s="12" customFormat="1" ht="20.100000000000001" customHeight="1">
      <c r="A104" s="2" t="s">
        <v>14</v>
      </c>
      <c r="B104" s="4" t="s">
        <v>19</v>
      </c>
      <c r="C104" s="15">
        <v>215100</v>
      </c>
      <c r="D104" s="15">
        <v>194200</v>
      </c>
      <c r="E104" s="15">
        <v>163050</v>
      </c>
      <c r="F104" s="15">
        <f>175400-37300+140</f>
        <v>138240</v>
      </c>
      <c r="G104" s="15">
        <v>144600</v>
      </c>
      <c r="H104" s="15">
        <v>648050</v>
      </c>
      <c r="I104" s="15">
        <f>166050+83000-17580.85</f>
        <v>231469.15</v>
      </c>
      <c r="J104" s="15">
        <v>182700</v>
      </c>
      <c r="K104" s="16">
        <v>206100</v>
      </c>
      <c r="L104" s="15">
        <f>SUM(C104:K104)</f>
        <v>2123509.15</v>
      </c>
    </row>
    <row r="105" spans="1:12" s="12" customFormat="1" ht="20.100000000000001" customHeight="1">
      <c r="A105" s="2" t="s">
        <v>14</v>
      </c>
      <c r="B105" s="4" t="s">
        <v>20</v>
      </c>
      <c r="C105" s="15">
        <v>8604</v>
      </c>
      <c r="D105" s="15">
        <v>7768</v>
      </c>
      <c r="E105" s="15">
        <v>6522</v>
      </c>
      <c r="F105" s="15">
        <v>7016</v>
      </c>
      <c r="G105" s="15">
        <v>5784</v>
      </c>
      <c r="H105" s="15">
        <v>25922</v>
      </c>
      <c r="I105" s="15">
        <v>6642</v>
      </c>
      <c r="J105" s="15">
        <f>J104*0.04</f>
        <v>7308</v>
      </c>
      <c r="K105" s="16">
        <f>K104*0.04</f>
        <v>8244</v>
      </c>
      <c r="L105" s="15">
        <f>SUM(C105:K105)</f>
        <v>83810</v>
      </c>
    </row>
    <row r="106" spans="1:12" ht="25.5" customHeight="1">
      <c r="A106" s="2" t="s">
        <v>14</v>
      </c>
      <c r="B106" s="4" t="s">
        <v>91</v>
      </c>
      <c r="C106" s="15">
        <v>1075.5</v>
      </c>
      <c r="D106" s="15">
        <v>971</v>
      </c>
      <c r="E106" s="15">
        <v>815.25</v>
      </c>
      <c r="F106" s="15">
        <v>877</v>
      </c>
      <c r="G106" s="15">
        <v>723</v>
      </c>
      <c r="H106" s="15">
        <v>3240.25</v>
      </c>
      <c r="I106" s="15">
        <v>830.25</v>
      </c>
      <c r="J106" s="15">
        <f>J104*0.005</f>
        <v>913.5</v>
      </c>
      <c r="K106" s="16">
        <f>K104*0.005</f>
        <v>1030.5</v>
      </c>
      <c r="L106" s="15">
        <f>SUM(C106:K106)</f>
        <v>10476.25</v>
      </c>
    </row>
    <row r="107" spans="1:12" ht="20.100000000000001" customHeight="1">
      <c r="A107" s="2" t="s">
        <v>14</v>
      </c>
      <c r="B107" s="4" t="s">
        <v>21</v>
      </c>
      <c r="C107" s="15">
        <v>54893.84</v>
      </c>
      <c r="D107" s="15">
        <v>48123.519999999997</v>
      </c>
      <c r="E107" s="15">
        <v>45153.599999999999</v>
      </c>
      <c r="F107" s="15">
        <v>32160.400000000001</v>
      </c>
      <c r="G107" s="15">
        <v>33097.089999999997</v>
      </c>
      <c r="H107" s="15">
        <v>37233.18</v>
      </c>
      <c r="I107" s="15">
        <v>29638.2</v>
      </c>
      <c r="J107" s="15">
        <v>45089.81</v>
      </c>
      <c r="K107" s="15">
        <v>56381.46</v>
      </c>
      <c r="L107" s="15">
        <f>SUM(C107:K107)</f>
        <v>381771.1</v>
      </c>
    </row>
    <row r="108" spans="1:12" ht="20.100000000000001" customHeight="1">
      <c r="A108" s="2" t="s">
        <v>14</v>
      </c>
      <c r="B108" s="4" t="s">
        <v>58</v>
      </c>
      <c r="C108" s="15">
        <v>274</v>
      </c>
      <c r="D108" s="15">
        <v>688.82</v>
      </c>
      <c r="E108" s="15">
        <v>2371.96</v>
      </c>
      <c r="F108" s="15">
        <v>878.3</v>
      </c>
      <c r="G108" s="15">
        <v>930.32</v>
      </c>
      <c r="H108" s="15">
        <v>1754.65</v>
      </c>
      <c r="I108" s="15">
        <v>841.03</v>
      </c>
      <c r="J108" s="15">
        <v>4424.41</v>
      </c>
      <c r="K108" s="15">
        <v>1226.98</v>
      </c>
      <c r="L108" s="15">
        <f t="shared" ref="L108:L110" si="13">C108+D108+E108+F108+G108+H108+I108+J108+K108</f>
        <v>13390.469999999998</v>
      </c>
    </row>
    <row r="109" spans="1:12" ht="20.100000000000001" customHeight="1">
      <c r="A109" s="2" t="s">
        <v>14</v>
      </c>
      <c r="B109" s="4" t="s">
        <v>59</v>
      </c>
      <c r="C109" s="15">
        <v>0</v>
      </c>
      <c r="D109" s="15"/>
      <c r="E109" s="15"/>
      <c r="F109" s="15"/>
      <c r="G109" s="15"/>
      <c r="H109" s="15">
        <v>0</v>
      </c>
      <c r="I109" s="15"/>
      <c r="J109" s="15"/>
      <c r="K109" s="15"/>
      <c r="L109" s="15">
        <f t="shared" si="13"/>
        <v>0</v>
      </c>
    </row>
    <row r="110" spans="1:12" s="12" customFormat="1" ht="20.100000000000001" customHeight="1">
      <c r="A110" s="2" t="s">
        <v>14</v>
      </c>
      <c r="B110" s="4" t="s">
        <v>60</v>
      </c>
      <c r="C110" s="15">
        <v>0</v>
      </c>
      <c r="D110" s="15"/>
      <c r="E110" s="15"/>
      <c r="F110" s="15"/>
      <c r="G110" s="15"/>
      <c r="H110" s="15">
        <v>0</v>
      </c>
      <c r="I110" s="15"/>
      <c r="J110" s="15"/>
      <c r="K110" s="15"/>
      <c r="L110" s="15">
        <f t="shared" si="13"/>
        <v>0</v>
      </c>
    </row>
    <row r="111" spans="1:12" s="12" customFormat="1" ht="20.100000000000001" customHeight="1">
      <c r="A111" s="2" t="s">
        <v>22</v>
      </c>
      <c r="B111" s="4" t="s">
        <v>19</v>
      </c>
      <c r="C111" s="15">
        <v>44090.400000000001</v>
      </c>
      <c r="D111" s="15">
        <v>55966.82</v>
      </c>
      <c r="E111" s="15">
        <v>44965.86</v>
      </c>
      <c r="F111" s="15">
        <v>45769.88</v>
      </c>
      <c r="G111" s="15">
        <v>27620.76</v>
      </c>
      <c r="H111" s="15">
        <v>74090.12</v>
      </c>
      <c r="I111" s="15">
        <v>43370.84</v>
      </c>
      <c r="J111" s="15">
        <v>55387.44</v>
      </c>
      <c r="K111" s="15">
        <v>59383.73</v>
      </c>
      <c r="L111" s="15">
        <f>SUM(C111:K111)</f>
        <v>450645.85000000003</v>
      </c>
    </row>
    <row r="112" spans="1:12" s="12" customFormat="1" ht="20.100000000000001" customHeight="1">
      <c r="A112" s="2" t="s">
        <v>22</v>
      </c>
      <c r="B112" s="4" t="s">
        <v>20</v>
      </c>
      <c r="C112" s="15">
        <v>1763.62</v>
      </c>
      <c r="D112" s="15">
        <v>2238.67</v>
      </c>
      <c r="E112" s="15">
        <v>1798.63</v>
      </c>
      <c r="F112" s="15">
        <v>1830.8</v>
      </c>
      <c r="G112" s="15">
        <v>1104.83</v>
      </c>
      <c r="H112" s="15">
        <v>2963.6</v>
      </c>
      <c r="I112" s="15">
        <v>1734.83</v>
      </c>
      <c r="J112" s="15">
        <v>2215.5</v>
      </c>
      <c r="K112" s="15">
        <v>2375.35</v>
      </c>
      <c r="L112" s="15">
        <f>SUM(C112:K112)</f>
        <v>18025.829999999998</v>
      </c>
    </row>
    <row r="113" spans="1:12" ht="20.100000000000001" customHeight="1">
      <c r="A113" s="2" t="s">
        <v>22</v>
      </c>
      <c r="B113" s="4" t="s">
        <v>21</v>
      </c>
      <c r="C113" s="15">
        <v>19452.740000000002</v>
      </c>
      <c r="D113" s="15">
        <v>19373.8</v>
      </c>
      <c r="E113" s="15">
        <v>12115.81</v>
      </c>
      <c r="F113" s="15">
        <v>8311.2000000000007</v>
      </c>
      <c r="G113" s="15">
        <v>7463.09</v>
      </c>
      <c r="H113" s="15">
        <v>8531.7800000000007</v>
      </c>
      <c r="I113" s="15">
        <v>8571.8799999999992</v>
      </c>
      <c r="J113" s="15">
        <v>16954.54</v>
      </c>
      <c r="K113" s="15">
        <v>16248.61</v>
      </c>
      <c r="L113" s="15">
        <f>SUM(C113:K113)</f>
        <v>117023.45</v>
      </c>
    </row>
    <row r="114" spans="1:12" ht="20.100000000000001" customHeight="1">
      <c r="A114" s="2" t="s">
        <v>22</v>
      </c>
      <c r="B114" s="4" t="s">
        <v>58</v>
      </c>
      <c r="C114" s="15">
        <v>0</v>
      </c>
      <c r="D114" s="15"/>
      <c r="E114" s="15"/>
      <c r="F114" s="15"/>
      <c r="G114" s="15"/>
      <c r="H114" s="15">
        <v>0</v>
      </c>
      <c r="I114" s="15"/>
      <c r="J114" s="15">
        <v>222</v>
      </c>
      <c r="K114" s="15">
        <v>1785</v>
      </c>
      <c r="L114" s="15">
        <f t="shared" ref="L114:L116" si="14">C114+D114+E114+F114+G114+H114+I114+J114+K114</f>
        <v>2007</v>
      </c>
    </row>
    <row r="115" spans="1:12" ht="20.100000000000001" customHeight="1">
      <c r="A115" s="2" t="s">
        <v>22</v>
      </c>
      <c r="B115" s="4" t="s">
        <v>59</v>
      </c>
      <c r="C115" s="15">
        <v>0</v>
      </c>
      <c r="D115" s="15"/>
      <c r="E115" s="15"/>
      <c r="F115" s="15"/>
      <c r="G115" s="15"/>
      <c r="H115" s="15">
        <v>0</v>
      </c>
      <c r="I115" s="15"/>
      <c r="J115" s="15"/>
      <c r="K115" s="15"/>
      <c r="L115" s="15">
        <f t="shared" si="14"/>
        <v>0</v>
      </c>
    </row>
    <row r="116" spans="1:12" s="12" customFormat="1" ht="20.100000000000001" customHeight="1">
      <c r="A116" s="2" t="s">
        <v>22</v>
      </c>
      <c r="B116" s="4" t="s">
        <v>60</v>
      </c>
      <c r="C116" s="15">
        <v>0</v>
      </c>
      <c r="D116" s="15"/>
      <c r="E116" s="15"/>
      <c r="F116" s="15"/>
      <c r="G116" s="15"/>
      <c r="H116" s="15">
        <v>0</v>
      </c>
      <c r="I116" s="15"/>
      <c r="J116" s="15"/>
      <c r="K116" s="15"/>
      <c r="L116" s="15">
        <f t="shared" si="14"/>
        <v>0</v>
      </c>
    </row>
    <row r="117" spans="1:12" s="12" customFormat="1" ht="20.100000000000001" customHeight="1">
      <c r="A117" s="2" t="s">
        <v>39</v>
      </c>
      <c r="B117" s="4" t="s">
        <v>19</v>
      </c>
      <c r="C117" s="15">
        <f>161184</f>
        <v>161184</v>
      </c>
      <c r="D117" s="15">
        <v>163548</v>
      </c>
      <c r="E117" s="15">
        <v>163548</v>
      </c>
      <c r="F117" s="15">
        <v>163548</v>
      </c>
      <c r="G117" s="15">
        <v>108108</v>
      </c>
      <c r="H117" s="15">
        <f>108108+127530</f>
        <v>235638</v>
      </c>
      <c r="I117" s="15">
        <v>127530</v>
      </c>
      <c r="J117" s="15">
        <v>192930</v>
      </c>
      <c r="K117" s="15">
        <v>192930</v>
      </c>
      <c r="L117" s="15">
        <f>SUM(C117:K117)</f>
        <v>1508964</v>
      </c>
    </row>
    <row r="118" spans="1:12" s="12" customFormat="1" ht="20.100000000000001" customHeight="1">
      <c r="A118" s="2" t="s">
        <v>39</v>
      </c>
      <c r="B118" s="4" t="s">
        <v>20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f>SUM(C118:K118)</f>
        <v>0</v>
      </c>
    </row>
    <row r="119" spans="1:12" ht="20.100000000000001" customHeight="1">
      <c r="A119" s="2" t="s">
        <v>39</v>
      </c>
      <c r="B119" s="4" t="s">
        <v>21</v>
      </c>
      <c r="C119" s="15">
        <v>21777.120000000003</v>
      </c>
      <c r="D119" s="15">
        <v>21070.53</v>
      </c>
      <c r="E119" s="15">
        <v>13756.230000000001</v>
      </c>
      <c r="F119" s="15">
        <f>43769*0.54*0.5</f>
        <v>11817.630000000001</v>
      </c>
      <c r="G119" s="15">
        <f>26121*0.54/2</f>
        <v>7052.67</v>
      </c>
      <c r="H119" s="15">
        <v>0</v>
      </c>
      <c r="I119" s="15">
        <f>90917*0.54*0.5</f>
        <v>24547.59</v>
      </c>
      <c r="J119" s="15">
        <f>72516*0.54/2</f>
        <v>19579.32</v>
      </c>
      <c r="K119" s="15">
        <f>67022*0.54/2</f>
        <v>18095.940000000002</v>
      </c>
      <c r="L119" s="15">
        <f>SUM(C119:K119)</f>
        <v>137697.03</v>
      </c>
    </row>
    <row r="120" spans="1:12" ht="20.100000000000001" customHeight="1">
      <c r="A120" s="2" t="s">
        <v>66</v>
      </c>
      <c r="B120" s="4" t="s">
        <v>58</v>
      </c>
      <c r="C120" s="15">
        <v>1716</v>
      </c>
      <c r="D120" s="15">
        <v>860.94</v>
      </c>
      <c r="E120" s="15">
        <v>1112.43</v>
      </c>
      <c r="F120" s="15">
        <f>1664.17+2300</f>
        <v>3964.17</v>
      </c>
      <c r="G120" s="15"/>
      <c r="H120" s="15">
        <v>15395.239999999998</v>
      </c>
      <c r="I120" s="15">
        <v>600</v>
      </c>
      <c r="J120" s="15">
        <v>10916.88</v>
      </c>
      <c r="K120" s="15">
        <v>648.39</v>
      </c>
      <c r="L120" s="15">
        <f t="shared" ref="L120:L122" si="15">C120+D120+E120+F120+G120+H120+I120+J120+K120</f>
        <v>35214.049999999996</v>
      </c>
    </row>
    <row r="121" spans="1:12" ht="20.100000000000001" customHeight="1">
      <c r="A121" s="2" t="s">
        <v>66</v>
      </c>
      <c r="B121" s="4" t="s">
        <v>59</v>
      </c>
      <c r="C121" s="15">
        <v>0</v>
      </c>
      <c r="D121" s="15"/>
      <c r="E121" s="15"/>
      <c r="F121" s="15"/>
      <c r="G121" s="15"/>
      <c r="H121" s="15">
        <v>0</v>
      </c>
      <c r="I121" s="15"/>
      <c r="J121" s="15"/>
      <c r="K121" s="15"/>
      <c r="L121" s="15">
        <f t="shared" si="15"/>
        <v>0</v>
      </c>
    </row>
    <row r="122" spans="1:12" s="12" customFormat="1" ht="20.100000000000001" customHeight="1">
      <c r="A122" s="2" t="s">
        <v>66</v>
      </c>
      <c r="B122" s="4" t="s">
        <v>60</v>
      </c>
      <c r="C122" s="15">
        <v>0</v>
      </c>
      <c r="D122" s="15"/>
      <c r="E122" s="15"/>
      <c r="F122" s="15"/>
      <c r="G122" s="15"/>
      <c r="H122" s="15">
        <v>0</v>
      </c>
      <c r="I122" s="15"/>
      <c r="J122" s="15"/>
      <c r="K122" s="15"/>
      <c r="L122" s="15">
        <f t="shared" si="15"/>
        <v>0</v>
      </c>
    </row>
    <row r="123" spans="1:12" s="12" customFormat="1" ht="20.100000000000001" customHeight="1">
      <c r="A123" s="2" t="s">
        <v>25</v>
      </c>
      <c r="B123" s="4" t="s">
        <v>19</v>
      </c>
      <c r="C123" s="15">
        <v>180194.35</v>
      </c>
      <c r="D123" s="15">
        <v>200930.72</v>
      </c>
      <c r="E123" s="15">
        <v>181284.71</v>
      </c>
      <c r="F123" s="15">
        <f>204530.93+21000</f>
        <v>225530.93</v>
      </c>
      <c r="G123" s="15">
        <v>150496.49</v>
      </c>
      <c r="H123" s="15">
        <v>188534.95</v>
      </c>
      <c r="I123" s="15">
        <v>207488.34</v>
      </c>
      <c r="J123" s="15">
        <f>234879.59+16600</f>
        <v>251479.59</v>
      </c>
      <c r="K123" s="15">
        <f>234046.79+1400</f>
        <v>235446.79</v>
      </c>
      <c r="L123" s="15">
        <f>SUM(C123:K123)</f>
        <v>1821386.87</v>
      </c>
    </row>
    <row r="124" spans="1:12" s="12" customFormat="1" ht="20.100000000000001" customHeight="1">
      <c r="A124" s="2" t="s">
        <v>25</v>
      </c>
      <c r="B124" s="4" t="s">
        <v>20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7541.4</v>
      </c>
      <c r="I124" s="15">
        <v>8299.5300000000007</v>
      </c>
      <c r="J124" s="15">
        <v>9395.18</v>
      </c>
      <c r="K124" s="15">
        <v>9361.8700000000008</v>
      </c>
      <c r="L124" s="15">
        <f>SUM(C124:K124)</f>
        <v>34597.980000000003</v>
      </c>
    </row>
    <row r="125" spans="1:12" s="6" customFormat="1" ht="20.100000000000001" customHeight="1">
      <c r="A125" s="2" t="s">
        <v>25</v>
      </c>
      <c r="B125" s="4" t="s">
        <v>21</v>
      </c>
      <c r="C125" s="15">
        <v>62922.28</v>
      </c>
      <c r="D125" s="15">
        <v>72961.53</v>
      </c>
      <c r="E125" s="15">
        <v>48272.82</v>
      </c>
      <c r="F125" s="15">
        <v>46503.65</v>
      </c>
      <c r="G125" s="15">
        <v>25564.15</v>
      </c>
      <c r="H125" s="15">
        <v>38195.160000000003</v>
      </c>
      <c r="I125" s="15">
        <v>24910.46</v>
      </c>
      <c r="J125" s="15">
        <v>59675.97</v>
      </c>
      <c r="K125" s="15">
        <v>67161.740000000005</v>
      </c>
      <c r="L125" s="15">
        <f>SUM(C125:K125)</f>
        <v>446167.76</v>
      </c>
    </row>
    <row r="126" spans="1:12" s="6" customFormat="1" ht="20.100000000000001" customHeight="1">
      <c r="A126" s="2" t="s">
        <v>25</v>
      </c>
      <c r="B126" s="4" t="s">
        <v>58</v>
      </c>
      <c r="C126" s="15">
        <v>0</v>
      </c>
      <c r="D126" s="15">
        <v>1692.56</v>
      </c>
      <c r="E126" s="15">
        <v>2523.73</v>
      </c>
      <c r="F126" s="15">
        <v>1424.47</v>
      </c>
      <c r="G126" s="15">
        <f>3424.73+578.62</f>
        <v>4003.35</v>
      </c>
      <c r="H126" s="15">
        <v>23049.040000000001</v>
      </c>
      <c r="I126" s="15">
        <v>770</v>
      </c>
      <c r="J126" s="15">
        <v>1282.05</v>
      </c>
      <c r="K126" s="15">
        <v>1632.3</v>
      </c>
      <c r="L126" s="15">
        <f t="shared" ref="L126:L128" si="16">C126+D126+E126+F126+G126+H126+I126+J126+K126</f>
        <v>36377.500000000007</v>
      </c>
    </row>
    <row r="127" spans="1:12" s="6" customFormat="1" ht="20.100000000000001" customHeight="1">
      <c r="A127" s="2" t="s">
        <v>25</v>
      </c>
      <c r="B127" s="4" t="s">
        <v>59</v>
      </c>
      <c r="C127" s="15">
        <v>0</v>
      </c>
      <c r="D127" s="15"/>
      <c r="E127" s="15"/>
      <c r="F127" s="15"/>
      <c r="G127" s="15"/>
      <c r="H127" s="15">
        <v>0</v>
      </c>
      <c r="I127" s="15"/>
      <c r="J127" s="15"/>
      <c r="K127" s="15"/>
      <c r="L127" s="15">
        <f t="shared" si="16"/>
        <v>0</v>
      </c>
    </row>
    <row r="128" spans="1:12" s="12" customFormat="1" ht="20.100000000000001" customHeight="1">
      <c r="A128" s="2" t="s">
        <v>25</v>
      </c>
      <c r="B128" s="4" t="s">
        <v>60</v>
      </c>
      <c r="C128" s="15">
        <v>0</v>
      </c>
      <c r="D128" s="15"/>
      <c r="E128" s="15"/>
      <c r="F128" s="15"/>
      <c r="G128" s="15"/>
      <c r="H128" s="15">
        <v>0</v>
      </c>
      <c r="I128" s="15"/>
      <c r="J128" s="15">
        <v>3000</v>
      </c>
      <c r="K128" s="15"/>
      <c r="L128" s="15">
        <f t="shared" si="16"/>
        <v>3000</v>
      </c>
    </row>
    <row r="129" spans="1:12" s="12" customFormat="1" ht="20.100000000000001" customHeight="1">
      <c r="A129" s="2" t="s">
        <v>46</v>
      </c>
      <c r="B129" s="4" t="s">
        <v>19</v>
      </c>
      <c r="C129" s="15">
        <v>317106.98</v>
      </c>
      <c r="D129" s="15">
        <v>334913.26</v>
      </c>
      <c r="E129" s="15">
        <v>218368.6</v>
      </c>
      <c r="F129" s="15">
        <v>213705.54</v>
      </c>
      <c r="G129" s="15">
        <v>196448.07</v>
      </c>
      <c r="H129" s="15">
        <v>241142.1</v>
      </c>
      <c r="I129" s="15">
        <v>229579.4</v>
      </c>
      <c r="J129" s="15">
        <v>272309.51</v>
      </c>
      <c r="K129" s="15">
        <v>254297.22</v>
      </c>
      <c r="L129" s="15">
        <f>SUM(C129:K129)</f>
        <v>2277870.6800000002</v>
      </c>
    </row>
    <row r="130" spans="1:12" s="12" customFormat="1" ht="20.100000000000001" customHeight="1">
      <c r="A130" s="2" t="s">
        <v>46</v>
      </c>
      <c r="B130" s="4" t="s">
        <v>20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f>SUM(C130:K130)</f>
        <v>0</v>
      </c>
    </row>
    <row r="131" spans="1:12" s="6" customFormat="1" ht="20.100000000000001" customHeight="1">
      <c r="A131" s="2" t="s">
        <v>46</v>
      </c>
      <c r="B131" s="4" t="s">
        <v>21</v>
      </c>
      <c r="C131" s="15">
        <v>80209.440000000002</v>
      </c>
      <c r="D131" s="15">
        <v>63145.440000000002</v>
      </c>
      <c r="E131" s="15">
        <v>32529.599999999999</v>
      </c>
      <c r="F131" s="15">
        <v>23186.52</v>
      </c>
      <c r="G131" s="15">
        <v>16205.4</v>
      </c>
      <c r="H131" s="15">
        <v>28216.080000000002</v>
      </c>
      <c r="I131" s="15">
        <v>40601.519999999997</v>
      </c>
      <c r="J131" s="15">
        <v>61248.959999999999</v>
      </c>
      <c r="K131" s="15">
        <v>81196.56</v>
      </c>
      <c r="L131" s="15">
        <f>SUM(C131:K131)</f>
        <v>426539.52000000002</v>
      </c>
    </row>
    <row r="132" spans="1:12" s="6" customFormat="1" ht="20.100000000000001" customHeight="1">
      <c r="A132" s="2" t="s">
        <v>67</v>
      </c>
      <c r="B132" s="4" t="s">
        <v>58</v>
      </c>
      <c r="C132" s="15">
        <v>16200</v>
      </c>
      <c r="D132" s="15">
        <v>937.62</v>
      </c>
      <c r="E132" s="15">
        <v>3395.14</v>
      </c>
      <c r="F132" s="15">
        <v>4525.72</v>
      </c>
      <c r="G132" s="15">
        <f>2078+4422.2</f>
        <v>6500.2</v>
      </c>
      <c r="H132" s="15">
        <v>4768.5</v>
      </c>
      <c r="I132" s="15">
        <v>574.41</v>
      </c>
      <c r="J132" s="15">
        <v>10209.25</v>
      </c>
      <c r="K132" s="15">
        <v>7906.19</v>
      </c>
      <c r="L132" s="15">
        <f t="shared" ref="L132:L134" si="17">C132+D132+E132+F132+G132+H132+I132+J132+K132</f>
        <v>55017.030000000006</v>
      </c>
    </row>
    <row r="133" spans="1:12" s="6" customFormat="1" ht="20.100000000000001" customHeight="1">
      <c r="A133" s="2" t="s">
        <v>67</v>
      </c>
      <c r="B133" s="4" t="s">
        <v>59</v>
      </c>
      <c r="C133" s="15">
        <v>0</v>
      </c>
      <c r="D133" s="15"/>
      <c r="E133" s="15"/>
      <c r="F133" s="15"/>
      <c r="G133" s="15"/>
      <c r="H133" s="15">
        <v>0</v>
      </c>
      <c r="I133" s="15"/>
      <c r="J133" s="15"/>
      <c r="K133" s="15"/>
      <c r="L133" s="15">
        <f t="shared" si="17"/>
        <v>0</v>
      </c>
    </row>
    <row r="134" spans="1:12" s="12" customFormat="1" ht="20.100000000000001" customHeight="1">
      <c r="A134" s="2" t="s">
        <v>67</v>
      </c>
      <c r="B134" s="4" t="s">
        <v>60</v>
      </c>
      <c r="C134" s="15">
        <v>0</v>
      </c>
      <c r="D134" s="15"/>
      <c r="E134" s="15"/>
      <c r="F134" s="15"/>
      <c r="G134" s="15"/>
      <c r="H134" s="15">
        <v>0</v>
      </c>
      <c r="I134" s="15"/>
      <c r="J134" s="15"/>
      <c r="K134" s="15"/>
      <c r="L134" s="15">
        <f t="shared" si="17"/>
        <v>0</v>
      </c>
    </row>
    <row r="135" spans="1:12" s="12" customFormat="1" ht="20.100000000000001" customHeight="1">
      <c r="A135" s="2" t="s">
        <v>29</v>
      </c>
      <c r="B135" s="4" t="s">
        <v>19</v>
      </c>
      <c r="C135" s="15">
        <v>194667.76</v>
      </c>
      <c r="D135" s="15">
        <v>158329.5</v>
      </c>
      <c r="E135" s="15">
        <v>138326.24</v>
      </c>
      <c r="F135" s="15">
        <f>158191.28-90</f>
        <v>158101.28</v>
      </c>
      <c r="G135" s="15">
        <f>152562.4</f>
        <v>152562.4</v>
      </c>
      <c r="H135" s="15">
        <v>215313.91999999998</v>
      </c>
      <c r="I135" s="15">
        <f>140273.12-198.84</f>
        <v>140074.28</v>
      </c>
      <c r="J135" s="15">
        <v>164839.44</v>
      </c>
      <c r="K135" s="15">
        <v>159264.4</v>
      </c>
      <c r="L135" s="15">
        <f>SUM(C135:K135)</f>
        <v>1481479.22</v>
      </c>
    </row>
    <row r="136" spans="1:12" s="12" customFormat="1" ht="20.100000000000001" customHeight="1">
      <c r="A136" s="2" t="s">
        <v>29</v>
      </c>
      <c r="B136" s="4" t="s">
        <v>20</v>
      </c>
      <c r="C136" s="15">
        <v>25306.81</v>
      </c>
      <c r="D136" s="15">
        <v>20582.84</v>
      </c>
      <c r="E136" s="15">
        <v>18282.41</v>
      </c>
      <c r="F136" s="15">
        <v>20564.87</v>
      </c>
      <c r="G136" s="15">
        <v>19833.11</v>
      </c>
      <c r="H136" s="15">
        <v>27990.81</v>
      </c>
      <c r="I136" s="15">
        <v>18235.509999999998</v>
      </c>
      <c r="J136" s="15">
        <v>21429.13</v>
      </c>
      <c r="K136" s="15">
        <v>20704.37</v>
      </c>
      <c r="L136" s="15">
        <f>SUM(C136:K136)</f>
        <v>192929.86000000002</v>
      </c>
    </row>
    <row r="137" spans="1:12" s="6" customFormat="1" ht="21" customHeight="1">
      <c r="A137" s="2" t="s">
        <v>29</v>
      </c>
      <c r="B137" s="4" t="s">
        <v>21</v>
      </c>
      <c r="C137" s="15">
        <v>67631.05</v>
      </c>
      <c r="D137" s="15">
        <v>49203.95</v>
      </c>
      <c r="E137" s="15">
        <v>32039.690000000002</v>
      </c>
      <c r="F137" s="15">
        <v>32929.339999999997</v>
      </c>
      <c r="G137" s="15">
        <v>26712.55</v>
      </c>
      <c r="H137" s="15">
        <v>36067.35</v>
      </c>
      <c r="I137" s="15">
        <v>29749.75</v>
      </c>
      <c r="J137" s="15">
        <v>44408.35</v>
      </c>
      <c r="K137" s="15">
        <v>58914.15</v>
      </c>
      <c r="L137" s="15">
        <f>SUM(C137:K137)</f>
        <v>377656.18</v>
      </c>
    </row>
    <row r="138" spans="1:12" s="6" customFormat="1" ht="21" customHeight="1">
      <c r="A138" s="2" t="s">
        <v>29</v>
      </c>
      <c r="B138" s="4" t="s">
        <v>58</v>
      </c>
      <c r="C138" s="15">
        <v>3544.23</v>
      </c>
      <c r="D138" s="15">
        <v>419.32</v>
      </c>
      <c r="E138" s="15">
        <f>4290.49+7384.62</f>
        <v>11675.11</v>
      </c>
      <c r="F138" s="15">
        <v>5108.5</v>
      </c>
      <c r="G138" s="15">
        <f>4017+300</f>
        <v>4317</v>
      </c>
      <c r="H138" s="15">
        <v>2109.8599999999997</v>
      </c>
      <c r="I138" s="15">
        <v>1973.82</v>
      </c>
      <c r="J138" s="15">
        <v>5233.3</v>
      </c>
      <c r="K138" s="15">
        <v>1080.4000000000001</v>
      </c>
      <c r="L138" s="15">
        <f t="shared" ref="L138:L140" si="18">C138+D138+E138+F138+G138+H138+I138+J138+K138</f>
        <v>35461.54</v>
      </c>
    </row>
    <row r="139" spans="1:12" s="6" customFormat="1" ht="21" customHeight="1">
      <c r="A139" s="2" t="s">
        <v>29</v>
      </c>
      <c r="B139" s="4" t="s">
        <v>59</v>
      </c>
      <c r="C139" s="15">
        <v>0</v>
      </c>
      <c r="D139" s="15"/>
      <c r="E139" s="15"/>
      <c r="F139" s="15"/>
      <c r="G139" s="15"/>
      <c r="H139" s="15">
        <v>0</v>
      </c>
      <c r="I139" s="15"/>
      <c r="J139" s="15"/>
      <c r="K139" s="15"/>
      <c r="L139" s="15">
        <f t="shared" si="18"/>
        <v>0</v>
      </c>
    </row>
    <row r="140" spans="1:12" s="12" customFormat="1" ht="20.100000000000001" customHeight="1">
      <c r="A140" s="2" t="s">
        <v>29</v>
      </c>
      <c r="B140" s="4" t="s">
        <v>60</v>
      </c>
      <c r="C140" s="15">
        <v>21166.78</v>
      </c>
      <c r="D140" s="15"/>
      <c r="E140" s="15"/>
      <c r="F140" s="15"/>
      <c r="G140" s="15"/>
      <c r="H140" s="15">
        <v>27921.81</v>
      </c>
      <c r="I140" s="15"/>
      <c r="J140" s="15"/>
      <c r="K140" s="15">
        <v>300</v>
      </c>
      <c r="L140" s="15">
        <f t="shared" si="18"/>
        <v>49388.59</v>
      </c>
    </row>
    <row r="141" spans="1:12" s="12" customFormat="1" ht="20.100000000000001" customHeight="1">
      <c r="A141" s="2" t="s">
        <v>53</v>
      </c>
      <c r="B141" s="4" t="s">
        <v>19</v>
      </c>
      <c r="C141" s="15"/>
      <c r="D141" s="15"/>
      <c r="E141" s="15"/>
      <c r="F141" s="15"/>
      <c r="G141" s="15"/>
      <c r="H141" s="15"/>
      <c r="I141" s="15">
        <v>618827.09</v>
      </c>
      <c r="J141" s="15">
        <v>448136.27999999997</v>
      </c>
      <c r="K141" s="15">
        <v>472466.86</v>
      </c>
      <c r="L141" s="15">
        <f t="shared" ref="L141:L143" si="19">SUM(C141:K141)</f>
        <v>1539430.23</v>
      </c>
    </row>
    <row r="142" spans="1:12" s="12" customFormat="1" ht="20.100000000000001" customHeight="1">
      <c r="A142" s="2" t="s">
        <v>53</v>
      </c>
      <c r="B142" s="4" t="s">
        <v>20</v>
      </c>
      <c r="C142" s="15"/>
      <c r="D142" s="15"/>
      <c r="E142" s="15"/>
      <c r="F142" s="15"/>
      <c r="G142" s="15"/>
      <c r="H142" s="15"/>
      <c r="I142" s="15">
        <v>61882.77</v>
      </c>
      <c r="J142" s="15">
        <v>44813.64</v>
      </c>
      <c r="K142" s="15">
        <v>47246.69</v>
      </c>
      <c r="L142" s="15">
        <f t="shared" si="19"/>
        <v>153943.1</v>
      </c>
    </row>
    <row r="143" spans="1:12" s="6" customFormat="1" ht="21" customHeight="1">
      <c r="A143" s="2" t="s">
        <v>53</v>
      </c>
      <c r="B143" s="4" t="s">
        <v>21</v>
      </c>
      <c r="C143" s="15"/>
      <c r="D143" s="15"/>
      <c r="E143" s="15"/>
      <c r="F143" s="15"/>
      <c r="G143" s="15"/>
      <c r="H143" s="15"/>
      <c r="I143" s="15">
        <v>87439.32</v>
      </c>
      <c r="J143" s="15">
        <v>68103.28</v>
      </c>
      <c r="K143" s="16">
        <v>224598.54</v>
      </c>
      <c r="L143" s="15">
        <f t="shared" si="19"/>
        <v>380141.14</v>
      </c>
    </row>
    <row r="144" spans="1:12" s="6" customFormat="1" ht="21" customHeight="1">
      <c r="A144" s="2" t="s">
        <v>81</v>
      </c>
      <c r="B144" s="4" t="s">
        <v>58</v>
      </c>
      <c r="C144" s="15">
        <v>0</v>
      </c>
      <c r="D144" s="15"/>
      <c r="E144" s="15"/>
      <c r="F144" s="15"/>
      <c r="G144" s="15"/>
      <c r="H144" s="15">
        <v>2379.5300000000002</v>
      </c>
      <c r="I144" s="15">
        <v>3799.5</v>
      </c>
      <c r="J144" s="15">
        <v>547.70000000000005</v>
      </c>
      <c r="K144" s="15">
        <v>8361.6299999999992</v>
      </c>
      <c r="L144" s="15">
        <f t="shared" ref="L144:L146" si="20">C144+D144+E144+F144+G144+H144+I144+J144+K144</f>
        <v>15088.36</v>
      </c>
    </row>
    <row r="145" spans="1:12" s="6" customFormat="1" ht="21" customHeight="1">
      <c r="A145" s="2" t="s">
        <v>81</v>
      </c>
      <c r="B145" s="4" t="s">
        <v>59</v>
      </c>
      <c r="C145" s="15">
        <v>0</v>
      </c>
      <c r="D145" s="15"/>
      <c r="E145" s="15"/>
      <c r="F145" s="15"/>
      <c r="G145" s="15"/>
      <c r="H145" s="15">
        <v>0</v>
      </c>
      <c r="I145" s="15"/>
      <c r="J145" s="15"/>
      <c r="K145" s="15"/>
      <c r="L145" s="15">
        <f t="shared" si="20"/>
        <v>0</v>
      </c>
    </row>
    <row r="146" spans="1:12" s="12" customFormat="1" ht="20.100000000000001" customHeight="1">
      <c r="A146" s="2" t="s">
        <v>81</v>
      </c>
      <c r="B146" s="4" t="s">
        <v>60</v>
      </c>
      <c r="C146" s="15">
        <v>0</v>
      </c>
      <c r="D146" s="15"/>
      <c r="E146" s="15"/>
      <c r="F146" s="15"/>
      <c r="G146" s="15"/>
      <c r="H146" s="15">
        <v>0</v>
      </c>
      <c r="I146" s="15"/>
      <c r="J146" s="15">
        <v>493</v>
      </c>
      <c r="K146" s="15"/>
      <c r="L146" s="15">
        <f t="shared" si="20"/>
        <v>493</v>
      </c>
    </row>
    <row r="147" spans="1:12" s="12" customFormat="1" ht="20.100000000000001" customHeight="1">
      <c r="A147" s="2" t="s">
        <v>6</v>
      </c>
      <c r="B147" s="4" t="s">
        <v>88</v>
      </c>
      <c r="C147" s="15">
        <v>122620.54</v>
      </c>
      <c r="D147" s="15">
        <v>236968.16</v>
      </c>
      <c r="E147" s="15">
        <v>171411.5</v>
      </c>
      <c r="F147" s="15">
        <v>157630.01999999999</v>
      </c>
      <c r="G147" s="15">
        <v>170291.82</v>
      </c>
      <c r="H147" s="15">
        <v>169353.38</v>
      </c>
      <c r="I147" s="15">
        <v>191286.76</v>
      </c>
      <c r="J147" s="15">
        <f>214327.76-239.2-70</f>
        <v>214018.56</v>
      </c>
      <c r="K147" s="15">
        <v>215700.38</v>
      </c>
      <c r="L147" s="15">
        <f t="shared" si="0"/>
        <v>1649281.12</v>
      </c>
    </row>
    <row r="148" spans="1:12" s="12" customFormat="1" ht="20.100000000000001" customHeight="1">
      <c r="A148" s="2" t="s">
        <v>6</v>
      </c>
      <c r="B148" s="4" t="s">
        <v>89</v>
      </c>
      <c r="C148" s="15">
        <v>4904.82</v>
      </c>
      <c r="D148" s="15">
        <v>9478.73</v>
      </c>
      <c r="E148" s="15">
        <v>6856.46</v>
      </c>
      <c r="F148" s="15">
        <v>6305.2</v>
      </c>
      <c r="G148" s="15">
        <v>6811.67</v>
      </c>
      <c r="H148" s="15">
        <v>6774.14</v>
      </c>
      <c r="I148" s="15">
        <v>7651.47</v>
      </c>
      <c r="J148" s="15">
        <v>8573.11</v>
      </c>
      <c r="K148" s="15">
        <v>8628.02</v>
      </c>
      <c r="L148" s="15">
        <f t="shared" si="0"/>
        <v>65983.62</v>
      </c>
    </row>
    <row r="149" spans="1:12" ht="20.100000000000001" customHeight="1">
      <c r="A149" s="2" t="s">
        <v>6</v>
      </c>
      <c r="B149" s="4" t="s">
        <v>90</v>
      </c>
      <c r="C149" s="15">
        <v>38683.199999999997</v>
      </c>
      <c r="D149" s="15">
        <v>47990.32</v>
      </c>
      <c r="E149" s="15">
        <v>30234.43</v>
      </c>
      <c r="F149" s="15">
        <v>31044.15</v>
      </c>
      <c r="G149" s="15">
        <v>20546.25</v>
      </c>
      <c r="H149" s="15">
        <v>27586.32</v>
      </c>
      <c r="I149" s="15">
        <v>27363.83</v>
      </c>
      <c r="J149" s="15">
        <v>37802.82</v>
      </c>
      <c r="K149" s="15">
        <v>43501.38</v>
      </c>
      <c r="L149" s="15">
        <f t="shared" si="0"/>
        <v>304752.7</v>
      </c>
    </row>
    <row r="150" spans="1:12" ht="20.100000000000001" customHeight="1">
      <c r="A150" s="2" t="s">
        <v>6</v>
      </c>
      <c r="B150" s="4" t="s">
        <v>85</v>
      </c>
      <c r="C150" s="15">
        <v>572</v>
      </c>
      <c r="D150" s="15">
        <v>2198.4</v>
      </c>
      <c r="E150" s="15">
        <v>1837.43</v>
      </c>
      <c r="F150" s="15">
        <v>677.01</v>
      </c>
      <c r="G150" s="15">
        <v>1502.54</v>
      </c>
      <c r="H150" s="15">
        <v>949.04</v>
      </c>
      <c r="I150" s="15">
        <v>1463.02</v>
      </c>
      <c r="J150" s="15">
        <v>1134.71</v>
      </c>
      <c r="K150" s="15">
        <v>1834.94</v>
      </c>
      <c r="L150" s="15">
        <f t="shared" ref="L150:L152" si="21">C150+D150+E150+F150+G150+H150+I150+J150+K150</f>
        <v>12169.090000000002</v>
      </c>
    </row>
    <row r="151" spans="1:12" ht="20.100000000000001" customHeight="1">
      <c r="A151" s="2" t="s">
        <v>6</v>
      </c>
      <c r="B151" s="4" t="s">
        <v>86</v>
      </c>
      <c r="C151" s="15">
        <v>0</v>
      </c>
      <c r="D151" s="15"/>
      <c r="E151" s="15"/>
      <c r="F151" s="15"/>
      <c r="G151" s="15"/>
      <c r="H151" s="15">
        <v>0</v>
      </c>
      <c r="I151" s="15"/>
      <c r="J151" s="15"/>
      <c r="K151" s="15"/>
      <c r="L151" s="15">
        <f t="shared" si="21"/>
        <v>0</v>
      </c>
    </row>
    <row r="152" spans="1:12" s="12" customFormat="1" ht="20.100000000000001" customHeight="1">
      <c r="A152" s="2" t="s">
        <v>6</v>
      </c>
      <c r="B152" s="4" t="s">
        <v>87</v>
      </c>
      <c r="C152" s="15">
        <v>0</v>
      </c>
      <c r="D152" s="15"/>
      <c r="E152" s="15"/>
      <c r="F152" s="15"/>
      <c r="G152" s="15"/>
      <c r="H152" s="15">
        <v>0</v>
      </c>
      <c r="I152" s="15"/>
      <c r="J152" s="15"/>
      <c r="K152" s="15"/>
      <c r="L152" s="15">
        <f t="shared" si="21"/>
        <v>0</v>
      </c>
    </row>
    <row r="153" spans="1:12" s="12" customFormat="1" ht="20.100000000000001" customHeight="1">
      <c r="A153" s="2" t="s">
        <v>7</v>
      </c>
      <c r="B153" s="4" t="s">
        <v>88</v>
      </c>
      <c r="C153" s="15">
        <v>99653.48</v>
      </c>
      <c r="D153" s="15">
        <v>83665.899999999994</v>
      </c>
      <c r="E153" s="15">
        <v>72557.350000000006</v>
      </c>
      <c r="F153" s="15">
        <v>81167.25</v>
      </c>
      <c r="G153" s="15">
        <f>46363.02-3416.78</f>
        <v>42946.239999999998</v>
      </c>
      <c r="H153" s="15">
        <v>82149.94</v>
      </c>
      <c r="I153" s="15">
        <f>88809.7-2600.71</f>
        <v>86208.989999999991</v>
      </c>
      <c r="J153" s="15">
        <v>109515.5</v>
      </c>
      <c r="K153" s="15">
        <v>104292.18</v>
      </c>
      <c r="L153" s="15">
        <f t="shared" si="0"/>
        <v>762156.82999999984</v>
      </c>
    </row>
    <row r="154" spans="1:12" s="12" customFormat="1" ht="20.100000000000001" customHeight="1">
      <c r="A154" s="2" t="s">
        <v>7</v>
      </c>
      <c r="B154" s="4" t="s">
        <v>89</v>
      </c>
      <c r="C154" s="15">
        <v>3986.14</v>
      </c>
      <c r="D154" s="15">
        <v>3346.64</v>
      </c>
      <c r="E154" s="15">
        <v>2902.29</v>
      </c>
      <c r="F154" s="15">
        <v>3246.69</v>
      </c>
      <c r="G154" s="15">
        <v>1717.84</v>
      </c>
      <c r="H154" s="15">
        <v>3286</v>
      </c>
      <c r="I154" s="15">
        <v>3552.39</v>
      </c>
      <c r="J154" s="15">
        <v>4380.62</v>
      </c>
      <c r="K154" s="15">
        <v>4171.6899999999996</v>
      </c>
      <c r="L154" s="15">
        <f t="shared" si="0"/>
        <v>30590.299999999996</v>
      </c>
    </row>
    <row r="155" spans="1:12" ht="20.100000000000001" customHeight="1">
      <c r="A155" s="2" t="s">
        <v>7</v>
      </c>
      <c r="B155" s="4" t="s">
        <v>90</v>
      </c>
      <c r="C155" s="15">
        <v>30543.45</v>
      </c>
      <c r="D155" s="15">
        <v>28890.63</v>
      </c>
      <c r="E155" s="15">
        <v>19581.919999999998</v>
      </c>
      <c r="F155" s="15">
        <v>15322.1</v>
      </c>
      <c r="G155" s="15">
        <v>12094.28</v>
      </c>
      <c r="H155" s="15">
        <v>4663.76</v>
      </c>
      <c r="I155" s="15">
        <v>16379.37</v>
      </c>
      <c r="J155" s="15">
        <v>21836.48</v>
      </c>
      <c r="K155" s="15">
        <v>37472.949999999997</v>
      </c>
      <c r="L155" s="15">
        <f t="shared" si="0"/>
        <v>186784.94</v>
      </c>
    </row>
    <row r="156" spans="1:12" ht="20.100000000000001" customHeight="1">
      <c r="A156" s="2" t="s">
        <v>7</v>
      </c>
      <c r="B156" s="4" t="s">
        <v>85</v>
      </c>
      <c r="C156" s="15">
        <v>0</v>
      </c>
      <c r="D156" s="15">
        <v>1155.77</v>
      </c>
      <c r="E156" s="15">
        <v>2066</v>
      </c>
      <c r="F156" s="15"/>
      <c r="G156" s="15">
        <v>18.62</v>
      </c>
      <c r="H156" s="15">
        <v>948.61</v>
      </c>
      <c r="I156" s="15"/>
      <c r="J156" s="15">
        <v>7798.22</v>
      </c>
      <c r="K156" s="15">
        <v>620</v>
      </c>
      <c r="L156" s="15">
        <f t="shared" ref="L156:L158" si="22">C156+D156+E156+F156+G156+H156+I156+J156+K156</f>
        <v>12607.220000000001</v>
      </c>
    </row>
    <row r="157" spans="1:12" ht="20.100000000000001" customHeight="1">
      <c r="A157" s="2" t="s">
        <v>7</v>
      </c>
      <c r="B157" s="4" t="s">
        <v>86</v>
      </c>
      <c r="C157" s="15">
        <v>0</v>
      </c>
      <c r="D157" s="15"/>
      <c r="E157" s="15"/>
      <c r="F157" s="15">
        <v>3418.81</v>
      </c>
      <c r="G157" s="15"/>
      <c r="H157" s="15">
        <v>0</v>
      </c>
      <c r="I157" s="15"/>
      <c r="J157" s="15"/>
      <c r="K157" s="15"/>
      <c r="L157" s="15">
        <f t="shared" si="22"/>
        <v>3418.81</v>
      </c>
    </row>
    <row r="158" spans="1:12" s="12" customFormat="1" ht="20.100000000000001" customHeight="1">
      <c r="A158" s="2" t="s">
        <v>7</v>
      </c>
      <c r="B158" s="4" t="s">
        <v>60</v>
      </c>
      <c r="C158" s="15">
        <v>0</v>
      </c>
      <c r="D158" s="15"/>
      <c r="E158" s="15"/>
      <c r="F158" s="15"/>
      <c r="G158" s="15"/>
      <c r="H158" s="15">
        <v>0</v>
      </c>
      <c r="I158" s="15"/>
      <c r="J158" s="15"/>
      <c r="K158" s="15"/>
      <c r="L158" s="15">
        <f t="shared" si="22"/>
        <v>0</v>
      </c>
    </row>
    <row r="159" spans="1:12" s="12" customFormat="1" ht="20.100000000000001" customHeight="1">
      <c r="A159" s="2" t="s">
        <v>8</v>
      </c>
      <c r="B159" s="4" t="s">
        <v>19</v>
      </c>
      <c r="C159" s="15">
        <v>0</v>
      </c>
      <c r="D159" s="15">
        <v>30150</v>
      </c>
      <c r="E159" s="15">
        <v>0</v>
      </c>
      <c r="F159" s="15">
        <v>0</v>
      </c>
      <c r="G159" s="15">
        <v>3317</v>
      </c>
      <c r="H159" s="15">
        <v>80817</v>
      </c>
      <c r="I159" s="15">
        <v>0</v>
      </c>
      <c r="J159" s="15">
        <v>12987</v>
      </c>
      <c r="K159" s="16">
        <v>5000</v>
      </c>
      <c r="L159" s="15">
        <f t="shared" si="0"/>
        <v>132271</v>
      </c>
    </row>
    <row r="160" spans="1:12" s="12" customFormat="1" ht="20.100000000000001" customHeight="1">
      <c r="A160" s="2" t="s">
        <v>8</v>
      </c>
      <c r="B160" s="4" t="s">
        <v>20</v>
      </c>
      <c r="C160" s="15">
        <v>0</v>
      </c>
      <c r="D160" s="15">
        <v>1206</v>
      </c>
      <c r="E160" s="15">
        <v>0</v>
      </c>
      <c r="F160" s="15">
        <v>0</v>
      </c>
      <c r="G160" s="15">
        <v>558</v>
      </c>
      <c r="H160" s="15">
        <v>3232</v>
      </c>
      <c r="I160" s="15">
        <v>0</v>
      </c>
      <c r="J160" s="15">
        <v>519.46</v>
      </c>
      <c r="K160" s="16">
        <f>K159*0.04</f>
        <v>200</v>
      </c>
      <c r="L160" s="15">
        <f t="shared" si="0"/>
        <v>5715.46</v>
      </c>
    </row>
    <row r="161" spans="1:12" ht="20.100000000000001" customHeight="1">
      <c r="A161" s="2" t="s">
        <v>8</v>
      </c>
      <c r="B161" s="4" t="s">
        <v>90</v>
      </c>
      <c r="C161" s="15">
        <v>0</v>
      </c>
      <c r="D161" s="15">
        <v>14417.4</v>
      </c>
      <c r="E161" s="15">
        <v>0</v>
      </c>
      <c r="F161" s="15">
        <v>0</v>
      </c>
      <c r="G161" s="15">
        <v>7185.4</v>
      </c>
      <c r="H161" s="15">
        <v>3144.2</v>
      </c>
      <c r="I161" s="15">
        <v>0</v>
      </c>
      <c r="J161" s="15">
        <v>5223.84</v>
      </c>
      <c r="K161" s="16">
        <v>4369.4699999999993</v>
      </c>
      <c r="L161" s="15">
        <f>SUM(C161:K161)</f>
        <v>34340.31</v>
      </c>
    </row>
    <row r="162" spans="1:12" ht="20.100000000000001" customHeight="1">
      <c r="A162" s="2" t="s">
        <v>8</v>
      </c>
      <c r="B162" s="4" t="s">
        <v>58</v>
      </c>
      <c r="C162" s="15">
        <v>613.17999999999995</v>
      </c>
      <c r="D162" s="15"/>
      <c r="E162" s="15">
        <v>3661.28</v>
      </c>
      <c r="F162" s="15"/>
      <c r="G162" s="15"/>
      <c r="H162" s="15">
        <v>153</v>
      </c>
      <c r="I162" s="15"/>
      <c r="J162" s="15"/>
      <c r="K162" s="15">
        <v>360</v>
      </c>
      <c r="L162" s="15">
        <f t="shared" ref="L162:L164" si="23">C162+D162+E162+F162+G162+H162+I162+J162+K162</f>
        <v>4787.46</v>
      </c>
    </row>
    <row r="163" spans="1:12" ht="20.100000000000001" customHeight="1">
      <c r="A163" s="2" t="s">
        <v>8</v>
      </c>
      <c r="B163" s="4" t="s">
        <v>59</v>
      </c>
      <c r="C163" s="15">
        <v>0</v>
      </c>
      <c r="D163" s="15"/>
      <c r="E163" s="15"/>
      <c r="F163" s="15"/>
      <c r="G163" s="15"/>
      <c r="H163" s="15">
        <v>0</v>
      </c>
      <c r="I163" s="15"/>
      <c r="J163" s="15">
        <v>8675.94</v>
      </c>
      <c r="K163" s="15"/>
      <c r="L163" s="15">
        <f t="shared" si="23"/>
        <v>8675.94</v>
      </c>
    </row>
    <row r="164" spans="1:12" s="12" customFormat="1" ht="20.100000000000001" customHeight="1">
      <c r="A164" s="2" t="s">
        <v>8</v>
      </c>
      <c r="B164" s="4" t="s">
        <v>60</v>
      </c>
      <c r="C164" s="15">
        <v>0</v>
      </c>
      <c r="D164" s="15"/>
      <c r="E164" s="15"/>
      <c r="F164" s="15"/>
      <c r="G164" s="15"/>
      <c r="H164" s="15">
        <v>0</v>
      </c>
      <c r="I164" s="15"/>
      <c r="J164" s="15"/>
      <c r="K164" s="15"/>
      <c r="L164" s="15">
        <f t="shared" si="23"/>
        <v>0</v>
      </c>
    </row>
    <row r="165" spans="1:12" s="12" customFormat="1" ht="20.100000000000001" customHeight="1">
      <c r="A165" s="13" t="s">
        <v>92</v>
      </c>
      <c r="B165" s="4" t="s">
        <v>19</v>
      </c>
      <c r="C165" s="15">
        <v>0</v>
      </c>
      <c r="D165" s="15">
        <v>23280</v>
      </c>
      <c r="E165" s="15">
        <v>0</v>
      </c>
      <c r="F165" s="15">
        <v>0</v>
      </c>
      <c r="G165" s="15">
        <v>27500</v>
      </c>
      <c r="H165" s="15">
        <v>19180</v>
      </c>
      <c r="I165" s="15">
        <v>0</v>
      </c>
      <c r="J165" s="15">
        <v>0</v>
      </c>
      <c r="K165" s="15">
        <v>35580</v>
      </c>
      <c r="L165" s="15">
        <f t="shared" si="0"/>
        <v>105540</v>
      </c>
    </row>
    <row r="166" spans="1:12" s="12" customFormat="1" ht="20.100000000000001" customHeight="1">
      <c r="A166" s="13" t="s">
        <v>92</v>
      </c>
      <c r="B166" s="4" t="s">
        <v>20</v>
      </c>
      <c r="C166" s="15">
        <v>0</v>
      </c>
      <c r="D166" s="15">
        <v>900</v>
      </c>
      <c r="E166" s="15">
        <v>0</v>
      </c>
      <c r="F166" s="15">
        <v>0</v>
      </c>
      <c r="G166" s="15">
        <v>1100</v>
      </c>
      <c r="H166" s="15">
        <v>600</v>
      </c>
      <c r="I166" s="15">
        <v>0</v>
      </c>
      <c r="J166" s="15">
        <v>0</v>
      </c>
      <c r="K166" s="15">
        <v>1000</v>
      </c>
      <c r="L166" s="15">
        <f t="shared" si="0"/>
        <v>3600</v>
      </c>
    </row>
    <row r="167" spans="1:12" ht="20.100000000000001" customHeight="1">
      <c r="A167" s="13" t="s">
        <v>92</v>
      </c>
      <c r="B167" s="4" t="s">
        <v>21</v>
      </c>
      <c r="C167" s="15">
        <v>0</v>
      </c>
      <c r="D167" s="15">
        <v>7851.2</v>
      </c>
      <c r="E167" s="15">
        <v>0</v>
      </c>
      <c r="F167" s="15">
        <v>0</v>
      </c>
      <c r="G167" s="15">
        <v>5493.6</v>
      </c>
      <c r="H167" s="15">
        <v>4141.6000000000004</v>
      </c>
      <c r="I167" s="15">
        <v>0</v>
      </c>
      <c r="J167" s="15">
        <v>0</v>
      </c>
      <c r="K167" s="15">
        <v>13297.6</v>
      </c>
      <c r="L167" s="15">
        <f t="shared" si="0"/>
        <v>30784</v>
      </c>
    </row>
    <row r="168" spans="1:12" ht="20.100000000000001" customHeight="1">
      <c r="A168" s="13" t="s">
        <v>92</v>
      </c>
      <c r="B168" s="4" t="s">
        <v>58</v>
      </c>
      <c r="C168" s="15">
        <v>58</v>
      </c>
      <c r="D168" s="15">
        <v>782.41</v>
      </c>
      <c r="E168" s="15"/>
      <c r="F168" s="15">
        <v>320</v>
      </c>
      <c r="G168" s="15"/>
      <c r="H168" s="15">
        <v>1475.34</v>
      </c>
      <c r="I168" s="15">
        <v>3625.72</v>
      </c>
      <c r="J168" s="15">
        <v>268.47000000000003</v>
      </c>
      <c r="K168" s="15">
        <v>25.82</v>
      </c>
      <c r="L168" s="15">
        <f t="shared" ref="L168:L170" si="24">C168+D168+E168+F168+G168+H168+I168+J168+K168</f>
        <v>6555.7599999999993</v>
      </c>
    </row>
    <row r="169" spans="1:12" ht="20.100000000000001" customHeight="1">
      <c r="A169" s="13" t="s">
        <v>92</v>
      </c>
      <c r="B169" s="4" t="s">
        <v>59</v>
      </c>
      <c r="C169" s="15">
        <v>0</v>
      </c>
      <c r="D169" s="15"/>
      <c r="E169" s="15"/>
      <c r="F169" s="15"/>
      <c r="G169" s="15"/>
      <c r="H169" s="15">
        <v>0</v>
      </c>
      <c r="I169" s="15"/>
      <c r="J169" s="15"/>
      <c r="K169" s="15"/>
      <c r="L169" s="15">
        <f t="shared" si="24"/>
        <v>0</v>
      </c>
    </row>
    <row r="170" spans="1:12" s="12" customFormat="1" ht="20.100000000000001" customHeight="1">
      <c r="A170" s="13" t="s">
        <v>92</v>
      </c>
      <c r="B170" s="4" t="s">
        <v>60</v>
      </c>
      <c r="C170" s="15">
        <v>0</v>
      </c>
      <c r="D170" s="15"/>
      <c r="E170" s="15"/>
      <c r="F170" s="15"/>
      <c r="G170" s="15"/>
      <c r="H170" s="15">
        <v>0</v>
      </c>
      <c r="I170" s="15"/>
      <c r="J170" s="15"/>
      <c r="K170" s="15"/>
      <c r="L170" s="15">
        <f t="shared" si="24"/>
        <v>0</v>
      </c>
    </row>
    <row r="171" spans="1:12" s="12" customFormat="1" ht="20.100000000000001" customHeight="1">
      <c r="A171" s="2" t="s">
        <v>15</v>
      </c>
      <c r="B171" s="4" t="s">
        <v>19</v>
      </c>
      <c r="C171" s="15">
        <v>113831.44</v>
      </c>
      <c r="D171" s="15">
        <f>141039.39</f>
        <v>141039.39000000001</v>
      </c>
      <c r="E171" s="15">
        <v>122522.17</v>
      </c>
      <c r="F171" s="15">
        <v>131480</v>
      </c>
      <c r="G171" s="15">
        <v>108994.73</v>
      </c>
      <c r="H171" s="15">
        <v>222841.66</v>
      </c>
      <c r="I171" s="15">
        <v>141316.88</v>
      </c>
      <c r="J171" s="15">
        <v>168393.53</v>
      </c>
      <c r="K171" s="15">
        <v>167735.15</v>
      </c>
      <c r="L171" s="15">
        <f>SUM(C171:K171)</f>
        <v>1318154.95</v>
      </c>
    </row>
    <row r="172" spans="1:12" s="12" customFormat="1" ht="20.100000000000001" customHeight="1">
      <c r="A172" s="2" t="s">
        <v>15</v>
      </c>
      <c r="B172" s="4" t="s">
        <v>20</v>
      </c>
      <c r="C172" s="15">
        <v>11506.19</v>
      </c>
      <c r="D172" s="15">
        <v>11862.68</v>
      </c>
      <c r="E172" s="15">
        <v>15078.34</v>
      </c>
      <c r="F172" s="15">
        <v>14968.81</v>
      </c>
      <c r="G172" s="15">
        <v>11891.83</v>
      </c>
      <c r="H172" s="15">
        <v>33426.25</v>
      </c>
      <c r="I172" s="15">
        <v>11181.61</v>
      </c>
      <c r="J172" s="16">
        <v>25259.03</v>
      </c>
      <c r="K172" s="16">
        <v>11928.17</v>
      </c>
      <c r="L172" s="15">
        <f>SUM(C172:K172)</f>
        <v>147102.91</v>
      </c>
    </row>
    <row r="173" spans="1:12" ht="20.100000000000001" customHeight="1">
      <c r="A173" s="2" t="s">
        <v>15</v>
      </c>
      <c r="B173" s="4" t="s">
        <v>21</v>
      </c>
      <c r="C173" s="15">
        <v>37123.5</v>
      </c>
      <c r="D173" s="15">
        <f>61954.89</f>
        <v>61954.89</v>
      </c>
      <c r="E173" s="15">
        <v>21999.93</v>
      </c>
      <c r="F173" s="15">
        <v>31687.91</v>
      </c>
      <c r="G173" s="15">
        <v>29715.89</v>
      </c>
      <c r="H173" s="15">
        <v>0</v>
      </c>
      <c r="I173" s="15">
        <v>66772.820000000007</v>
      </c>
      <c r="J173" s="16">
        <v>0</v>
      </c>
      <c r="K173" s="16">
        <v>88214.04</v>
      </c>
      <c r="L173" s="15">
        <f>SUM(C173:K173)</f>
        <v>337468.98</v>
      </c>
    </row>
    <row r="174" spans="1:12" ht="20.100000000000001" customHeight="1">
      <c r="A174" s="2" t="s">
        <v>15</v>
      </c>
      <c r="B174" s="4" t="s">
        <v>58</v>
      </c>
      <c r="C174" s="15">
        <v>86</v>
      </c>
      <c r="D174" s="15">
        <v>512.41</v>
      </c>
      <c r="E174" s="15">
        <v>774.06</v>
      </c>
      <c r="F174" s="15">
        <v>405.86</v>
      </c>
      <c r="G174" s="15">
        <v>938.89</v>
      </c>
      <c r="H174" s="15">
        <v>2021.42</v>
      </c>
      <c r="I174" s="15">
        <v>511.31</v>
      </c>
      <c r="J174" s="15">
        <v>41.96</v>
      </c>
      <c r="K174" s="15">
        <v>167.87</v>
      </c>
      <c r="L174" s="15">
        <f t="shared" ref="L174:L176" si="25">C174+D174+E174+F174+G174+H174+I174+J174+K174</f>
        <v>5459.78</v>
      </c>
    </row>
    <row r="175" spans="1:12" ht="20.25" customHeight="1">
      <c r="A175" s="2" t="s">
        <v>15</v>
      </c>
      <c r="B175" s="4" t="s">
        <v>59</v>
      </c>
      <c r="C175" s="15">
        <v>0</v>
      </c>
      <c r="D175" s="15"/>
      <c r="E175" s="15"/>
      <c r="F175" s="15"/>
      <c r="G175" s="15"/>
      <c r="H175" s="15">
        <v>0</v>
      </c>
      <c r="I175" s="15"/>
      <c r="J175" s="15"/>
      <c r="K175" s="15"/>
      <c r="L175" s="15">
        <f t="shared" si="25"/>
        <v>0</v>
      </c>
    </row>
    <row r="176" spans="1:12" s="12" customFormat="1" ht="20.100000000000001" customHeight="1">
      <c r="A176" s="2" t="s">
        <v>15</v>
      </c>
      <c r="B176" s="4" t="s">
        <v>60</v>
      </c>
      <c r="C176" s="15">
        <v>0</v>
      </c>
      <c r="D176" s="15"/>
      <c r="E176" s="15"/>
      <c r="F176" s="15"/>
      <c r="G176" s="15"/>
      <c r="H176" s="15">
        <v>0</v>
      </c>
      <c r="I176" s="15"/>
      <c r="J176" s="15"/>
      <c r="K176" s="15"/>
      <c r="L176" s="15">
        <f t="shared" si="25"/>
        <v>0</v>
      </c>
    </row>
    <row r="177" spans="1:12" s="12" customFormat="1" ht="20.100000000000001" customHeight="1">
      <c r="A177" s="2" t="s">
        <v>17</v>
      </c>
      <c r="B177" s="4" t="s">
        <v>19</v>
      </c>
      <c r="C177" s="15">
        <v>99777.78</v>
      </c>
      <c r="D177" s="15">
        <v>143054.95000000001</v>
      </c>
      <c r="E177" s="15">
        <v>135734.68</v>
      </c>
      <c r="F177" s="15">
        <v>144857.43</v>
      </c>
      <c r="G177" s="15">
        <v>104520.8</v>
      </c>
      <c r="H177" s="15">
        <v>203831.31</v>
      </c>
      <c r="I177" s="15">
        <v>155926.98000000001</v>
      </c>
      <c r="J177" s="15">
        <v>184448.49</v>
      </c>
      <c r="K177" s="15">
        <v>174444.43</v>
      </c>
      <c r="L177" s="15">
        <f>SUM(C177:K177)</f>
        <v>1346596.8499999999</v>
      </c>
    </row>
    <row r="178" spans="1:12" s="12" customFormat="1" ht="20.100000000000001" customHeight="1">
      <c r="A178" s="2" t="s">
        <v>17</v>
      </c>
      <c r="B178" s="4" t="s">
        <v>20</v>
      </c>
      <c r="C178" s="15">
        <v>0</v>
      </c>
      <c r="D178" s="15">
        <v>15</v>
      </c>
      <c r="E178" s="15">
        <v>15</v>
      </c>
      <c r="F178" s="15">
        <v>15</v>
      </c>
      <c r="G178" s="15">
        <v>15</v>
      </c>
      <c r="H178" s="15">
        <v>15</v>
      </c>
      <c r="I178" s="15">
        <v>15</v>
      </c>
      <c r="J178" s="15">
        <v>15</v>
      </c>
      <c r="K178" s="15">
        <v>15</v>
      </c>
      <c r="L178" s="15">
        <f>SUM(C178:K178)</f>
        <v>120</v>
      </c>
    </row>
    <row r="179" spans="1:12" ht="20.100000000000001" customHeight="1">
      <c r="A179" s="2" t="s">
        <v>17</v>
      </c>
      <c r="B179" s="4" t="s">
        <v>21</v>
      </c>
      <c r="C179" s="15">
        <v>34917.040000000001</v>
      </c>
      <c r="D179" s="15">
        <v>43795.360000000001</v>
      </c>
      <c r="E179" s="15">
        <v>29219.8</v>
      </c>
      <c r="F179" s="15">
        <v>27181.72</v>
      </c>
      <c r="G179" s="15">
        <v>21897.200000000001</v>
      </c>
      <c r="H179" s="15">
        <v>27663.16</v>
      </c>
      <c r="I179" s="15">
        <v>31020.32</v>
      </c>
      <c r="J179" s="15">
        <v>49837.16</v>
      </c>
      <c r="K179" s="15">
        <v>56703.72</v>
      </c>
      <c r="L179" s="15">
        <f>SUM(C179:K179)</f>
        <v>322235.48</v>
      </c>
    </row>
    <row r="180" spans="1:12" ht="20.100000000000001" customHeight="1">
      <c r="A180" s="2" t="s">
        <v>17</v>
      </c>
      <c r="B180" s="4" t="s">
        <v>58</v>
      </c>
      <c r="C180" s="15">
        <v>0</v>
      </c>
      <c r="D180" s="15">
        <v>3130.32</v>
      </c>
      <c r="E180" s="15">
        <v>6094.86</v>
      </c>
      <c r="F180" s="15">
        <v>1854.05</v>
      </c>
      <c r="G180" s="15">
        <v>1682.14</v>
      </c>
      <c r="H180" s="15">
        <v>1488.28</v>
      </c>
      <c r="I180" s="15">
        <v>489.71</v>
      </c>
      <c r="J180" s="15">
        <v>765.21</v>
      </c>
      <c r="K180" s="15">
        <v>769.36</v>
      </c>
      <c r="L180" s="15">
        <f t="shared" ref="L180:L182" si="26">C180+D180+E180+F180+G180+H180+I180+J180+K180</f>
        <v>16273.93</v>
      </c>
    </row>
    <row r="181" spans="1:12" ht="20.100000000000001" customHeight="1">
      <c r="A181" s="2" t="s">
        <v>17</v>
      </c>
      <c r="B181" s="4" t="s">
        <v>59</v>
      </c>
      <c r="C181" s="15">
        <v>0</v>
      </c>
      <c r="D181" s="15"/>
      <c r="E181" s="15"/>
      <c r="F181" s="15"/>
      <c r="G181" s="15"/>
      <c r="H181" s="15">
        <v>0</v>
      </c>
      <c r="I181" s="15"/>
      <c r="J181" s="15"/>
      <c r="K181" s="15"/>
      <c r="L181" s="15">
        <f t="shared" si="26"/>
        <v>0</v>
      </c>
    </row>
    <row r="182" spans="1:12" s="12" customFormat="1" ht="20.100000000000001" customHeight="1">
      <c r="A182" s="2" t="s">
        <v>17</v>
      </c>
      <c r="B182" s="4" t="s">
        <v>60</v>
      </c>
      <c r="C182" s="15">
        <v>0</v>
      </c>
      <c r="D182" s="15"/>
      <c r="E182" s="15"/>
      <c r="F182" s="15"/>
      <c r="G182" s="15"/>
      <c r="H182" s="15">
        <v>0</v>
      </c>
      <c r="I182" s="15"/>
      <c r="J182" s="15"/>
      <c r="K182" s="15"/>
      <c r="L182" s="15">
        <f t="shared" si="26"/>
        <v>0</v>
      </c>
    </row>
    <row r="183" spans="1:12" s="12" customFormat="1" ht="20.100000000000001" customHeight="1">
      <c r="A183" s="2" t="s">
        <v>65</v>
      </c>
      <c r="B183" s="4" t="s">
        <v>19</v>
      </c>
      <c r="C183" s="15">
        <v>94530.57</v>
      </c>
      <c r="D183" s="15">
        <v>111140</v>
      </c>
      <c r="E183" s="15">
        <f>95080-340</f>
        <v>94740</v>
      </c>
      <c r="F183" s="15">
        <v>110675.3</v>
      </c>
      <c r="G183" s="15">
        <v>77239.5</v>
      </c>
      <c r="H183" s="15">
        <v>148375</v>
      </c>
      <c r="I183" s="15">
        <f>133460-61</f>
        <v>133399</v>
      </c>
      <c r="J183" s="15">
        <v>158200</v>
      </c>
      <c r="K183" s="15">
        <v>156620</v>
      </c>
      <c r="L183" s="15">
        <f>SUM(C183:K183)</f>
        <v>1084919.3700000001</v>
      </c>
    </row>
    <row r="184" spans="1:12" s="12" customFormat="1" ht="20.100000000000001" customHeight="1">
      <c r="A184" s="2" t="s">
        <v>65</v>
      </c>
      <c r="B184" s="4" t="s">
        <v>20</v>
      </c>
      <c r="C184" s="15">
        <v>4711.9399999999996</v>
      </c>
      <c r="D184" s="15">
        <v>11114</v>
      </c>
      <c r="E184" s="15">
        <v>4524.8</v>
      </c>
      <c r="F184" s="15">
        <v>8575.7199999999993</v>
      </c>
      <c r="G184" s="15">
        <v>5529.47</v>
      </c>
      <c r="H184" s="15">
        <v>14837.5</v>
      </c>
      <c r="I184" s="15">
        <v>5382.2</v>
      </c>
      <c r="J184" s="15">
        <v>0</v>
      </c>
      <c r="K184" s="15">
        <v>22908.799999999999</v>
      </c>
      <c r="L184" s="15">
        <f>SUM(C184:K184)</f>
        <v>77584.429999999993</v>
      </c>
    </row>
    <row r="185" spans="1:12" ht="20.100000000000001" customHeight="1">
      <c r="A185" s="2" t="s">
        <v>65</v>
      </c>
      <c r="B185" s="4" t="s">
        <v>21</v>
      </c>
      <c r="C185" s="15">
        <v>47410.420000000006</v>
      </c>
      <c r="D185" s="15">
        <v>0</v>
      </c>
      <c r="E185" s="15">
        <v>49832.02</v>
      </c>
      <c r="F185" s="15">
        <v>21947.24</v>
      </c>
      <c r="G185" s="15">
        <v>0</v>
      </c>
      <c r="H185" s="15">
        <v>0</v>
      </c>
      <c r="I185" s="15">
        <v>79638.52</v>
      </c>
      <c r="J185" s="15">
        <v>26804.050000000003</v>
      </c>
      <c r="K185" s="15">
        <v>85732.73000000001</v>
      </c>
      <c r="L185" s="15">
        <f>SUM(C185:K185)</f>
        <v>311364.98</v>
      </c>
    </row>
    <row r="186" spans="1:12" ht="20.100000000000001" customHeight="1">
      <c r="A186" s="2" t="s">
        <v>65</v>
      </c>
      <c r="B186" s="4" t="s">
        <v>58</v>
      </c>
      <c r="C186" s="15">
        <v>381.25</v>
      </c>
      <c r="D186" s="15">
        <v>1918.44</v>
      </c>
      <c r="E186" s="15">
        <v>1449.3</v>
      </c>
      <c r="F186" s="15">
        <v>1914.73</v>
      </c>
      <c r="G186" s="15">
        <v>17726.310000000001</v>
      </c>
      <c r="H186" s="15">
        <v>2865.28</v>
      </c>
      <c r="I186" s="15">
        <v>498.01</v>
      </c>
      <c r="J186" s="15">
        <v>3600.27</v>
      </c>
      <c r="K186" s="15">
        <v>1479.32</v>
      </c>
      <c r="L186" s="15">
        <f t="shared" ref="L186:L188" si="27">C186+D186+E186+F186+G186+H186+I186+J186+K186</f>
        <v>31832.909999999996</v>
      </c>
    </row>
    <row r="187" spans="1:12" ht="20.100000000000001" customHeight="1">
      <c r="A187" s="2" t="s">
        <v>65</v>
      </c>
      <c r="B187" s="4" t="s">
        <v>59</v>
      </c>
      <c r="C187" s="15">
        <v>0</v>
      </c>
      <c r="D187" s="15"/>
      <c r="E187" s="15"/>
      <c r="F187" s="15"/>
      <c r="G187" s="15"/>
      <c r="H187" s="15">
        <v>0</v>
      </c>
      <c r="I187" s="15"/>
      <c r="J187" s="15"/>
      <c r="K187" s="15"/>
      <c r="L187" s="15">
        <f t="shared" si="27"/>
        <v>0</v>
      </c>
    </row>
    <row r="188" spans="1:12" s="12" customFormat="1" ht="20.100000000000001" customHeight="1">
      <c r="A188" s="2" t="s">
        <v>65</v>
      </c>
      <c r="B188" s="4" t="s">
        <v>60</v>
      </c>
      <c r="C188" s="15">
        <v>0</v>
      </c>
      <c r="D188" s="15"/>
      <c r="E188" s="15"/>
      <c r="F188" s="15"/>
      <c r="G188" s="15"/>
      <c r="H188" s="15">
        <v>0</v>
      </c>
      <c r="I188" s="15"/>
      <c r="J188" s="15"/>
      <c r="K188" s="15"/>
      <c r="L188" s="15">
        <f t="shared" si="27"/>
        <v>0</v>
      </c>
    </row>
    <row r="189" spans="1:12" s="12" customFormat="1" ht="20.100000000000001" customHeight="1">
      <c r="A189" s="2" t="s">
        <v>37</v>
      </c>
      <c r="B189" s="4" t="s">
        <v>19</v>
      </c>
      <c r="C189" s="15">
        <v>160381.88</v>
      </c>
      <c r="D189" s="15">
        <v>133469.07</v>
      </c>
      <c r="E189" s="15">
        <v>158857.10999999999</v>
      </c>
      <c r="F189" s="15">
        <f>124106.71-1837.5</f>
        <v>122269.21</v>
      </c>
      <c r="G189" s="15">
        <f>86887.05-250.65+5357</f>
        <v>91993.400000000009</v>
      </c>
      <c r="H189" s="15">
        <v>199889.08</v>
      </c>
      <c r="I189" s="15">
        <v>273870.48</v>
      </c>
      <c r="J189" s="15">
        <f>223299.37-1770</f>
        <v>221529.37</v>
      </c>
      <c r="K189" s="15">
        <v>217429.95</v>
      </c>
      <c r="L189" s="15">
        <f>SUM(C189:K189)</f>
        <v>1579689.55</v>
      </c>
    </row>
    <row r="190" spans="1:12" s="12" customFormat="1" ht="20.100000000000001" customHeight="1">
      <c r="A190" s="2" t="s">
        <v>37</v>
      </c>
      <c r="B190" s="4" t="s">
        <v>20</v>
      </c>
      <c r="C190" s="15">
        <v>4951.79</v>
      </c>
      <c r="D190" s="15">
        <v>3794.51</v>
      </c>
      <c r="E190" s="15">
        <v>5357.7</v>
      </c>
      <c r="F190" s="15">
        <v>4253.6000000000004</v>
      </c>
      <c r="G190" s="15">
        <v>2933.7</v>
      </c>
      <c r="H190" s="15">
        <v>7197.2</v>
      </c>
      <c r="I190" s="15">
        <v>7065.21</v>
      </c>
      <c r="J190" s="15">
        <v>7540.34</v>
      </c>
      <c r="K190" s="15">
        <v>6761.07</v>
      </c>
      <c r="L190" s="15">
        <f>SUM(C190:K190)</f>
        <v>49855.12</v>
      </c>
    </row>
    <row r="191" spans="1:12" ht="21.75" customHeight="1">
      <c r="A191" s="2" t="s">
        <v>37</v>
      </c>
      <c r="B191" s="4" t="s">
        <v>21</v>
      </c>
      <c r="C191" s="15">
        <v>36587.22</v>
      </c>
      <c r="D191" s="15">
        <v>38606.32</v>
      </c>
      <c r="E191" s="15">
        <v>24914.63</v>
      </c>
      <c r="F191" s="15">
        <v>17767.599999999999</v>
      </c>
      <c r="G191" s="15">
        <v>13544.41</v>
      </c>
      <c r="H191" s="15">
        <v>19959.439999999999</v>
      </c>
      <c r="I191" s="15">
        <v>21700.15</v>
      </c>
      <c r="J191" s="15">
        <v>34790.94</v>
      </c>
      <c r="K191" s="15">
        <v>48403.08</v>
      </c>
      <c r="L191" s="15">
        <f>SUM(C191:K191)</f>
        <v>256273.79000000004</v>
      </c>
    </row>
    <row r="192" spans="1:12" ht="21.75" customHeight="1">
      <c r="A192" s="2" t="s">
        <v>37</v>
      </c>
      <c r="B192" s="4" t="s">
        <v>58</v>
      </c>
      <c r="C192" s="15">
        <v>553</v>
      </c>
      <c r="D192" s="15">
        <v>160.83000000000001</v>
      </c>
      <c r="E192" s="15">
        <v>793.89</v>
      </c>
      <c r="F192" s="15">
        <v>690.67</v>
      </c>
      <c r="G192" s="15">
        <v>2303.7800000000002</v>
      </c>
      <c r="H192" s="15">
        <v>2530.09</v>
      </c>
      <c r="I192" s="15">
        <v>735.9</v>
      </c>
      <c r="J192" s="15">
        <v>453.77</v>
      </c>
      <c r="K192" s="15">
        <v>5088.8599999999997</v>
      </c>
      <c r="L192" s="15">
        <f t="shared" ref="L192:L194" si="28">C192+D192+E192+F192+G192+H192+I192+J192+K192</f>
        <v>13310.79</v>
      </c>
    </row>
    <row r="193" spans="1:12" ht="21.75" customHeight="1">
      <c r="A193" s="2" t="s">
        <v>37</v>
      </c>
      <c r="B193" s="4" t="s">
        <v>59</v>
      </c>
      <c r="C193" s="15">
        <v>0</v>
      </c>
      <c r="D193" s="15"/>
      <c r="E193" s="15"/>
      <c r="F193" s="15"/>
      <c r="G193" s="15"/>
      <c r="H193" s="15">
        <v>0</v>
      </c>
      <c r="I193" s="15"/>
      <c r="J193" s="15"/>
      <c r="K193" s="15"/>
      <c r="L193" s="15">
        <f t="shared" si="28"/>
        <v>0</v>
      </c>
    </row>
    <row r="194" spans="1:12" s="12" customFormat="1" ht="20.100000000000001" customHeight="1">
      <c r="A194" s="2" t="s">
        <v>37</v>
      </c>
      <c r="B194" s="4" t="s">
        <v>60</v>
      </c>
      <c r="C194" s="15">
        <v>0</v>
      </c>
      <c r="D194" s="15"/>
      <c r="E194" s="15"/>
      <c r="F194" s="15"/>
      <c r="G194" s="15"/>
      <c r="H194" s="15">
        <v>0</v>
      </c>
      <c r="I194" s="15"/>
      <c r="J194" s="15"/>
      <c r="K194" s="15"/>
      <c r="L194" s="15">
        <f t="shared" si="28"/>
        <v>0</v>
      </c>
    </row>
    <row r="195" spans="1:12" s="12" customFormat="1" ht="20.100000000000001" customHeight="1">
      <c r="A195" s="2" t="s">
        <v>40</v>
      </c>
      <c r="B195" s="4" t="s">
        <v>19</v>
      </c>
      <c r="C195" s="15">
        <v>109785.73</v>
      </c>
      <c r="D195" s="15">
        <f>79829.4-40</f>
        <v>79789.399999999994</v>
      </c>
      <c r="E195" s="15">
        <v>58098.21</v>
      </c>
      <c r="F195" s="15">
        <v>76089.03</v>
      </c>
      <c r="G195" s="15">
        <v>44351.12</v>
      </c>
      <c r="H195" s="15">
        <v>136429.99</v>
      </c>
      <c r="I195" s="15">
        <v>70480.31</v>
      </c>
      <c r="J195" s="15">
        <v>63632.61</v>
      </c>
      <c r="K195" s="15">
        <v>85569.16</v>
      </c>
      <c r="L195" s="15">
        <f>SUM(C195:K195)</f>
        <v>724225.56</v>
      </c>
    </row>
    <row r="196" spans="1:12" s="12" customFormat="1" ht="20.100000000000001" customHeight="1">
      <c r="A196" s="2" t="s">
        <v>40</v>
      </c>
      <c r="B196" s="4" t="s">
        <v>20</v>
      </c>
      <c r="C196" s="15">
        <v>5398.41</v>
      </c>
      <c r="D196" s="15">
        <v>4789.76</v>
      </c>
      <c r="E196" s="15">
        <v>1506.03</v>
      </c>
      <c r="F196" s="15">
        <v>4565.34</v>
      </c>
      <c r="G196" s="15">
        <v>2661.07</v>
      </c>
      <c r="H196" s="15">
        <v>6620.23</v>
      </c>
      <c r="I196" s="15">
        <v>4228.82</v>
      </c>
      <c r="J196" s="15">
        <v>3817.96</v>
      </c>
      <c r="K196" s="15">
        <v>5134.1499999999996</v>
      </c>
      <c r="L196" s="15">
        <f>SUM(C196:K196)</f>
        <v>38721.770000000004</v>
      </c>
    </row>
    <row r="197" spans="1:12" ht="20.100000000000001" customHeight="1">
      <c r="A197" s="2" t="s">
        <v>40</v>
      </c>
      <c r="B197" s="4" t="s">
        <v>21</v>
      </c>
      <c r="C197" s="15">
        <v>18812.3</v>
      </c>
      <c r="D197" s="15">
        <v>0</v>
      </c>
      <c r="E197" s="15">
        <v>32997.75</v>
      </c>
      <c r="F197" s="15">
        <v>0</v>
      </c>
      <c r="G197" s="15">
        <v>0</v>
      </c>
      <c r="H197" s="15">
        <v>26092.89</v>
      </c>
      <c r="I197" s="15">
        <v>0</v>
      </c>
      <c r="J197" s="15">
        <v>0</v>
      </c>
      <c r="K197" s="15">
        <v>46040.68</v>
      </c>
      <c r="L197" s="15">
        <f>SUM(C197:K197)</f>
        <v>123943.62</v>
      </c>
    </row>
    <row r="198" spans="1:12" ht="20.100000000000001" customHeight="1">
      <c r="A198" s="2" t="s">
        <v>64</v>
      </c>
      <c r="B198" s="4" t="s">
        <v>58</v>
      </c>
      <c r="C198" s="15">
        <v>54</v>
      </c>
      <c r="D198" s="15">
        <v>486.67</v>
      </c>
      <c r="E198" s="15"/>
      <c r="F198" s="15"/>
      <c r="G198" s="15"/>
      <c r="H198" s="15">
        <v>360</v>
      </c>
      <c r="I198" s="15"/>
      <c r="J198" s="15">
        <v>665</v>
      </c>
      <c r="K198" s="15">
        <v>427.43</v>
      </c>
      <c r="L198" s="15">
        <f t="shared" ref="L198:L200" si="29">C198+D198+E198+F198+G198+H198+I198+J198+K198</f>
        <v>1993.1000000000001</v>
      </c>
    </row>
    <row r="199" spans="1:12" ht="20.100000000000001" customHeight="1">
      <c r="A199" s="2" t="s">
        <v>64</v>
      </c>
      <c r="B199" s="4" t="s">
        <v>59</v>
      </c>
      <c r="C199" s="15">
        <v>0</v>
      </c>
      <c r="D199" s="15"/>
      <c r="E199" s="15"/>
      <c r="F199" s="15"/>
      <c r="G199" s="15"/>
      <c r="H199" s="15">
        <v>0</v>
      </c>
      <c r="I199" s="15"/>
      <c r="J199" s="15"/>
      <c r="K199" s="15"/>
      <c r="L199" s="15">
        <f t="shared" si="29"/>
        <v>0</v>
      </c>
    </row>
    <row r="200" spans="1:12" s="12" customFormat="1" ht="20.100000000000001" customHeight="1">
      <c r="A200" s="2" t="s">
        <v>64</v>
      </c>
      <c r="B200" s="4" t="s">
        <v>60</v>
      </c>
      <c r="C200" s="15">
        <v>0</v>
      </c>
      <c r="D200" s="15"/>
      <c r="E200" s="15"/>
      <c r="F200" s="15"/>
      <c r="G200" s="15"/>
      <c r="H200" s="15">
        <v>0</v>
      </c>
      <c r="I200" s="15"/>
      <c r="J200" s="15"/>
      <c r="K200" s="15"/>
      <c r="L200" s="15">
        <f t="shared" si="29"/>
        <v>0</v>
      </c>
    </row>
    <row r="201" spans="1:12" s="12" customFormat="1" ht="20.100000000000001" customHeight="1">
      <c r="A201" s="2" t="s">
        <v>48</v>
      </c>
      <c r="B201" s="4" t="s">
        <v>19</v>
      </c>
      <c r="C201" s="15">
        <f>344475.46-340.65</f>
        <v>344134.81</v>
      </c>
      <c r="D201" s="15">
        <v>113430.03</v>
      </c>
      <c r="E201" s="15">
        <v>972338.66</v>
      </c>
      <c r="F201" s="15">
        <f>516817.58-150</f>
        <v>516667.58</v>
      </c>
      <c r="G201" s="15">
        <f>81830.02+406177.03</f>
        <v>488007.05000000005</v>
      </c>
      <c r="H201" s="15">
        <f>936775.22-323</f>
        <v>936452.22</v>
      </c>
      <c r="I201" s="15">
        <f>526756.1-138</f>
        <v>526618.1</v>
      </c>
      <c r="J201" s="15">
        <v>571447.5</v>
      </c>
      <c r="K201" s="15">
        <v>499223.93</v>
      </c>
      <c r="L201" s="15">
        <f>SUM(C201:K201)</f>
        <v>4968319.879999999</v>
      </c>
    </row>
    <row r="202" spans="1:12" s="12" customFormat="1" ht="20.100000000000001" customHeight="1">
      <c r="A202" s="2" t="s">
        <v>48</v>
      </c>
      <c r="B202" s="4" t="s">
        <v>20</v>
      </c>
      <c r="C202" s="15">
        <v>11780</v>
      </c>
      <c r="D202" s="15">
        <v>0</v>
      </c>
      <c r="E202" s="15">
        <f>27570+15</f>
        <v>27585</v>
      </c>
      <c r="F202" s="15">
        <v>14850</v>
      </c>
      <c r="G202" s="15">
        <v>14245</v>
      </c>
      <c r="H202" s="15">
        <v>0</v>
      </c>
      <c r="I202" s="15">
        <v>0</v>
      </c>
      <c r="J202" s="15">
        <v>34015</v>
      </c>
      <c r="K202" s="16">
        <v>16877.5</v>
      </c>
      <c r="L202" s="15">
        <f>SUM(C202:K202)</f>
        <v>119352.5</v>
      </c>
    </row>
    <row r="203" spans="1:12" s="6" customFormat="1" ht="21" customHeight="1">
      <c r="A203" s="2" t="s">
        <v>48</v>
      </c>
      <c r="B203" s="4" t="s">
        <v>21</v>
      </c>
      <c r="C203" s="15">
        <v>64783.54</v>
      </c>
      <c r="D203" s="15">
        <v>0</v>
      </c>
      <c r="E203" s="15">
        <f>166446.46-60000</f>
        <v>106446.45999999999</v>
      </c>
      <c r="F203" s="15">
        <v>92496.61</v>
      </c>
      <c r="G203" s="15">
        <v>61603.199999999997</v>
      </c>
      <c r="H203" s="15">
        <v>0</v>
      </c>
      <c r="I203" s="15">
        <v>0</v>
      </c>
      <c r="J203" s="15">
        <v>244285.32</v>
      </c>
      <c r="K203" s="16">
        <v>100000</v>
      </c>
      <c r="L203" s="15">
        <f>SUM(C203:K203)</f>
        <v>669615.13</v>
      </c>
    </row>
    <row r="204" spans="1:12" s="6" customFormat="1" ht="21" customHeight="1">
      <c r="A204" s="2" t="s">
        <v>75</v>
      </c>
      <c r="B204" s="4" t="s">
        <v>58</v>
      </c>
      <c r="C204" s="15">
        <v>15812.26</v>
      </c>
      <c r="D204" s="15">
        <v>24419.23</v>
      </c>
      <c r="E204" s="15">
        <v>7193.84</v>
      </c>
      <c r="F204" s="15">
        <v>28040.62</v>
      </c>
      <c r="G204" s="15">
        <v>7259.84</v>
      </c>
      <c r="H204" s="15">
        <v>32596.57</v>
      </c>
      <c r="I204" s="15">
        <v>2072.2600000000002</v>
      </c>
      <c r="J204" s="15">
        <v>11358.59</v>
      </c>
      <c r="K204" s="15">
        <v>9757.92</v>
      </c>
      <c r="L204" s="15">
        <f t="shared" ref="L204:L206" si="30">C204+D204+E204+F204+G204+H204+I204+J204+K204</f>
        <v>138511.12999999998</v>
      </c>
    </row>
    <row r="205" spans="1:12" s="6" customFormat="1" ht="21" customHeight="1">
      <c r="A205" s="2" t="s">
        <v>75</v>
      </c>
      <c r="B205" s="4" t="s">
        <v>59</v>
      </c>
      <c r="C205" s="15">
        <v>146142.04</v>
      </c>
      <c r="D205" s="15">
        <v>67961.17</v>
      </c>
      <c r="E205" s="15"/>
      <c r="F205" s="15"/>
      <c r="G205" s="15"/>
      <c r="H205" s="15">
        <v>0</v>
      </c>
      <c r="I205" s="15"/>
      <c r="J205" s="15"/>
      <c r="K205" s="15"/>
      <c r="L205" s="15">
        <f t="shared" si="30"/>
        <v>214103.21000000002</v>
      </c>
    </row>
    <row r="206" spans="1:12" s="12" customFormat="1" ht="20.100000000000001" customHeight="1">
      <c r="A206" s="2" t="s">
        <v>75</v>
      </c>
      <c r="B206" s="4" t="s">
        <v>60</v>
      </c>
      <c r="C206" s="15">
        <v>0</v>
      </c>
      <c r="D206" s="15"/>
      <c r="E206" s="15"/>
      <c r="F206" s="15"/>
      <c r="G206" s="15"/>
      <c r="H206" s="15">
        <v>50700</v>
      </c>
      <c r="I206" s="15"/>
      <c r="J206" s="15"/>
      <c r="K206" s="15"/>
      <c r="L206" s="15">
        <f t="shared" si="30"/>
        <v>50700</v>
      </c>
    </row>
    <row r="207" spans="1:12" s="12" customFormat="1" ht="20.100000000000001" customHeight="1">
      <c r="A207" s="2" t="s">
        <v>24</v>
      </c>
      <c r="B207" s="4" t="s">
        <v>19</v>
      </c>
      <c r="C207" s="15">
        <v>323460.70999999996</v>
      </c>
      <c r="D207" s="15">
        <v>392287.35</v>
      </c>
      <c r="E207" s="15">
        <v>361552.28</v>
      </c>
      <c r="F207" s="15">
        <v>419384.15</v>
      </c>
      <c r="G207" s="15">
        <v>0</v>
      </c>
      <c r="H207" s="15">
        <v>0</v>
      </c>
      <c r="I207" s="15">
        <v>1204205.3500000001</v>
      </c>
      <c r="J207" s="15">
        <v>0</v>
      </c>
      <c r="K207" s="15">
        <v>1038794.44</v>
      </c>
      <c r="L207" s="15">
        <f>SUM(C207:K207)</f>
        <v>3739684.28</v>
      </c>
    </row>
    <row r="208" spans="1:12" s="12" customFormat="1" ht="20.100000000000001" customHeight="1">
      <c r="A208" s="2" t="s">
        <v>24</v>
      </c>
      <c r="B208" s="4" t="s">
        <v>20</v>
      </c>
      <c r="C208" s="15">
        <v>19692.77</v>
      </c>
      <c r="D208" s="15">
        <v>28122.42</v>
      </c>
      <c r="E208" s="15">
        <v>26541.43</v>
      </c>
      <c r="F208" s="15">
        <v>34879.96</v>
      </c>
      <c r="G208" s="15">
        <v>0</v>
      </c>
      <c r="H208" s="15">
        <v>0</v>
      </c>
      <c r="I208" s="15">
        <v>101462.09</v>
      </c>
      <c r="J208" s="15">
        <v>0</v>
      </c>
      <c r="K208" s="15">
        <v>78620.259999999995</v>
      </c>
      <c r="L208" s="15">
        <f>SUM(C208:K208)</f>
        <v>289318.93</v>
      </c>
    </row>
    <row r="209" spans="1:12" s="6" customFormat="1" ht="20.100000000000001" customHeight="1">
      <c r="A209" s="2" t="s">
        <v>24</v>
      </c>
      <c r="B209" s="4" t="s">
        <v>21</v>
      </c>
      <c r="C209" s="15">
        <v>126532.97</v>
      </c>
      <c r="D209" s="15">
        <v>111063.14</v>
      </c>
      <c r="E209" s="15">
        <v>96138.02</v>
      </c>
      <c r="F209" s="15">
        <v>70584.53</v>
      </c>
      <c r="G209" s="15">
        <v>0</v>
      </c>
      <c r="H209" s="15">
        <v>0</v>
      </c>
      <c r="I209" s="15">
        <v>189584.45</v>
      </c>
      <c r="J209" s="15">
        <v>0</v>
      </c>
      <c r="K209" s="15">
        <v>252591.86</v>
      </c>
      <c r="L209" s="15">
        <f>SUM(C209:K209)</f>
        <v>846494.97000000009</v>
      </c>
    </row>
    <row r="210" spans="1:12" s="6" customFormat="1" ht="20.100000000000001" customHeight="1">
      <c r="A210" s="2" t="s">
        <v>24</v>
      </c>
      <c r="B210" s="4" t="s">
        <v>58</v>
      </c>
      <c r="C210" s="15">
        <v>21826.99</v>
      </c>
      <c r="D210" s="15">
        <v>2635</v>
      </c>
      <c r="E210" s="15">
        <v>2357.4</v>
      </c>
      <c r="F210" s="15">
        <v>3108.33</v>
      </c>
      <c r="G210" s="15">
        <v>752.52</v>
      </c>
      <c r="H210" s="15">
        <v>5110.9900000000007</v>
      </c>
      <c r="I210" s="15">
        <v>2044.66</v>
      </c>
      <c r="J210" s="15">
        <v>18711.45</v>
      </c>
      <c r="K210" s="15">
        <v>1830.18</v>
      </c>
      <c r="L210" s="15">
        <f t="shared" ref="L210:L212" si="31">C210+D210+E210+F210+G210+H210+I210+J210+K210</f>
        <v>58377.520000000011</v>
      </c>
    </row>
    <row r="211" spans="1:12" s="6" customFormat="1" ht="20.100000000000001" customHeight="1">
      <c r="A211" s="2" t="s">
        <v>24</v>
      </c>
      <c r="B211" s="4" t="s">
        <v>59</v>
      </c>
      <c r="C211" s="15">
        <v>0</v>
      </c>
      <c r="D211" s="15"/>
      <c r="E211" s="15"/>
      <c r="F211" s="15"/>
      <c r="G211" s="15"/>
      <c r="H211" s="15">
        <v>0</v>
      </c>
      <c r="I211" s="15"/>
      <c r="J211" s="15"/>
      <c r="K211" s="15"/>
      <c r="L211" s="15">
        <f t="shared" si="31"/>
        <v>0</v>
      </c>
    </row>
    <row r="212" spans="1:12" s="12" customFormat="1" ht="20.100000000000001" customHeight="1">
      <c r="A212" s="2" t="s">
        <v>24</v>
      </c>
      <c r="B212" s="4" t="s">
        <v>60</v>
      </c>
      <c r="C212" s="15">
        <v>0</v>
      </c>
      <c r="D212" s="15"/>
      <c r="E212" s="15"/>
      <c r="F212" s="15"/>
      <c r="G212" s="15"/>
      <c r="H212" s="15">
        <v>0</v>
      </c>
      <c r="I212" s="15"/>
      <c r="J212" s="15"/>
      <c r="K212" s="15"/>
      <c r="L212" s="15">
        <f t="shared" si="31"/>
        <v>0</v>
      </c>
    </row>
    <row r="213" spans="1:12" s="12" customFormat="1" ht="20.100000000000001" customHeight="1">
      <c r="A213" s="2" t="s">
        <v>55</v>
      </c>
      <c r="B213" s="4" t="s">
        <v>19</v>
      </c>
      <c r="C213" s="15"/>
      <c r="D213" s="15"/>
      <c r="E213" s="15"/>
      <c r="F213" s="15"/>
      <c r="G213" s="15"/>
      <c r="H213" s="15"/>
      <c r="I213" s="15">
        <v>209747.74</v>
      </c>
      <c r="J213" s="15">
        <v>164751.37</v>
      </c>
      <c r="K213" s="15">
        <v>160409.56</v>
      </c>
      <c r="L213" s="15">
        <f t="shared" ref="L213:L215" si="32">SUM(C213:K213)</f>
        <v>534908.66999999993</v>
      </c>
    </row>
    <row r="214" spans="1:12" s="12" customFormat="1" ht="20.100000000000001" customHeight="1">
      <c r="A214" s="2" t="s">
        <v>55</v>
      </c>
      <c r="B214" s="4" t="s">
        <v>20</v>
      </c>
      <c r="C214" s="15"/>
      <c r="D214" s="15"/>
      <c r="E214" s="15"/>
      <c r="F214" s="15"/>
      <c r="G214" s="15"/>
      <c r="H214" s="15"/>
      <c r="I214" s="15">
        <v>16779.82</v>
      </c>
      <c r="J214" s="15">
        <v>13180.11</v>
      </c>
      <c r="K214" s="15">
        <v>12832.76</v>
      </c>
      <c r="L214" s="15">
        <f t="shared" si="32"/>
        <v>42792.69</v>
      </c>
    </row>
    <row r="215" spans="1:12" s="6" customFormat="1" ht="21" customHeight="1">
      <c r="A215" s="2" t="s">
        <v>55</v>
      </c>
      <c r="B215" s="4" t="s">
        <v>21</v>
      </c>
      <c r="C215" s="15"/>
      <c r="D215" s="15"/>
      <c r="E215" s="15"/>
      <c r="F215" s="15"/>
      <c r="G215" s="15"/>
      <c r="H215" s="15"/>
      <c r="I215" s="15">
        <v>40838.04</v>
      </c>
      <c r="J215" s="15">
        <v>42225.25</v>
      </c>
      <c r="K215" s="15">
        <v>55184.76</v>
      </c>
      <c r="L215" s="15">
        <f t="shared" si="32"/>
        <v>138248.05000000002</v>
      </c>
    </row>
    <row r="216" spans="1:12" s="6" customFormat="1" ht="21" customHeight="1">
      <c r="A216" s="2" t="s">
        <v>80</v>
      </c>
      <c r="B216" s="4" t="s">
        <v>58</v>
      </c>
      <c r="C216" s="15">
        <v>0</v>
      </c>
      <c r="D216" s="15"/>
      <c r="E216" s="15"/>
      <c r="F216" s="15"/>
      <c r="G216" s="15"/>
      <c r="H216" s="15">
        <v>2911</v>
      </c>
      <c r="I216" s="15">
        <v>839</v>
      </c>
      <c r="J216" s="15"/>
      <c r="K216" s="15">
        <v>1196.99</v>
      </c>
      <c r="L216" s="15">
        <f t="shared" ref="L216:L218" si="33">C216+D216+E216+F216+G216+H216+I216+J216+K216</f>
        <v>4946.99</v>
      </c>
    </row>
    <row r="217" spans="1:12" s="6" customFormat="1" ht="21" customHeight="1">
      <c r="A217" s="2" t="s">
        <v>80</v>
      </c>
      <c r="B217" s="4" t="s">
        <v>59</v>
      </c>
      <c r="C217" s="15">
        <v>0</v>
      </c>
      <c r="D217" s="15"/>
      <c r="E217" s="15"/>
      <c r="F217" s="15"/>
      <c r="G217" s="15"/>
      <c r="H217" s="15">
        <v>0</v>
      </c>
      <c r="I217" s="15"/>
      <c r="J217" s="15"/>
      <c r="K217" s="15"/>
      <c r="L217" s="15">
        <f t="shared" si="33"/>
        <v>0</v>
      </c>
    </row>
    <row r="218" spans="1:12" s="12" customFormat="1" ht="20.100000000000001" customHeight="1">
      <c r="A218" s="2" t="s">
        <v>80</v>
      </c>
      <c r="B218" s="4" t="s">
        <v>60</v>
      </c>
      <c r="C218" s="15">
        <v>0</v>
      </c>
      <c r="D218" s="15"/>
      <c r="E218" s="15"/>
      <c r="F218" s="15"/>
      <c r="G218" s="15"/>
      <c r="H218" s="15">
        <v>0</v>
      </c>
      <c r="I218" s="15"/>
      <c r="J218" s="15"/>
      <c r="K218" s="15"/>
      <c r="L218" s="15">
        <f t="shared" si="33"/>
        <v>0</v>
      </c>
    </row>
    <row r="219" spans="1:12" s="12" customFormat="1" ht="20.100000000000001" customHeight="1">
      <c r="A219" s="2" t="s">
        <v>56</v>
      </c>
      <c r="B219" s="4" t="s">
        <v>19</v>
      </c>
      <c r="C219" s="15"/>
      <c r="D219" s="15"/>
      <c r="E219" s="15"/>
      <c r="F219" s="15"/>
      <c r="G219" s="15"/>
      <c r="H219" s="15"/>
      <c r="I219" s="15">
        <v>77238.960000000006</v>
      </c>
      <c r="J219" s="15">
        <v>57233.08</v>
      </c>
      <c r="K219" s="15">
        <v>45480.160000000003</v>
      </c>
      <c r="L219" s="15">
        <f t="shared" ref="L219:L221" si="34">SUM(C219:K219)</f>
        <v>179952.2</v>
      </c>
    </row>
    <row r="220" spans="1:12" s="12" customFormat="1" ht="20.100000000000001" customHeight="1">
      <c r="A220" s="2" t="s">
        <v>56</v>
      </c>
      <c r="B220" s="4" t="s">
        <v>20</v>
      </c>
      <c r="C220" s="15"/>
      <c r="D220" s="15"/>
      <c r="E220" s="15"/>
      <c r="F220" s="15"/>
      <c r="G220" s="15"/>
      <c r="H220" s="15"/>
      <c r="I220" s="15"/>
      <c r="J220" s="15">
        <v>1712</v>
      </c>
      <c r="K220" s="15">
        <v>964</v>
      </c>
      <c r="L220" s="15">
        <f t="shared" si="34"/>
        <v>2676</v>
      </c>
    </row>
    <row r="221" spans="1:12" s="6" customFormat="1" ht="21" customHeight="1">
      <c r="A221" s="2" t="s">
        <v>56</v>
      </c>
      <c r="B221" s="4" t="s">
        <v>21</v>
      </c>
      <c r="C221" s="15"/>
      <c r="D221" s="15"/>
      <c r="E221" s="15"/>
      <c r="F221" s="15"/>
      <c r="G221" s="15"/>
      <c r="H221" s="15"/>
      <c r="I221" s="15"/>
      <c r="J221" s="15"/>
      <c r="K221" s="16">
        <v>33552.688000000002</v>
      </c>
      <c r="L221" s="15">
        <f t="shared" si="34"/>
        <v>33552.688000000002</v>
      </c>
    </row>
    <row r="222" spans="1:12" s="6" customFormat="1" ht="21" customHeight="1">
      <c r="A222" s="2" t="s">
        <v>83</v>
      </c>
      <c r="B222" s="4" t="s">
        <v>58</v>
      </c>
      <c r="C222" s="15">
        <v>0</v>
      </c>
      <c r="D222" s="15"/>
      <c r="E222" s="15"/>
      <c r="F222" s="15"/>
      <c r="G222" s="15"/>
      <c r="H222" s="15">
        <v>0</v>
      </c>
      <c r="I222" s="15"/>
      <c r="J222" s="15">
        <v>290</v>
      </c>
      <c r="K222" s="15">
        <v>72</v>
      </c>
      <c r="L222" s="15">
        <f t="shared" ref="L222:L224" si="35">C222+D222+E222+F222+G222+H222+I222+J222+K222</f>
        <v>362</v>
      </c>
    </row>
    <row r="223" spans="1:12" s="6" customFormat="1" ht="21" customHeight="1">
      <c r="A223" s="2" t="s">
        <v>83</v>
      </c>
      <c r="B223" s="4" t="s">
        <v>59</v>
      </c>
      <c r="C223" s="15">
        <v>0</v>
      </c>
      <c r="D223" s="15"/>
      <c r="E223" s="15"/>
      <c r="F223" s="15"/>
      <c r="G223" s="15"/>
      <c r="H223" s="15">
        <v>0</v>
      </c>
      <c r="I223" s="15"/>
      <c r="J223" s="15"/>
      <c r="K223" s="15"/>
      <c r="L223" s="15">
        <f t="shared" si="35"/>
        <v>0</v>
      </c>
    </row>
    <row r="224" spans="1:12" s="12" customFormat="1" ht="20.100000000000001" customHeight="1">
      <c r="A224" s="2" t="s">
        <v>83</v>
      </c>
      <c r="B224" s="4" t="s">
        <v>60</v>
      </c>
      <c r="C224" s="15">
        <v>0</v>
      </c>
      <c r="D224" s="15"/>
      <c r="E224" s="15"/>
      <c r="F224" s="15"/>
      <c r="G224" s="15"/>
      <c r="H224" s="15">
        <v>0</v>
      </c>
      <c r="I224" s="15"/>
      <c r="J224" s="15">
        <v>4957.26</v>
      </c>
      <c r="K224" s="15"/>
      <c r="L224" s="15">
        <f t="shared" si="35"/>
        <v>4957.26</v>
      </c>
    </row>
    <row r="225" spans="1:12" s="12" customFormat="1" ht="20.100000000000001" customHeight="1">
      <c r="A225" s="2" t="s">
        <v>4</v>
      </c>
      <c r="B225" s="4" t="s">
        <v>88</v>
      </c>
      <c r="C225" s="15">
        <f>87170+11240</f>
        <v>98410</v>
      </c>
      <c r="D225" s="15">
        <v>96180</v>
      </c>
      <c r="E225" s="15">
        <v>88780</v>
      </c>
      <c r="F225" s="15">
        <v>99730</v>
      </c>
      <c r="G225" s="15">
        <f>78830</f>
        <v>78830</v>
      </c>
      <c r="H225" s="15">
        <v>153550</v>
      </c>
      <c r="I225" s="15">
        <v>134040</v>
      </c>
      <c r="J225" s="15">
        <v>152360</v>
      </c>
      <c r="K225" s="15">
        <v>129710</v>
      </c>
      <c r="L225" s="15">
        <f>SUM(C225:K225)</f>
        <v>1031590</v>
      </c>
    </row>
    <row r="226" spans="1:12" s="12" customFormat="1" ht="20.100000000000001" customHeight="1">
      <c r="A226" s="2" t="s">
        <v>4</v>
      </c>
      <c r="B226" s="4" t="s">
        <v>89</v>
      </c>
      <c r="C226" s="15">
        <f>11240*0.04</f>
        <v>449.6</v>
      </c>
      <c r="D226" s="15">
        <v>0</v>
      </c>
      <c r="E226" s="15">
        <v>0</v>
      </c>
      <c r="F226" s="15">
        <v>0</v>
      </c>
      <c r="G226" s="15">
        <v>18027.599999999999</v>
      </c>
      <c r="H226" s="15">
        <f>H225*0.04</f>
        <v>6142</v>
      </c>
      <c r="I226" s="15">
        <f t="shared" ref="I226:J226" si="36">I225*0.04</f>
        <v>5361.6</v>
      </c>
      <c r="J226" s="15">
        <f t="shared" si="36"/>
        <v>6094.4000000000005</v>
      </c>
      <c r="K226" s="15">
        <f>K225*0.04</f>
        <v>5188.4000000000005</v>
      </c>
      <c r="L226" s="15">
        <f>SUM(C226:K226)</f>
        <v>41263.599999999999</v>
      </c>
    </row>
    <row r="227" spans="1:12" ht="20.100000000000001" customHeight="1">
      <c r="A227" s="2" t="s">
        <v>4</v>
      </c>
      <c r="B227" s="4" t="s">
        <v>90</v>
      </c>
      <c r="C227" s="15">
        <v>28360.9</v>
      </c>
      <c r="D227" s="15">
        <v>32197.3</v>
      </c>
      <c r="E227" s="15">
        <v>28661.3</v>
      </c>
      <c r="F227" s="15">
        <v>24409.5</v>
      </c>
      <c r="G227" s="15">
        <v>18578.2</v>
      </c>
      <c r="H227" s="15">
        <v>17136.099999999999</v>
      </c>
      <c r="I227" s="15">
        <v>24195.8</v>
      </c>
      <c r="J227" s="15">
        <v>29444.1</v>
      </c>
      <c r="K227" s="15">
        <v>44213.4</v>
      </c>
      <c r="L227" s="15">
        <f>SUM(C227:K227)</f>
        <v>247196.6</v>
      </c>
    </row>
    <row r="228" spans="1:12" ht="20.100000000000001" customHeight="1">
      <c r="A228" s="2" t="s">
        <v>4</v>
      </c>
      <c r="B228" s="4" t="s">
        <v>85</v>
      </c>
      <c r="C228" s="15">
        <v>540</v>
      </c>
      <c r="D228" s="15">
        <v>1866.12</v>
      </c>
      <c r="E228" s="15">
        <v>1469.1</v>
      </c>
      <c r="F228" s="15">
        <v>100</v>
      </c>
      <c r="G228" s="15">
        <v>380.06</v>
      </c>
      <c r="H228" s="15">
        <v>1715.6</v>
      </c>
      <c r="I228" s="15">
        <v>1276.69</v>
      </c>
      <c r="J228" s="15">
        <v>10869.61</v>
      </c>
      <c r="K228" s="15">
        <v>572.23</v>
      </c>
      <c r="L228" s="15">
        <f t="shared" ref="L228:L230" si="37">C228+D228+E228+F228+G228+H228+I228+J228+K228</f>
        <v>18789.41</v>
      </c>
    </row>
    <row r="229" spans="1:12" ht="20.100000000000001" customHeight="1">
      <c r="A229" s="2" t="s">
        <v>4</v>
      </c>
      <c r="B229" s="4" t="s">
        <v>86</v>
      </c>
      <c r="C229" s="15">
        <v>0</v>
      </c>
      <c r="D229" s="15"/>
      <c r="E229" s="15"/>
      <c r="F229" s="15"/>
      <c r="G229" s="15"/>
      <c r="H229" s="15">
        <v>0</v>
      </c>
      <c r="I229" s="15"/>
      <c r="J229" s="15"/>
      <c r="K229" s="15"/>
      <c r="L229" s="15">
        <f t="shared" si="37"/>
        <v>0</v>
      </c>
    </row>
    <row r="230" spans="1:12" s="12" customFormat="1" ht="20.100000000000001" customHeight="1">
      <c r="A230" s="2" t="s">
        <v>4</v>
      </c>
      <c r="B230" s="4" t="s">
        <v>87</v>
      </c>
      <c r="C230" s="15">
        <v>0</v>
      </c>
      <c r="D230" s="15"/>
      <c r="E230" s="15"/>
      <c r="F230" s="15"/>
      <c r="G230" s="15"/>
      <c r="H230" s="15">
        <v>0</v>
      </c>
      <c r="I230" s="15"/>
      <c r="J230" s="15"/>
      <c r="K230" s="15"/>
      <c r="L230" s="15">
        <f t="shared" si="37"/>
        <v>0</v>
      </c>
    </row>
    <row r="231" spans="1:12" s="12" customFormat="1" ht="20.100000000000001" customHeight="1">
      <c r="A231" s="2" t="s">
        <v>5</v>
      </c>
      <c r="B231" s="4" t="s">
        <v>88</v>
      </c>
      <c r="C231" s="15">
        <v>50000</v>
      </c>
      <c r="D231" s="15">
        <v>37980</v>
      </c>
      <c r="E231" s="15">
        <v>24540</v>
      </c>
      <c r="F231" s="15">
        <v>27860</v>
      </c>
      <c r="G231" s="15">
        <v>22340</v>
      </c>
      <c r="H231" s="15">
        <v>55360</v>
      </c>
      <c r="I231" s="15">
        <v>27940</v>
      </c>
      <c r="J231" s="15">
        <v>22800</v>
      </c>
      <c r="K231" s="15">
        <v>30500</v>
      </c>
      <c r="L231" s="15">
        <f>SUM(C231:K231)</f>
        <v>299320</v>
      </c>
    </row>
    <row r="232" spans="1:12" s="12" customFormat="1" ht="20.100000000000001" customHeight="1">
      <c r="A232" s="2" t="s">
        <v>5</v>
      </c>
      <c r="B232" s="4" t="s">
        <v>89</v>
      </c>
      <c r="C232" s="15">
        <v>2000</v>
      </c>
      <c r="D232" s="15">
        <v>1519.2</v>
      </c>
      <c r="E232" s="15">
        <v>981.6</v>
      </c>
      <c r="F232" s="15">
        <v>1114.4000000000001</v>
      </c>
      <c r="G232" s="15">
        <v>893.6</v>
      </c>
      <c r="H232" s="15">
        <v>2214.4</v>
      </c>
      <c r="I232" s="15">
        <v>1117.5999999999999</v>
      </c>
      <c r="J232" s="15">
        <v>912</v>
      </c>
      <c r="K232" s="15">
        <f>K231*0.04</f>
        <v>1220</v>
      </c>
      <c r="L232" s="15">
        <f>SUM(C232:K232)</f>
        <v>11972.800000000001</v>
      </c>
    </row>
    <row r="233" spans="1:12" ht="20.100000000000001" customHeight="1">
      <c r="A233" s="2" t="s">
        <v>5</v>
      </c>
      <c r="B233" s="4" t="s">
        <v>90</v>
      </c>
      <c r="C233" s="15">
        <v>0</v>
      </c>
      <c r="D233" s="15">
        <v>2746.3</v>
      </c>
      <c r="E233" s="15">
        <v>977.55</v>
      </c>
      <c r="F233" s="15">
        <v>1031.7</v>
      </c>
      <c r="G233" s="15">
        <v>752.4</v>
      </c>
      <c r="H233" s="15">
        <v>1499.1</v>
      </c>
      <c r="I233" s="15">
        <v>866.4</v>
      </c>
      <c r="J233" s="15">
        <v>735.30000000000007</v>
      </c>
      <c r="K233" s="15">
        <v>1011.75</v>
      </c>
      <c r="L233" s="15">
        <f>SUM(C233:K233)</f>
        <v>9620.4999999999982</v>
      </c>
    </row>
    <row r="234" spans="1:12" ht="20.100000000000001" customHeight="1">
      <c r="A234" s="2" t="s">
        <v>5</v>
      </c>
      <c r="B234" s="4" t="s">
        <v>85</v>
      </c>
      <c r="C234" s="15">
        <v>0</v>
      </c>
      <c r="D234" s="15">
        <v>50</v>
      </c>
      <c r="E234" s="15"/>
      <c r="F234" s="15"/>
      <c r="G234" s="15"/>
      <c r="H234" s="15">
        <v>0</v>
      </c>
      <c r="I234" s="15">
        <v>295</v>
      </c>
      <c r="J234" s="15"/>
      <c r="K234" s="15">
        <v>4300</v>
      </c>
      <c r="L234" s="15">
        <f t="shared" ref="L234:L236" si="38">C234+D234+E234+F234+G234+H234+I234+J234+K234</f>
        <v>4645</v>
      </c>
    </row>
    <row r="235" spans="1:12" ht="20.100000000000001" customHeight="1">
      <c r="A235" s="2" t="s">
        <v>5</v>
      </c>
      <c r="B235" s="4" t="s">
        <v>86</v>
      </c>
      <c r="C235" s="15">
        <v>0</v>
      </c>
      <c r="D235" s="15"/>
      <c r="E235" s="15"/>
      <c r="F235" s="15"/>
      <c r="G235" s="15"/>
      <c r="H235" s="15">
        <v>0</v>
      </c>
      <c r="I235" s="15"/>
      <c r="J235" s="15"/>
      <c r="K235" s="15"/>
      <c r="L235" s="15">
        <f t="shared" si="38"/>
        <v>0</v>
      </c>
    </row>
    <row r="236" spans="1:12" s="12" customFormat="1" ht="20.100000000000001" customHeight="1">
      <c r="A236" s="2" t="s">
        <v>5</v>
      </c>
      <c r="B236" s="4" t="s">
        <v>87</v>
      </c>
      <c r="C236" s="15">
        <v>0</v>
      </c>
      <c r="D236" s="15"/>
      <c r="E236" s="15"/>
      <c r="F236" s="15"/>
      <c r="G236" s="15"/>
      <c r="H236" s="15">
        <v>0</v>
      </c>
      <c r="I236" s="15"/>
      <c r="J236" s="15"/>
      <c r="K236" s="15"/>
      <c r="L236" s="15">
        <f t="shared" si="38"/>
        <v>0</v>
      </c>
    </row>
    <row r="237" spans="1:12" s="12" customFormat="1" ht="20.100000000000001" customHeight="1">
      <c r="A237" s="2" t="s">
        <v>16</v>
      </c>
      <c r="B237" s="4" t="s">
        <v>19</v>
      </c>
      <c r="C237" s="15">
        <v>143524.94</v>
      </c>
      <c r="D237" s="15">
        <v>221738.02</v>
      </c>
      <c r="E237" s="15">
        <v>270589.44</v>
      </c>
      <c r="F237" s="15">
        <f>302642.27-1253.34</f>
        <v>301388.93</v>
      </c>
      <c r="G237" s="15">
        <v>176590.46</v>
      </c>
      <c r="H237" s="15">
        <v>260073.78</v>
      </c>
      <c r="I237" s="15">
        <v>222574.54</v>
      </c>
      <c r="J237" s="15">
        <v>297903.48000000004</v>
      </c>
      <c r="K237" s="15">
        <v>488935.26</v>
      </c>
      <c r="L237" s="15">
        <f t="shared" si="0"/>
        <v>2383318.8499999996</v>
      </c>
    </row>
    <row r="238" spans="1:12" s="12" customFormat="1" ht="20.100000000000001" customHeight="1">
      <c r="A238" s="2" t="s">
        <v>16</v>
      </c>
      <c r="B238" s="4" t="s">
        <v>20</v>
      </c>
      <c r="C238" s="15">
        <v>8611.49</v>
      </c>
      <c r="D238" s="15">
        <v>13304.28</v>
      </c>
      <c r="E238" s="15">
        <v>16235.359999999999</v>
      </c>
      <c r="F238" s="15">
        <v>18158.54</v>
      </c>
      <c r="G238" s="15">
        <v>10595.439999999999</v>
      </c>
      <c r="H238" s="15">
        <f>16604.42</f>
        <v>16604.419999999998</v>
      </c>
      <c r="I238" s="15">
        <v>13354.47</v>
      </c>
      <c r="J238" s="15">
        <v>18374.21</v>
      </c>
      <c r="K238" s="15">
        <v>29336.11</v>
      </c>
      <c r="L238" s="15">
        <f t="shared" si="0"/>
        <v>144574.32</v>
      </c>
    </row>
    <row r="239" spans="1:12" ht="20.100000000000001" customHeight="1">
      <c r="A239" s="2" t="s">
        <v>16</v>
      </c>
      <c r="B239" s="4" t="s">
        <v>21</v>
      </c>
      <c r="C239" s="15">
        <v>62661.37</v>
      </c>
      <c r="D239" s="15">
        <v>57168.21</v>
      </c>
      <c r="E239" s="15">
        <v>51407.66</v>
      </c>
      <c r="F239" s="15">
        <v>47422.41</v>
      </c>
      <c r="G239" s="15">
        <v>30127.03</v>
      </c>
      <c r="H239" s="15">
        <v>40680.61</v>
      </c>
      <c r="I239" s="15">
        <v>56048.09</v>
      </c>
      <c r="J239" s="15">
        <v>65505.119999999995</v>
      </c>
      <c r="K239" s="15">
        <v>85691.05</v>
      </c>
      <c r="L239" s="15">
        <f t="shared" si="0"/>
        <v>496711.55</v>
      </c>
    </row>
    <row r="240" spans="1:12" ht="20.100000000000001" customHeight="1">
      <c r="A240" s="2" t="s">
        <v>16</v>
      </c>
      <c r="B240" s="4" t="s">
        <v>58</v>
      </c>
      <c r="C240" s="15">
        <v>4440.3099999999995</v>
      </c>
      <c r="D240" s="15">
        <v>6985.88</v>
      </c>
      <c r="E240" s="15">
        <v>7392.49</v>
      </c>
      <c r="F240" s="15"/>
      <c r="G240" s="15">
        <v>3124.85</v>
      </c>
      <c r="H240" s="15">
        <v>4368.87</v>
      </c>
      <c r="I240" s="15">
        <v>956.42</v>
      </c>
      <c r="J240" s="15">
        <v>3171.18</v>
      </c>
      <c r="K240" s="15">
        <v>11808.9</v>
      </c>
      <c r="L240" s="15">
        <f t="shared" ref="L240:L242" si="39">C240+D240+E240+F240+G240+H240+I240+J240+K240</f>
        <v>42248.899999999994</v>
      </c>
    </row>
    <row r="241" spans="1:12" ht="20.100000000000001" customHeight="1">
      <c r="A241" s="2" t="s">
        <v>16</v>
      </c>
      <c r="B241" s="4" t="s">
        <v>59</v>
      </c>
      <c r="C241" s="15">
        <v>0</v>
      </c>
      <c r="D241" s="15"/>
      <c r="E241" s="15"/>
      <c r="F241" s="15"/>
      <c r="G241" s="15"/>
      <c r="H241" s="15">
        <v>0</v>
      </c>
      <c r="I241" s="15"/>
      <c r="J241" s="15"/>
      <c r="K241" s="15"/>
      <c r="L241" s="15">
        <f t="shared" si="39"/>
        <v>0</v>
      </c>
    </row>
    <row r="242" spans="1:12" s="12" customFormat="1" ht="20.100000000000001" customHeight="1">
      <c r="A242" s="2" t="s">
        <v>16</v>
      </c>
      <c r="B242" s="4" t="s">
        <v>60</v>
      </c>
      <c r="C242" s="15">
        <v>0</v>
      </c>
      <c r="D242" s="15"/>
      <c r="E242" s="15"/>
      <c r="F242" s="15"/>
      <c r="G242" s="15"/>
      <c r="H242" s="15">
        <v>0</v>
      </c>
      <c r="I242" s="15"/>
      <c r="J242" s="15"/>
      <c r="K242" s="15"/>
      <c r="L242" s="15">
        <f t="shared" si="39"/>
        <v>0</v>
      </c>
    </row>
    <row r="243" spans="1:12" s="12" customFormat="1" ht="20.100000000000001" customHeight="1">
      <c r="A243" s="2" t="s">
        <v>38</v>
      </c>
      <c r="B243" s="4" t="s">
        <v>19</v>
      </c>
      <c r="C243" s="15">
        <v>418977</v>
      </c>
      <c r="D243" s="15">
        <v>482580</v>
      </c>
      <c r="E243" s="15">
        <v>411470</v>
      </c>
      <c r="F243" s="15">
        <f>442050-3688.5+4200</f>
        <v>442561.5</v>
      </c>
      <c r="G243" s="15">
        <v>457780</v>
      </c>
      <c r="H243" s="15">
        <v>333040</v>
      </c>
      <c r="I243" s="15">
        <f>404530-1787.18+3516.36</f>
        <v>406259.18</v>
      </c>
      <c r="J243" s="15">
        <v>492280</v>
      </c>
      <c r="K243" s="15">
        <v>536100</v>
      </c>
      <c r="L243" s="15">
        <f t="shared" ref="L243:L293" si="40">SUM(C243:K243)</f>
        <v>3981047.68</v>
      </c>
    </row>
    <row r="244" spans="1:12" s="12" customFormat="1" ht="20.100000000000001" customHeight="1">
      <c r="A244" s="2" t="s">
        <v>38</v>
      </c>
      <c r="B244" s="4" t="s">
        <v>20</v>
      </c>
      <c r="C244" s="15">
        <v>8379.5400000000009</v>
      </c>
      <c r="D244" s="15">
        <v>9651.6</v>
      </c>
      <c r="E244" s="15">
        <v>8229.4</v>
      </c>
      <c r="F244" s="15">
        <v>8841</v>
      </c>
      <c r="G244" s="15">
        <f>G243*0.02</f>
        <v>9155.6</v>
      </c>
      <c r="H244" s="15">
        <f>6672.8+51000</f>
        <v>57672.800000000003</v>
      </c>
      <c r="I244" s="15">
        <v>8090.6</v>
      </c>
      <c r="J244" s="15">
        <v>9845.6</v>
      </c>
      <c r="K244" s="15">
        <v>10722</v>
      </c>
      <c r="L244" s="15">
        <f t="shared" si="40"/>
        <v>130588.14000000001</v>
      </c>
    </row>
    <row r="245" spans="1:12" ht="20.100000000000001" customHeight="1">
      <c r="A245" s="2" t="s">
        <v>38</v>
      </c>
      <c r="B245" s="4" t="s">
        <v>21</v>
      </c>
      <c r="C245" s="15">
        <v>148652.76999999999</v>
      </c>
      <c r="D245" s="15">
        <v>143586.46</v>
      </c>
      <c r="E245" s="15">
        <v>102293.81999999999</v>
      </c>
      <c r="F245" s="15">
        <v>92430.98</v>
      </c>
      <c r="G245" s="15">
        <v>140927.87</v>
      </c>
      <c r="H245" s="15">
        <v>49723.39</v>
      </c>
      <c r="I245" s="15">
        <v>73950.64</v>
      </c>
      <c r="J245" s="15">
        <v>141074.94</v>
      </c>
      <c r="K245" s="15">
        <v>152049.19199999998</v>
      </c>
      <c r="L245" s="15">
        <f t="shared" si="40"/>
        <v>1044690.0619999999</v>
      </c>
    </row>
    <row r="246" spans="1:12" ht="20.100000000000001" customHeight="1">
      <c r="A246" s="2" t="s">
        <v>57</v>
      </c>
      <c r="B246" s="4" t="s">
        <v>58</v>
      </c>
      <c r="C246" s="15">
        <v>565</v>
      </c>
      <c r="D246" s="15"/>
      <c r="E246" s="15">
        <v>1267.82</v>
      </c>
      <c r="F246" s="15">
        <v>6593.28</v>
      </c>
      <c r="G246" s="15">
        <v>11583.41</v>
      </c>
      <c r="H246" s="15">
        <v>6258.45</v>
      </c>
      <c r="I246" s="15">
        <v>6005.43</v>
      </c>
      <c r="J246" s="15">
        <v>11106.35</v>
      </c>
      <c r="K246" s="15">
        <v>9558.64</v>
      </c>
      <c r="L246" s="15">
        <f>C246+D246+E246+F246+G246+H246+I246+J246+K246</f>
        <v>52938.380000000005</v>
      </c>
    </row>
    <row r="247" spans="1:12" ht="20.100000000000001" customHeight="1">
      <c r="A247" s="2" t="s">
        <v>57</v>
      </c>
      <c r="B247" s="4" t="s">
        <v>59</v>
      </c>
      <c r="C247" s="15">
        <v>0</v>
      </c>
      <c r="D247" s="15"/>
      <c r="E247" s="15"/>
      <c r="F247" s="15"/>
      <c r="G247" s="15"/>
      <c r="H247" s="15">
        <v>0</v>
      </c>
      <c r="I247" s="15"/>
      <c r="J247" s="15"/>
      <c r="K247" s="15"/>
      <c r="L247" s="15">
        <f t="shared" ref="L247:L248" si="41">C247+D247+E247+F247+G247+H247+I247+J247+K247</f>
        <v>0</v>
      </c>
    </row>
    <row r="248" spans="1:12" s="12" customFormat="1" ht="20.100000000000001" customHeight="1">
      <c r="A248" s="2" t="s">
        <v>57</v>
      </c>
      <c r="B248" s="4" t="s">
        <v>60</v>
      </c>
      <c r="C248" s="15">
        <v>0</v>
      </c>
      <c r="D248" s="15"/>
      <c r="E248" s="15"/>
      <c r="F248" s="15"/>
      <c r="G248" s="15"/>
      <c r="H248" s="15">
        <v>0</v>
      </c>
      <c r="I248" s="15"/>
      <c r="J248" s="15"/>
      <c r="K248" s="15">
        <v>2640</v>
      </c>
      <c r="L248" s="15">
        <f t="shared" si="41"/>
        <v>2640</v>
      </c>
    </row>
    <row r="249" spans="1:12" s="12" customFormat="1" ht="20.100000000000001" customHeight="1">
      <c r="A249" s="2" t="s">
        <v>23</v>
      </c>
      <c r="B249" s="4" t="s">
        <v>19</v>
      </c>
      <c r="C249" s="15">
        <v>0</v>
      </c>
      <c r="D249" s="15">
        <v>253244.03</v>
      </c>
      <c r="E249" s="15">
        <v>155416.41</v>
      </c>
      <c r="F249" s="15">
        <v>0</v>
      </c>
      <c r="G249" s="15">
        <v>256707.89</v>
      </c>
      <c r="H249" s="15">
        <v>160565.85</v>
      </c>
      <c r="I249" s="15">
        <v>168622.98</v>
      </c>
      <c r="J249" s="15">
        <v>208764.87</v>
      </c>
      <c r="K249" s="15">
        <v>184626.63</v>
      </c>
      <c r="L249" s="15">
        <f>SUM(C249:K249)</f>
        <v>1387948.6600000001</v>
      </c>
    </row>
    <row r="250" spans="1:12" s="12" customFormat="1" ht="20.100000000000001" customHeight="1">
      <c r="A250" s="2" t="s">
        <v>23</v>
      </c>
      <c r="B250" s="4" t="s">
        <v>20</v>
      </c>
      <c r="C250" s="15">
        <v>0</v>
      </c>
      <c r="D250" s="15">
        <v>30389.279999999999</v>
      </c>
      <c r="E250" s="15">
        <v>18649.97</v>
      </c>
      <c r="F250" s="15">
        <v>0</v>
      </c>
      <c r="G250" s="15">
        <v>30804.95</v>
      </c>
      <c r="H250" s="15">
        <v>19267.900000000001</v>
      </c>
      <c r="I250" s="15">
        <v>20234.759999999998</v>
      </c>
      <c r="J250" s="15">
        <v>25051.78</v>
      </c>
      <c r="K250" s="15">
        <v>22155.200000000001</v>
      </c>
      <c r="L250" s="15">
        <f>SUM(C250:K250)</f>
        <v>166553.84000000003</v>
      </c>
    </row>
    <row r="251" spans="1:12" s="6" customFormat="1" ht="20.100000000000001" customHeight="1">
      <c r="A251" s="2" t="s">
        <v>23</v>
      </c>
      <c r="B251" s="4" t="s">
        <v>21</v>
      </c>
      <c r="C251" s="15">
        <v>0</v>
      </c>
      <c r="D251" s="15">
        <v>41278.46</v>
      </c>
      <c r="E251" s="15">
        <v>30233.14</v>
      </c>
      <c r="F251" s="15">
        <v>0</v>
      </c>
      <c r="G251" s="15">
        <v>27838.18</v>
      </c>
      <c r="H251" s="15">
        <v>32409.599999999999</v>
      </c>
      <c r="I251" s="15">
        <v>19470.740000000002</v>
      </c>
      <c r="J251" s="15">
        <v>31520.74</v>
      </c>
      <c r="K251" s="15">
        <v>41513.159999999996</v>
      </c>
      <c r="L251" s="15">
        <f>SUM(C251:K251)</f>
        <v>224264.02</v>
      </c>
    </row>
    <row r="252" spans="1:12" s="6" customFormat="1" ht="20.100000000000001" customHeight="1">
      <c r="A252" s="2" t="s">
        <v>23</v>
      </c>
      <c r="B252" s="4" t="s">
        <v>58</v>
      </c>
      <c r="C252" s="15">
        <v>5594.49</v>
      </c>
      <c r="D252" s="15"/>
      <c r="E252" s="15">
        <v>548</v>
      </c>
      <c r="F252" s="15">
        <v>500</v>
      </c>
      <c r="G252" s="15">
        <v>1110</v>
      </c>
      <c r="H252" s="15">
        <v>2261.7399999999998</v>
      </c>
      <c r="I252" s="15">
        <v>750.66</v>
      </c>
      <c r="J252" s="15">
        <v>937.38</v>
      </c>
      <c r="K252" s="15">
        <v>2805.67</v>
      </c>
      <c r="L252" s="15">
        <f t="shared" ref="L252:L254" si="42">C252+D252+E252+F252+G252+H252+I252+J252+K252</f>
        <v>14507.939999999999</v>
      </c>
    </row>
    <row r="253" spans="1:12" s="6" customFormat="1" ht="20.100000000000001" customHeight="1">
      <c r="A253" s="2" t="s">
        <v>23</v>
      </c>
      <c r="B253" s="4" t="s">
        <v>59</v>
      </c>
      <c r="C253" s="15">
        <v>0</v>
      </c>
      <c r="D253" s="15"/>
      <c r="E253" s="15"/>
      <c r="F253" s="15"/>
      <c r="G253" s="15"/>
      <c r="H253" s="15">
        <v>0</v>
      </c>
      <c r="I253" s="15"/>
      <c r="J253" s="15">
        <v>13193.8</v>
      </c>
      <c r="K253" s="15"/>
      <c r="L253" s="15">
        <f t="shared" si="42"/>
        <v>13193.8</v>
      </c>
    </row>
    <row r="254" spans="1:12" s="12" customFormat="1" ht="20.100000000000001" customHeight="1">
      <c r="A254" s="2" t="s">
        <v>23</v>
      </c>
      <c r="B254" s="4" t="s">
        <v>60</v>
      </c>
      <c r="C254" s="15">
        <v>0</v>
      </c>
      <c r="D254" s="15"/>
      <c r="E254" s="15"/>
      <c r="F254" s="15"/>
      <c r="G254" s="15"/>
      <c r="H254" s="15">
        <v>0</v>
      </c>
      <c r="I254" s="15"/>
      <c r="J254" s="15"/>
      <c r="K254" s="15"/>
      <c r="L254" s="15">
        <f t="shared" si="42"/>
        <v>0</v>
      </c>
    </row>
    <row r="255" spans="1:12" s="12" customFormat="1" ht="20.100000000000001" customHeight="1">
      <c r="A255" s="2" t="s">
        <v>61</v>
      </c>
      <c r="B255" s="4" t="s">
        <v>19</v>
      </c>
      <c r="C255" s="15">
        <v>19320</v>
      </c>
      <c r="D255" s="15">
        <v>18520</v>
      </c>
      <c r="E255" s="15">
        <v>15160</v>
      </c>
      <c r="F255" s="15">
        <v>10940</v>
      </c>
      <c r="G255" s="15">
        <v>0</v>
      </c>
      <c r="H255" s="15">
        <v>13720</v>
      </c>
      <c r="I255" s="15">
        <v>16300</v>
      </c>
      <c r="J255" s="15">
        <v>17380</v>
      </c>
      <c r="K255" s="15">
        <v>18460</v>
      </c>
      <c r="L255" s="15">
        <f t="shared" si="40"/>
        <v>129800</v>
      </c>
    </row>
    <row r="256" spans="1:12" s="12" customFormat="1" ht="20.100000000000001" customHeight="1">
      <c r="A256" s="2" t="s">
        <v>61</v>
      </c>
      <c r="B256" s="4" t="s">
        <v>20</v>
      </c>
      <c r="C256" s="15">
        <v>772.8</v>
      </c>
      <c r="D256" s="15">
        <v>740.8</v>
      </c>
      <c r="E256" s="15">
        <v>606.4</v>
      </c>
      <c r="F256" s="15">
        <v>437.6</v>
      </c>
      <c r="G256" s="15">
        <v>0</v>
      </c>
      <c r="H256" s="15">
        <v>548.79999999999995</v>
      </c>
      <c r="I256" s="15">
        <v>652</v>
      </c>
      <c r="J256" s="15">
        <v>695.2</v>
      </c>
      <c r="K256" s="15">
        <v>738.4</v>
      </c>
      <c r="L256" s="15">
        <f t="shared" si="40"/>
        <v>5191.9999999999991</v>
      </c>
    </row>
    <row r="257" spans="1:12" s="6" customFormat="1" ht="20.100000000000001" customHeight="1">
      <c r="A257" s="2" t="s">
        <v>61</v>
      </c>
      <c r="B257" s="4" t="s">
        <v>21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f t="shared" si="40"/>
        <v>0</v>
      </c>
    </row>
    <row r="258" spans="1:12" s="6" customFormat="1" ht="20.100000000000001" customHeight="1">
      <c r="A258" s="2" t="s">
        <v>61</v>
      </c>
      <c r="B258" s="4" t="s">
        <v>58</v>
      </c>
      <c r="C258" s="15">
        <v>0</v>
      </c>
      <c r="D258" s="15"/>
      <c r="E258" s="15"/>
      <c r="F258" s="15"/>
      <c r="G258" s="15"/>
      <c r="H258" s="15">
        <v>0</v>
      </c>
      <c r="I258" s="15"/>
      <c r="J258" s="15"/>
      <c r="K258" s="15">
        <v>0</v>
      </c>
      <c r="L258" s="15">
        <f t="shared" ref="L258:L260" si="43">C258+D258+E258+F258+G258+H258+I258+J258+K258</f>
        <v>0</v>
      </c>
    </row>
    <row r="259" spans="1:12" s="6" customFormat="1" ht="20.100000000000001" customHeight="1">
      <c r="A259" s="2" t="s">
        <v>61</v>
      </c>
      <c r="B259" s="4" t="s">
        <v>59</v>
      </c>
      <c r="C259" s="15">
        <v>0</v>
      </c>
      <c r="D259" s="15"/>
      <c r="E259" s="15"/>
      <c r="F259" s="15"/>
      <c r="G259" s="15"/>
      <c r="H259" s="15">
        <v>0</v>
      </c>
      <c r="I259" s="15"/>
      <c r="J259" s="15"/>
      <c r="K259" s="15"/>
      <c r="L259" s="15">
        <f t="shared" si="43"/>
        <v>0</v>
      </c>
    </row>
    <row r="260" spans="1:12" s="12" customFormat="1" ht="20.100000000000001" customHeight="1">
      <c r="A260" s="2" t="s">
        <v>61</v>
      </c>
      <c r="B260" s="4" t="s">
        <v>60</v>
      </c>
      <c r="C260" s="15">
        <v>0</v>
      </c>
      <c r="D260" s="15"/>
      <c r="E260" s="15"/>
      <c r="F260" s="15"/>
      <c r="G260" s="15"/>
      <c r="H260" s="15">
        <v>0</v>
      </c>
      <c r="I260" s="15"/>
      <c r="J260" s="15"/>
      <c r="K260" s="15"/>
      <c r="L260" s="15">
        <f t="shared" si="43"/>
        <v>0</v>
      </c>
    </row>
    <row r="261" spans="1:12" s="12" customFormat="1" ht="20.100000000000001" customHeight="1">
      <c r="A261" s="2" t="s">
        <v>41</v>
      </c>
      <c r="B261" s="4" t="s">
        <v>19</v>
      </c>
      <c r="C261" s="15">
        <f>78634.04+1875</f>
        <v>80509.039999999994</v>
      </c>
      <c r="D261" s="15">
        <f>73779.95-30</f>
        <v>73749.95</v>
      </c>
      <c r="E261" s="15">
        <v>39476.920000000006</v>
      </c>
      <c r="F261" s="15">
        <v>44209.42</v>
      </c>
      <c r="G261" s="15">
        <v>38171.869999999995</v>
      </c>
      <c r="H261" s="15">
        <v>70531.25</v>
      </c>
      <c r="I261" s="15">
        <v>54067.869999999995</v>
      </c>
      <c r="J261" s="15">
        <v>63136.27</v>
      </c>
      <c r="K261" s="16">
        <v>64877.77</v>
      </c>
      <c r="L261" s="15">
        <f t="shared" si="40"/>
        <v>528730.36</v>
      </c>
    </row>
    <row r="262" spans="1:12" s="12" customFormat="1" ht="20.100000000000001" customHeight="1">
      <c r="A262" s="2" t="s">
        <v>41</v>
      </c>
      <c r="B262" s="4" t="s">
        <v>20</v>
      </c>
      <c r="C262" s="15">
        <v>6291.1</v>
      </c>
      <c r="D262" s="15">
        <v>5902.4</v>
      </c>
      <c r="E262" s="15">
        <v>3158.1</v>
      </c>
      <c r="F262" s="15">
        <v>3536.8</v>
      </c>
      <c r="G262" s="15">
        <v>3053.75</v>
      </c>
      <c r="H262" s="15">
        <v>5642.5</v>
      </c>
      <c r="I262" s="15">
        <v>4325.43</v>
      </c>
      <c r="J262" s="15">
        <v>5050.8999999999996</v>
      </c>
      <c r="K262" s="16">
        <v>5190.2</v>
      </c>
      <c r="L262" s="15">
        <f t="shared" si="40"/>
        <v>42151.18</v>
      </c>
    </row>
    <row r="263" spans="1:12" s="6" customFormat="1" ht="20.100000000000001" customHeight="1">
      <c r="A263" s="2" t="s">
        <v>41</v>
      </c>
      <c r="B263" s="4" t="s">
        <v>21</v>
      </c>
      <c r="C263" s="15">
        <v>15698</v>
      </c>
      <c r="D263" s="15">
        <v>9992</v>
      </c>
      <c r="E263" s="15">
        <v>6889</v>
      </c>
      <c r="F263" s="15">
        <v>4970</v>
      </c>
      <c r="G263" s="15">
        <v>3502</v>
      </c>
      <c r="H263" s="15">
        <v>6878</v>
      </c>
      <c r="I263" s="15">
        <v>8552</v>
      </c>
      <c r="J263" s="15">
        <v>9929</v>
      </c>
      <c r="K263" s="15">
        <v>16515</v>
      </c>
      <c r="L263" s="15">
        <f t="shared" si="40"/>
        <v>82925</v>
      </c>
    </row>
    <row r="264" spans="1:12" s="6" customFormat="1" ht="20.100000000000001" customHeight="1">
      <c r="A264" s="2" t="s">
        <v>68</v>
      </c>
      <c r="B264" s="4" t="s">
        <v>58</v>
      </c>
      <c r="C264" s="15">
        <v>3093.98</v>
      </c>
      <c r="D264" s="15"/>
      <c r="E264" s="15">
        <v>633.6</v>
      </c>
      <c r="F264" s="15">
        <v>323.33</v>
      </c>
      <c r="G264" s="15">
        <v>655.86</v>
      </c>
      <c r="H264" s="15">
        <v>1255</v>
      </c>
      <c r="I264" s="15">
        <v>20</v>
      </c>
      <c r="J264" s="15">
        <v>1660</v>
      </c>
      <c r="K264" s="15">
        <v>10</v>
      </c>
      <c r="L264" s="15">
        <f t="shared" ref="L264:L266" si="44">C264+D264+E264+F264+G264+H264+I264+J264+K264</f>
        <v>7651.7699999999995</v>
      </c>
    </row>
    <row r="265" spans="1:12" s="6" customFormat="1" ht="20.100000000000001" customHeight="1">
      <c r="A265" s="2" t="s">
        <v>68</v>
      </c>
      <c r="B265" s="4" t="s">
        <v>59</v>
      </c>
      <c r="C265" s="15">
        <v>0</v>
      </c>
      <c r="D265" s="15"/>
      <c r="E265" s="15"/>
      <c r="F265" s="15"/>
      <c r="G265" s="15"/>
      <c r="H265" s="15">
        <v>0</v>
      </c>
      <c r="I265" s="15"/>
      <c r="J265" s="15"/>
      <c r="K265" s="15"/>
      <c r="L265" s="15">
        <f t="shared" si="44"/>
        <v>0</v>
      </c>
    </row>
    <row r="266" spans="1:12" s="12" customFormat="1" ht="20.100000000000001" customHeight="1">
      <c r="A266" s="2" t="s">
        <v>68</v>
      </c>
      <c r="B266" s="4" t="s">
        <v>60</v>
      </c>
      <c r="C266" s="15">
        <v>0</v>
      </c>
      <c r="D266" s="15"/>
      <c r="E266" s="15"/>
      <c r="F266" s="15"/>
      <c r="G266" s="15"/>
      <c r="H266" s="15">
        <v>0</v>
      </c>
      <c r="I266" s="15"/>
      <c r="J266" s="15"/>
      <c r="K266" s="15"/>
      <c r="L266" s="15">
        <f t="shared" si="44"/>
        <v>0</v>
      </c>
    </row>
    <row r="267" spans="1:12" s="12" customFormat="1" ht="20.100000000000001" customHeight="1">
      <c r="A267" s="2" t="s">
        <v>43</v>
      </c>
      <c r="B267" s="4" t="s">
        <v>19</v>
      </c>
      <c r="C267" s="15">
        <v>123080</v>
      </c>
      <c r="D267" s="15">
        <v>172820</v>
      </c>
      <c r="E267" s="15">
        <v>150460</v>
      </c>
      <c r="F267" s="15">
        <v>163296.6</v>
      </c>
      <c r="G267" s="15">
        <v>104491.3</v>
      </c>
      <c r="H267" s="15">
        <v>203548.75</v>
      </c>
      <c r="I267" s="15">
        <v>205988</v>
      </c>
      <c r="J267" s="15">
        <v>257200</v>
      </c>
      <c r="K267" s="15">
        <v>256510</v>
      </c>
      <c r="L267" s="15">
        <f t="shared" si="40"/>
        <v>1637394.65</v>
      </c>
    </row>
    <row r="268" spans="1:12" s="12" customFormat="1" ht="20.100000000000001" customHeight="1">
      <c r="A268" s="2" t="s">
        <v>43</v>
      </c>
      <c r="B268" s="4" t="s">
        <v>20</v>
      </c>
      <c r="C268" s="15">
        <v>7384.8</v>
      </c>
      <c r="D268" s="15">
        <v>10369.200000000001</v>
      </c>
      <c r="E268" s="15">
        <v>9027.6</v>
      </c>
      <c r="F268" s="15">
        <v>9797.7999999999993</v>
      </c>
      <c r="G268" s="15">
        <v>6269.48</v>
      </c>
      <c r="H268" s="15">
        <v>12212.93</v>
      </c>
      <c r="I268" s="15">
        <v>12359.28</v>
      </c>
      <c r="J268" s="15">
        <v>15432</v>
      </c>
      <c r="K268" s="15">
        <v>15390.6</v>
      </c>
      <c r="L268" s="15">
        <f t="shared" si="40"/>
        <v>98243.69</v>
      </c>
    </row>
    <row r="269" spans="1:12" s="6" customFormat="1" ht="20.100000000000001" customHeight="1">
      <c r="A269" s="2" t="s">
        <v>43</v>
      </c>
      <c r="B269" s="4" t="s">
        <v>21</v>
      </c>
      <c r="C269" s="15">
        <v>34144.86</v>
      </c>
      <c r="D269" s="15">
        <v>36826.35</v>
      </c>
      <c r="E269" s="15">
        <v>38032.720000000001</v>
      </c>
      <c r="F269" s="15">
        <v>30706.54</v>
      </c>
      <c r="G269" s="15">
        <v>21693.13</v>
      </c>
      <c r="H269" s="15">
        <v>24130.239999999998</v>
      </c>
      <c r="I269" s="15">
        <v>33669.85</v>
      </c>
      <c r="J269" s="15">
        <v>50639.29</v>
      </c>
      <c r="K269" s="15">
        <v>62066.74</v>
      </c>
      <c r="L269" s="15">
        <f t="shared" si="40"/>
        <v>331909.71999999997</v>
      </c>
    </row>
    <row r="270" spans="1:12" s="6" customFormat="1" ht="20.100000000000001" customHeight="1">
      <c r="A270" s="2" t="s">
        <v>71</v>
      </c>
      <c r="B270" s="4" t="s">
        <v>58</v>
      </c>
      <c r="C270" s="15">
        <v>0</v>
      </c>
      <c r="D270" s="15"/>
      <c r="E270" s="15">
        <v>567</v>
      </c>
      <c r="F270" s="15">
        <v>1766.36</v>
      </c>
      <c r="G270" s="15">
        <v>33.299999999999997</v>
      </c>
      <c r="H270" s="15">
        <v>2250.48</v>
      </c>
      <c r="I270" s="15">
        <v>1143.58</v>
      </c>
      <c r="J270" s="15">
        <v>526.59</v>
      </c>
      <c r="K270" s="15">
        <v>257.32</v>
      </c>
      <c r="L270" s="15">
        <f t="shared" ref="L270:L272" si="45">C270+D270+E270+F270+G270+H270+I270+J270+K270</f>
        <v>6544.6299999999992</v>
      </c>
    </row>
    <row r="271" spans="1:12" s="6" customFormat="1" ht="20.100000000000001" customHeight="1">
      <c r="A271" s="2" t="s">
        <v>71</v>
      </c>
      <c r="B271" s="4" t="s">
        <v>59</v>
      </c>
      <c r="C271" s="15">
        <v>0</v>
      </c>
      <c r="D271" s="15"/>
      <c r="E271" s="15"/>
      <c r="F271" s="15">
        <v>5128.21</v>
      </c>
      <c r="G271" s="15"/>
      <c r="H271" s="15">
        <v>0</v>
      </c>
      <c r="I271" s="15"/>
      <c r="J271" s="15"/>
      <c r="K271" s="15"/>
      <c r="L271" s="15">
        <f t="shared" si="45"/>
        <v>5128.21</v>
      </c>
    </row>
    <row r="272" spans="1:12" s="12" customFormat="1" ht="20.100000000000001" customHeight="1">
      <c r="A272" s="2" t="s">
        <v>71</v>
      </c>
      <c r="B272" s="4" t="s">
        <v>60</v>
      </c>
      <c r="C272" s="15">
        <v>0</v>
      </c>
      <c r="D272" s="15"/>
      <c r="E272" s="15"/>
      <c r="F272" s="15"/>
      <c r="G272" s="15"/>
      <c r="H272" s="15">
        <v>0</v>
      </c>
      <c r="I272" s="15"/>
      <c r="J272" s="15"/>
      <c r="K272" s="15"/>
      <c r="L272" s="15">
        <f t="shared" si="45"/>
        <v>0</v>
      </c>
    </row>
    <row r="273" spans="1:12" s="12" customFormat="1" ht="20.100000000000001" customHeight="1">
      <c r="A273" s="2" t="s">
        <v>45</v>
      </c>
      <c r="B273" s="4" t="s">
        <v>19</v>
      </c>
      <c r="C273" s="15">
        <v>329885.87</v>
      </c>
      <c r="D273" s="15">
        <v>283342.39</v>
      </c>
      <c r="E273" s="15">
        <v>255255.76</v>
      </c>
      <c r="F273" s="15">
        <v>294184.08</v>
      </c>
      <c r="G273" s="15">
        <v>239293.94</v>
      </c>
      <c r="H273" s="15">
        <v>467424.47</v>
      </c>
      <c r="I273" s="15">
        <v>272077.58</v>
      </c>
      <c r="J273" s="15">
        <v>370604.34</v>
      </c>
      <c r="K273" s="16">
        <v>347474.8</v>
      </c>
      <c r="L273" s="15">
        <f t="shared" si="40"/>
        <v>2859543.2299999995</v>
      </c>
    </row>
    <row r="274" spans="1:12" s="12" customFormat="1" ht="20.100000000000001" customHeight="1">
      <c r="A274" s="2" t="s">
        <v>45</v>
      </c>
      <c r="B274" s="4" t="s">
        <v>20</v>
      </c>
      <c r="C274" s="15">
        <v>26390.9</v>
      </c>
      <c r="D274" s="15">
        <v>22667.4</v>
      </c>
      <c r="E274" s="15">
        <v>20420.5</v>
      </c>
      <c r="F274" s="15">
        <v>23534.7</v>
      </c>
      <c r="G274" s="15">
        <v>19143.5</v>
      </c>
      <c r="H274" s="15">
        <v>37393.96</v>
      </c>
      <c r="I274" s="15">
        <v>21766.21</v>
      </c>
      <c r="J274" s="15">
        <v>29648.35</v>
      </c>
      <c r="K274" s="16">
        <v>27798</v>
      </c>
      <c r="L274" s="15">
        <f t="shared" si="40"/>
        <v>228763.51999999999</v>
      </c>
    </row>
    <row r="275" spans="1:12" s="6" customFormat="1" ht="20.100000000000001" customHeight="1">
      <c r="A275" s="2" t="s">
        <v>45</v>
      </c>
      <c r="B275" s="4" t="s">
        <v>21</v>
      </c>
      <c r="C275" s="15">
        <v>68883</v>
      </c>
      <c r="D275" s="15">
        <v>55294</v>
      </c>
      <c r="E275" s="15">
        <v>24274</v>
      </c>
      <c r="F275" s="15">
        <v>32488</v>
      </c>
      <c r="G275" s="15">
        <v>20178</v>
      </c>
      <c r="H275" s="15">
        <v>52730</v>
      </c>
      <c r="I275" s="15">
        <v>40017</v>
      </c>
      <c r="J275" s="15">
        <v>43631</v>
      </c>
      <c r="K275" s="15">
        <v>58383</v>
      </c>
      <c r="L275" s="15">
        <f t="shared" si="40"/>
        <v>395878</v>
      </c>
    </row>
    <row r="276" spans="1:12" s="6" customFormat="1" ht="20.100000000000001" customHeight="1">
      <c r="A276" s="2" t="s">
        <v>69</v>
      </c>
      <c r="B276" s="4" t="s">
        <v>58</v>
      </c>
      <c r="C276" s="15">
        <v>6758.17</v>
      </c>
      <c r="D276" s="15">
        <v>1987.25</v>
      </c>
      <c r="E276" s="15">
        <v>4174.58</v>
      </c>
      <c r="F276" s="15">
        <v>1490.03</v>
      </c>
      <c r="G276" s="15">
        <v>3848.98</v>
      </c>
      <c r="H276" s="15">
        <v>6622.67</v>
      </c>
      <c r="I276" s="15">
        <v>6612.99</v>
      </c>
      <c r="J276" s="15">
        <v>1588.7</v>
      </c>
      <c r="K276" s="15">
        <v>7675.89</v>
      </c>
      <c r="L276" s="15">
        <f t="shared" ref="L276:L278" si="46">C276+D276+E276+F276+G276+H276+I276+J276+K276</f>
        <v>40759.259999999995</v>
      </c>
    </row>
    <row r="277" spans="1:12" s="6" customFormat="1" ht="21" customHeight="1">
      <c r="A277" s="2" t="s">
        <v>69</v>
      </c>
      <c r="B277" s="4" t="s">
        <v>59</v>
      </c>
      <c r="C277" s="15">
        <v>0</v>
      </c>
      <c r="D277" s="15"/>
      <c r="E277" s="15"/>
      <c r="F277" s="15"/>
      <c r="G277" s="15"/>
      <c r="H277" s="15">
        <v>20439.45</v>
      </c>
      <c r="I277" s="15"/>
      <c r="J277" s="15"/>
      <c r="K277" s="15"/>
      <c r="L277" s="15">
        <f t="shared" si="46"/>
        <v>20439.45</v>
      </c>
    </row>
    <row r="278" spans="1:12" s="12" customFormat="1" ht="20.100000000000001" customHeight="1">
      <c r="A278" s="2" t="s">
        <v>69</v>
      </c>
      <c r="B278" s="4" t="s">
        <v>60</v>
      </c>
      <c r="C278" s="15">
        <v>0</v>
      </c>
      <c r="D278" s="15"/>
      <c r="E278" s="15"/>
      <c r="F278" s="15"/>
      <c r="G278" s="15"/>
      <c r="H278" s="15">
        <v>0</v>
      </c>
      <c r="I278" s="15"/>
      <c r="J278" s="15"/>
      <c r="K278" s="15"/>
      <c r="L278" s="15">
        <f t="shared" si="46"/>
        <v>0</v>
      </c>
    </row>
    <row r="279" spans="1:12" s="12" customFormat="1" ht="20.100000000000001" customHeight="1">
      <c r="A279" s="2" t="s">
        <v>47</v>
      </c>
      <c r="B279" s="4" t="s">
        <v>19</v>
      </c>
      <c r="C279" s="15">
        <v>169819.93</v>
      </c>
      <c r="D279" s="15">
        <v>178101.57</v>
      </c>
      <c r="E279" s="15">
        <v>138833.95000000001</v>
      </c>
      <c r="F279" s="15">
        <v>109095.97</v>
      </c>
      <c r="G279" s="15">
        <v>84096.61</v>
      </c>
      <c r="H279" s="15">
        <v>135924.43</v>
      </c>
      <c r="I279" s="15">
        <v>146228.41</v>
      </c>
      <c r="J279" s="15">
        <v>201901.83</v>
      </c>
      <c r="K279" s="15">
        <v>197184.71</v>
      </c>
      <c r="L279" s="15">
        <f t="shared" si="40"/>
        <v>1361187.41</v>
      </c>
    </row>
    <row r="280" spans="1:12" s="12" customFormat="1" ht="20.100000000000001" customHeight="1">
      <c r="A280" s="2" t="s">
        <v>47</v>
      </c>
      <c r="B280" s="4" t="s">
        <v>20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f t="shared" si="40"/>
        <v>0</v>
      </c>
    </row>
    <row r="281" spans="1:12" s="6" customFormat="1" ht="20.100000000000001" customHeight="1">
      <c r="A281" s="2" t="s">
        <v>47</v>
      </c>
      <c r="B281" s="4" t="s">
        <v>21</v>
      </c>
      <c r="C281" s="15">
        <v>40366.559999999998</v>
      </c>
      <c r="D281" s="15">
        <v>31787.33</v>
      </c>
      <c r="E281" s="15">
        <v>24247.16</v>
      </c>
      <c r="F281" s="15">
        <v>13154.14</v>
      </c>
      <c r="G281" s="15">
        <v>9961.9599999999991</v>
      </c>
      <c r="H281" s="15">
        <v>16375.36</v>
      </c>
      <c r="I281" s="15">
        <v>21236.459999999995</v>
      </c>
      <c r="J281" s="15">
        <v>33795</v>
      </c>
      <c r="K281" s="15">
        <v>38426.6</v>
      </c>
      <c r="L281" s="15">
        <f t="shared" si="40"/>
        <v>229350.57</v>
      </c>
    </row>
    <row r="282" spans="1:12" s="6" customFormat="1" ht="20.100000000000001" customHeight="1">
      <c r="A282" s="2" t="s">
        <v>73</v>
      </c>
      <c r="B282" s="4" t="s">
        <v>58</v>
      </c>
      <c r="C282" s="15">
        <v>6968.22</v>
      </c>
      <c r="D282" s="15">
        <v>6272.77</v>
      </c>
      <c r="E282" s="15">
        <v>10898.69</v>
      </c>
      <c r="F282" s="15">
        <v>5049.6499999999996</v>
      </c>
      <c r="G282" s="15">
        <f>9407.28+929.05</f>
        <v>10336.33</v>
      </c>
      <c r="H282" s="15">
        <v>6445.7199999999993</v>
      </c>
      <c r="I282" s="15">
        <v>120</v>
      </c>
      <c r="J282" s="15">
        <v>1188</v>
      </c>
      <c r="K282" s="15">
        <v>2169.25</v>
      </c>
      <c r="L282" s="15">
        <f t="shared" ref="L282:L284" si="47">C282+D282+E282+F282+G282+H282+I282+J282+K282</f>
        <v>49448.630000000005</v>
      </c>
    </row>
    <row r="283" spans="1:12" s="6" customFormat="1" ht="21" customHeight="1">
      <c r="A283" s="2" t="s">
        <v>73</v>
      </c>
      <c r="B283" s="4" t="s">
        <v>59</v>
      </c>
      <c r="C283" s="15">
        <v>0</v>
      </c>
      <c r="D283" s="15"/>
      <c r="E283" s="15"/>
      <c r="F283" s="15"/>
      <c r="G283" s="15"/>
      <c r="H283" s="15">
        <v>0</v>
      </c>
      <c r="I283" s="15"/>
      <c r="J283" s="15"/>
      <c r="K283" s="15"/>
      <c r="L283" s="15">
        <f t="shared" si="47"/>
        <v>0</v>
      </c>
    </row>
    <row r="284" spans="1:12" s="12" customFormat="1" ht="20.100000000000001" customHeight="1">
      <c r="A284" s="2" t="s">
        <v>73</v>
      </c>
      <c r="B284" s="4" t="s">
        <v>60</v>
      </c>
      <c r="C284" s="15">
        <v>0</v>
      </c>
      <c r="D284" s="15"/>
      <c r="E284" s="15"/>
      <c r="F284" s="15"/>
      <c r="G284" s="15"/>
      <c r="H284" s="15">
        <v>0</v>
      </c>
      <c r="I284" s="15"/>
      <c r="J284" s="15"/>
      <c r="K284" s="15"/>
      <c r="L284" s="15">
        <f t="shared" si="47"/>
        <v>0</v>
      </c>
    </row>
    <row r="285" spans="1:12" s="12" customFormat="1" ht="20.100000000000001" customHeight="1">
      <c r="A285" s="2" t="s">
        <v>76</v>
      </c>
      <c r="B285" s="4" t="s">
        <v>19</v>
      </c>
      <c r="C285" s="15">
        <v>154029.50999999998</v>
      </c>
      <c r="D285" s="15">
        <v>195170.88</v>
      </c>
      <c r="E285" s="15">
        <v>166996.82</v>
      </c>
      <c r="F285" s="15">
        <v>180457.15</v>
      </c>
      <c r="G285" s="15">
        <v>146724.69</v>
      </c>
      <c r="H285" s="15">
        <v>218965.59</v>
      </c>
      <c r="I285" s="15">
        <v>207253.57</v>
      </c>
      <c r="J285" s="15">
        <v>265408.01</v>
      </c>
      <c r="K285" s="15">
        <v>204512.46</v>
      </c>
      <c r="L285" s="15">
        <f t="shared" si="40"/>
        <v>1739518.6800000002</v>
      </c>
    </row>
    <row r="286" spans="1:12" s="12" customFormat="1" ht="20.100000000000001" customHeight="1">
      <c r="A286" s="2" t="s">
        <v>76</v>
      </c>
      <c r="B286" s="4" t="s">
        <v>20</v>
      </c>
      <c r="C286" s="15">
        <v>0</v>
      </c>
      <c r="D286" s="15">
        <v>0</v>
      </c>
      <c r="E286" s="15">
        <v>0</v>
      </c>
      <c r="F286" s="15">
        <v>0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f t="shared" si="40"/>
        <v>0</v>
      </c>
    </row>
    <row r="287" spans="1:12" s="6" customFormat="1" ht="21" customHeight="1">
      <c r="A287" s="2" t="s">
        <v>76</v>
      </c>
      <c r="B287" s="4" t="s">
        <v>21</v>
      </c>
      <c r="C287" s="15">
        <v>60914.6</v>
      </c>
      <c r="D287" s="15">
        <v>66321</v>
      </c>
      <c r="E287" s="15">
        <v>55456.2</v>
      </c>
      <c r="F287" s="15">
        <v>41338.199999999997</v>
      </c>
      <c r="G287" s="15">
        <v>34390.6</v>
      </c>
      <c r="H287" s="15">
        <v>40347.800000000003</v>
      </c>
      <c r="I287" s="15">
        <v>49263.199999999997</v>
      </c>
      <c r="J287" s="15">
        <v>71307.199999999997</v>
      </c>
      <c r="K287" s="15">
        <v>84599.6</v>
      </c>
      <c r="L287" s="15">
        <f t="shared" si="40"/>
        <v>503938.4</v>
      </c>
    </row>
    <row r="288" spans="1:12" s="6" customFormat="1" ht="21" customHeight="1">
      <c r="A288" s="2" t="s">
        <v>76</v>
      </c>
      <c r="B288" s="4" t="s">
        <v>58</v>
      </c>
      <c r="C288" s="15">
        <v>12196.38</v>
      </c>
      <c r="D288" s="15">
        <v>6314.17</v>
      </c>
      <c r="E288" s="15">
        <v>2792.83</v>
      </c>
      <c r="F288" s="15">
        <v>10103.32</v>
      </c>
      <c r="G288" s="15">
        <v>550.62</v>
      </c>
      <c r="H288" s="15">
        <v>1300</v>
      </c>
      <c r="I288" s="15">
        <v>4044.17</v>
      </c>
      <c r="J288" s="15">
        <v>7077.3</v>
      </c>
      <c r="K288" s="15">
        <v>1511.99</v>
      </c>
      <c r="L288" s="15">
        <f t="shared" ref="L288:L290" si="48">C288+D288+E288+F288+G288+H288+I288+J288+K288</f>
        <v>45890.779999999992</v>
      </c>
    </row>
    <row r="289" spans="1:12" s="6" customFormat="1" ht="21" customHeight="1">
      <c r="A289" s="2" t="s">
        <v>76</v>
      </c>
      <c r="B289" s="4" t="s">
        <v>59</v>
      </c>
      <c r="C289" s="15">
        <v>0</v>
      </c>
      <c r="D289" s="15"/>
      <c r="E289" s="15"/>
      <c r="F289" s="15"/>
      <c r="G289" s="15"/>
      <c r="H289" s="15">
        <v>0</v>
      </c>
      <c r="I289" s="15"/>
      <c r="J289" s="15"/>
      <c r="K289" s="15"/>
      <c r="L289" s="15">
        <f t="shared" si="48"/>
        <v>0</v>
      </c>
    </row>
    <row r="290" spans="1:12" s="12" customFormat="1" ht="20.100000000000001" customHeight="1">
      <c r="A290" s="2" t="s">
        <v>76</v>
      </c>
      <c r="B290" s="4" t="s">
        <v>60</v>
      </c>
      <c r="C290" s="15">
        <v>0</v>
      </c>
      <c r="D290" s="15"/>
      <c r="E290" s="15"/>
      <c r="F290" s="15"/>
      <c r="G290" s="15"/>
      <c r="H290" s="15">
        <v>0</v>
      </c>
      <c r="I290" s="15">
        <v>6000</v>
      </c>
      <c r="J290" s="15"/>
      <c r="K290" s="15"/>
      <c r="L290" s="15">
        <f t="shared" si="48"/>
        <v>6000</v>
      </c>
    </row>
    <row r="291" spans="1:12" s="12" customFormat="1" ht="20.100000000000001" customHeight="1">
      <c r="A291" s="2" t="s">
        <v>28</v>
      </c>
      <c r="B291" s="4" t="s">
        <v>19</v>
      </c>
      <c r="C291" s="15">
        <v>16330</v>
      </c>
      <c r="D291" s="15">
        <v>34670</v>
      </c>
      <c r="E291" s="15">
        <v>30240</v>
      </c>
      <c r="F291" s="15">
        <v>30860</v>
      </c>
      <c r="G291" s="15">
        <v>25710</v>
      </c>
      <c r="H291" s="15">
        <f>91010-G291</f>
        <v>65300</v>
      </c>
      <c r="I291" s="15">
        <v>45470</v>
      </c>
      <c r="J291" s="15">
        <v>49840</v>
      </c>
      <c r="K291" s="15">
        <v>50163</v>
      </c>
      <c r="L291" s="15">
        <f t="shared" si="40"/>
        <v>348583</v>
      </c>
    </row>
    <row r="292" spans="1:12" s="12" customFormat="1" ht="20.100000000000001" customHeight="1">
      <c r="A292" s="2" t="s">
        <v>28</v>
      </c>
      <c r="B292" s="4" t="s">
        <v>20</v>
      </c>
      <c r="C292" s="15">
        <f>979.8+1165.9</f>
        <v>2145.6999999999998</v>
      </c>
      <c r="D292" s="15">
        <f>2080.2+2000</f>
        <v>4080.2</v>
      </c>
      <c r="E292" s="15">
        <f>1814.4+2000</f>
        <v>3814.4</v>
      </c>
      <c r="F292" s="15">
        <f>1851.6+2000</f>
        <v>3851.6</v>
      </c>
      <c r="G292" s="15">
        <v>3634</v>
      </c>
      <c r="H292" s="15">
        <v>6305.1</v>
      </c>
      <c r="I292" s="15">
        <v>4728.2</v>
      </c>
      <c r="J292" s="15">
        <v>6587.17</v>
      </c>
      <c r="K292" s="15">
        <f>3009.6+2500</f>
        <v>5509.6</v>
      </c>
      <c r="L292" s="15">
        <f t="shared" si="40"/>
        <v>40655.97</v>
      </c>
    </row>
    <row r="293" spans="1:12" s="6" customFormat="1" ht="27.75" customHeight="1">
      <c r="A293" s="2" t="s">
        <v>28</v>
      </c>
      <c r="B293" s="4" t="s">
        <v>21</v>
      </c>
      <c r="C293" s="15">
        <v>6003.1</v>
      </c>
      <c r="D293" s="15">
        <v>8774.5</v>
      </c>
      <c r="E293" s="15">
        <v>6563.7</v>
      </c>
      <c r="F293" s="15">
        <v>4992.1000000000004</v>
      </c>
      <c r="G293" s="15">
        <v>8873.7999999999993</v>
      </c>
      <c r="H293" s="15">
        <f>20460.4-G293</f>
        <v>11586.600000000002</v>
      </c>
      <c r="I293" s="15">
        <v>10420.200000000001</v>
      </c>
      <c r="J293" s="15">
        <v>15018.3</v>
      </c>
      <c r="K293" s="15">
        <v>12929</v>
      </c>
      <c r="L293" s="15">
        <f t="shared" si="40"/>
        <v>85161.3</v>
      </c>
    </row>
    <row r="294" spans="1:12" s="6" customFormat="1" ht="21" customHeight="1">
      <c r="A294" s="2" t="s">
        <v>28</v>
      </c>
      <c r="B294" s="4" t="s">
        <v>58</v>
      </c>
      <c r="C294" s="15">
        <v>1021.97</v>
      </c>
      <c r="D294" s="15">
        <v>520.99</v>
      </c>
      <c r="E294" s="15"/>
      <c r="F294" s="15"/>
      <c r="G294" s="15">
        <v>3828.01</v>
      </c>
      <c r="H294" s="15">
        <v>0</v>
      </c>
      <c r="I294" s="15">
        <v>284.62</v>
      </c>
      <c r="J294" s="15"/>
      <c r="K294" s="15">
        <v>0</v>
      </c>
      <c r="L294" s="15">
        <f t="shared" ref="L294:L296" si="49">C294+D294+E294+F294+G294+H294+I294+J294+K294</f>
        <v>5655.59</v>
      </c>
    </row>
    <row r="295" spans="1:12" s="6" customFormat="1" ht="21" customHeight="1">
      <c r="A295" s="2" t="s">
        <v>28</v>
      </c>
      <c r="B295" s="4" t="s">
        <v>59</v>
      </c>
      <c r="C295" s="15">
        <v>0</v>
      </c>
      <c r="D295" s="15"/>
      <c r="E295" s="15"/>
      <c r="F295" s="15"/>
      <c r="G295" s="15">
        <v>11375.71</v>
      </c>
      <c r="H295" s="15">
        <v>0</v>
      </c>
      <c r="I295" s="15"/>
      <c r="J295" s="15"/>
      <c r="K295" s="15"/>
      <c r="L295" s="15">
        <f t="shared" si="49"/>
        <v>11375.71</v>
      </c>
    </row>
    <row r="296" spans="1:12" s="12" customFormat="1" ht="20.100000000000001" customHeight="1">
      <c r="A296" s="2" t="s">
        <v>28</v>
      </c>
      <c r="B296" s="4" t="s">
        <v>60</v>
      </c>
      <c r="C296" s="15">
        <v>0</v>
      </c>
      <c r="D296" s="15"/>
      <c r="E296" s="15"/>
      <c r="F296" s="15"/>
      <c r="G296" s="15"/>
      <c r="H296" s="15">
        <v>0</v>
      </c>
      <c r="I296" s="15"/>
      <c r="J296" s="15"/>
      <c r="K296" s="15"/>
      <c r="L296" s="15">
        <f t="shared" si="49"/>
        <v>0</v>
      </c>
    </row>
    <row r="297" spans="1:12" s="12" customFormat="1" ht="20.100000000000001" customHeight="1">
      <c r="A297" s="2" t="s">
        <v>51</v>
      </c>
      <c r="B297" s="4" t="s">
        <v>19</v>
      </c>
      <c r="C297" s="15"/>
      <c r="D297" s="15"/>
      <c r="E297" s="15"/>
      <c r="F297" s="15"/>
      <c r="G297" s="15"/>
      <c r="H297" s="15">
        <v>123121.22</v>
      </c>
      <c r="I297" s="15">
        <v>51679.17</v>
      </c>
      <c r="J297" s="15">
        <v>79500.5</v>
      </c>
      <c r="K297" s="15">
        <v>47335.96</v>
      </c>
      <c r="L297" s="15">
        <f t="shared" ref="L297:L299" si="50">SUM(C297:K297)</f>
        <v>301636.85000000003</v>
      </c>
    </row>
    <row r="298" spans="1:12" s="12" customFormat="1" ht="20.100000000000001" customHeight="1">
      <c r="A298" s="2" t="s">
        <v>51</v>
      </c>
      <c r="B298" s="4" t="s">
        <v>20</v>
      </c>
      <c r="C298" s="15"/>
      <c r="D298" s="15"/>
      <c r="E298" s="15"/>
      <c r="F298" s="15"/>
      <c r="G298" s="15"/>
      <c r="H298" s="15">
        <v>0</v>
      </c>
      <c r="I298" s="15">
        <v>0</v>
      </c>
      <c r="J298" s="15">
        <v>0</v>
      </c>
      <c r="K298" s="15">
        <v>0</v>
      </c>
      <c r="L298" s="15">
        <f t="shared" si="50"/>
        <v>0</v>
      </c>
    </row>
    <row r="299" spans="1:12" s="6" customFormat="1" ht="21" customHeight="1">
      <c r="A299" s="2" t="s">
        <v>51</v>
      </c>
      <c r="B299" s="4" t="s">
        <v>21</v>
      </c>
      <c r="C299" s="15"/>
      <c r="D299" s="15"/>
      <c r="E299" s="15"/>
      <c r="F299" s="15"/>
      <c r="G299" s="15"/>
      <c r="H299" s="15">
        <v>0</v>
      </c>
      <c r="I299" s="15">
        <v>22197.599999999999</v>
      </c>
      <c r="J299" s="15">
        <f>18348.6</f>
        <v>18348.599999999999</v>
      </c>
      <c r="K299" s="15">
        <v>18648</v>
      </c>
      <c r="L299" s="15">
        <f t="shared" si="50"/>
        <v>59194.2</v>
      </c>
    </row>
    <row r="300" spans="1:12" s="6" customFormat="1" ht="21" customHeight="1">
      <c r="A300" s="2" t="s">
        <v>79</v>
      </c>
      <c r="B300" s="4" t="s">
        <v>58</v>
      </c>
      <c r="C300" s="15">
        <v>0</v>
      </c>
      <c r="D300" s="15"/>
      <c r="E300" s="15"/>
      <c r="F300" s="15"/>
      <c r="G300" s="15"/>
      <c r="H300" s="15">
        <v>295.61</v>
      </c>
      <c r="I300" s="15">
        <v>602</v>
      </c>
      <c r="J300" s="15"/>
      <c r="K300" s="15">
        <v>0</v>
      </c>
      <c r="L300" s="15">
        <f t="shared" ref="L300:L302" si="51">C300+D300+E300+F300+G300+H300+I300+J300+K300</f>
        <v>897.61</v>
      </c>
    </row>
    <row r="301" spans="1:12" s="6" customFormat="1" ht="21" customHeight="1">
      <c r="A301" s="2" t="s">
        <v>79</v>
      </c>
      <c r="B301" s="4" t="s">
        <v>59</v>
      </c>
      <c r="C301" s="15">
        <v>0</v>
      </c>
      <c r="D301" s="15"/>
      <c r="E301" s="15"/>
      <c r="F301" s="15"/>
      <c r="G301" s="15"/>
      <c r="H301" s="15">
        <v>0</v>
      </c>
      <c r="I301" s="15"/>
      <c r="J301" s="15"/>
      <c r="K301" s="15"/>
      <c r="L301" s="15">
        <f t="shared" si="51"/>
        <v>0</v>
      </c>
    </row>
    <row r="302" spans="1:12" s="12" customFormat="1" ht="20.100000000000001" customHeight="1">
      <c r="A302" s="2" t="s">
        <v>79</v>
      </c>
      <c r="B302" s="4" t="s">
        <v>60</v>
      </c>
      <c r="C302" s="15">
        <v>0</v>
      </c>
      <c r="D302" s="15"/>
      <c r="E302" s="15"/>
      <c r="F302" s="15"/>
      <c r="G302" s="15"/>
      <c r="H302" s="15">
        <v>0</v>
      </c>
      <c r="I302" s="15"/>
      <c r="J302" s="15"/>
      <c r="K302" s="15"/>
      <c r="L302" s="15">
        <f t="shared" si="51"/>
        <v>0</v>
      </c>
    </row>
    <row r="303" spans="1:12" s="12" customFormat="1" ht="20.100000000000001" customHeight="1">
      <c r="A303" s="2" t="s">
        <v>52</v>
      </c>
      <c r="B303" s="4" t="s">
        <v>19</v>
      </c>
      <c r="C303" s="15"/>
      <c r="D303" s="15"/>
      <c r="E303" s="15"/>
      <c r="F303" s="15"/>
      <c r="G303" s="15"/>
      <c r="H303" s="15">
        <v>96900.07</v>
      </c>
      <c r="I303" s="15">
        <v>20351.510000000002</v>
      </c>
      <c r="J303" s="15">
        <v>34397.119999999995</v>
      </c>
      <c r="K303" s="15">
        <v>47560.770000000004</v>
      </c>
      <c r="L303" s="15">
        <f t="shared" ref="L303:L305" si="52">SUM(C303:K303)</f>
        <v>199209.47000000003</v>
      </c>
    </row>
    <row r="304" spans="1:12" s="12" customFormat="1" ht="20.100000000000001" customHeight="1">
      <c r="A304" s="2" t="s">
        <v>52</v>
      </c>
      <c r="B304" s="4" t="s">
        <v>20</v>
      </c>
      <c r="C304" s="15"/>
      <c r="D304" s="15"/>
      <c r="E304" s="15"/>
      <c r="F304" s="15"/>
      <c r="G304" s="15"/>
      <c r="H304" s="15">
        <f>ROUND(H303*0.04,2)</f>
        <v>3876</v>
      </c>
      <c r="I304" s="15">
        <f t="shared" ref="I304:K304" si="53">ROUND(I303*0.04,2)</f>
        <v>814.06</v>
      </c>
      <c r="J304" s="15">
        <f t="shared" si="53"/>
        <v>1375.88</v>
      </c>
      <c r="K304" s="15">
        <f t="shared" si="53"/>
        <v>1902.43</v>
      </c>
      <c r="L304" s="15">
        <f t="shared" si="52"/>
        <v>7968.37</v>
      </c>
    </row>
    <row r="305" spans="1:12" s="6" customFormat="1" ht="21" customHeight="1">
      <c r="A305" s="2" t="s">
        <v>52</v>
      </c>
      <c r="B305" s="4" t="s">
        <v>21</v>
      </c>
      <c r="C305" s="15"/>
      <c r="D305" s="15"/>
      <c r="E305" s="15"/>
      <c r="F305" s="15"/>
      <c r="G305" s="15"/>
      <c r="H305" s="15"/>
      <c r="I305" s="15"/>
      <c r="J305" s="15">
        <v>18232.52</v>
      </c>
      <c r="K305" s="15">
        <v>15509.76</v>
      </c>
      <c r="L305" s="15">
        <f t="shared" si="52"/>
        <v>33742.28</v>
      </c>
    </row>
    <row r="306" spans="1:12" s="6" customFormat="1" ht="21" customHeight="1">
      <c r="A306" s="2" t="s">
        <v>82</v>
      </c>
      <c r="B306" s="4" t="s">
        <v>58</v>
      </c>
      <c r="C306" s="15">
        <v>0</v>
      </c>
      <c r="D306" s="15"/>
      <c r="E306" s="15"/>
      <c r="F306" s="15"/>
      <c r="G306" s="15"/>
      <c r="H306" s="15">
        <v>8686.42</v>
      </c>
      <c r="I306" s="15">
        <v>312.5</v>
      </c>
      <c r="J306" s="15">
        <v>1212.27</v>
      </c>
      <c r="K306" s="15">
        <v>6198.95</v>
      </c>
      <c r="L306" s="15">
        <f t="shared" ref="L306:L308" si="54">C306+D306+E306+F306+G306+H306+I306+J306+K306</f>
        <v>16410.14</v>
      </c>
    </row>
    <row r="307" spans="1:12" s="6" customFormat="1" ht="21" customHeight="1">
      <c r="A307" s="2" t="s">
        <v>82</v>
      </c>
      <c r="B307" s="4" t="s">
        <v>59</v>
      </c>
      <c r="C307" s="15">
        <v>0</v>
      </c>
      <c r="D307" s="15"/>
      <c r="E307" s="15"/>
      <c r="F307" s="15"/>
      <c r="G307" s="15"/>
      <c r="H307" s="15">
        <v>0</v>
      </c>
      <c r="I307" s="15"/>
      <c r="J307" s="15"/>
      <c r="K307" s="15"/>
      <c r="L307" s="15">
        <f t="shared" si="54"/>
        <v>0</v>
      </c>
    </row>
    <row r="308" spans="1:12" s="12" customFormat="1" ht="20.100000000000001" customHeight="1">
      <c r="A308" s="2" t="s">
        <v>82</v>
      </c>
      <c r="B308" s="4" t="s">
        <v>60</v>
      </c>
      <c r="C308" s="15">
        <v>0</v>
      </c>
      <c r="D308" s="15"/>
      <c r="E308" s="15"/>
      <c r="F308" s="15"/>
      <c r="G308" s="15"/>
      <c r="H308" s="15">
        <v>0</v>
      </c>
      <c r="I308" s="15"/>
      <c r="J308" s="15"/>
      <c r="K308" s="15"/>
      <c r="L308" s="15">
        <f t="shared" si="54"/>
        <v>0</v>
      </c>
    </row>
    <row r="309" spans="1:12" s="12" customFormat="1" ht="20.100000000000001" customHeight="1">
      <c r="A309" s="5" t="s">
        <v>50</v>
      </c>
      <c r="B309" s="4" t="s">
        <v>19</v>
      </c>
      <c r="C309" s="15">
        <f t="shared" ref="C309:J309" si="55">C279+C171+C2+C8+C14+C20+C225+C231+C147+C153+C159+C74+C80+C92+C165+C26+C98+C32+C104+C237+C177+C183+C189+C111+C243+C117+C195+C249+C255+C261+C50+C267+C207+C38+C44+C123+C273+C129+C285+C56+C291+C135+C201+C62+C303+C297+C219+C213+C68+C86+C141</f>
        <v>6203667.2899999982</v>
      </c>
      <c r="D309" s="15">
        <f t="shared" si="55"/>
        <v>6915600.6799999988</v>
      </c>
      <c r="E309" s="15">
        <f t="shared" si="55"/>
        <v>6823935.7500000009</v>
      </c>
      <c r="F309" s="15">
        <f t="shared" si="55"/>
        <v>6514304.8100000005</v>
      </c>
      <c r="G309" s="15">
        <f t="shared" si="55"/>
        <v>5240711.95</v>
      </c>
      <c r="H309" s="15">
        <f t="shared" si="55"/>
        <v>9770212.459999999</v>
      </c>
      <c r="I309" s="15">
        <f t="shared" si="55"/>
        <v>9189128.1099999994</v>
      </c>
      <c r="J309" s="15">
        <f t="shared" si="55"/>
        <v>8964603.5299999993</v>
      </c>
      <c r="K309" s="15">
        <f>K279+K171+K2+K8+K14+K20+K225+K231+K147+K153+K159+K74+K80+K92+K165+K26+K98+K32+K104+K237+K177+K183+K189+K111+K243+K117+K195+K249+K255+K261+K50+K267+K207+K38+K44+K123+K273+K129+K285+K56+K291+K135+K201+K62+K303+K297+K219+K213+K68+K86+K141</f>
        <v>10085355.290000001</v>
      </c>
      <c r="L309" s="15">
        <f>L279+L171+L2+L8+L14+L20+L225+L231+L147+L153+L159+L74+L80+L92+L165+L26+L98+L32+L104+L237+L177+L183+L189+L111+L243+L117+L195+L249+L255+L261+L50+L267+L207+L38+L44+L123+L273+L129+L285+L56+L291+L135+L201+L62+L303+L297+L219+L213+L68+L86+L141</f>
        <v>69707519.86999999</v>
      </c>
    </row>
    <row r="310" spans="1:12" s="12" customFormat="1" ht="20.100000000000001" customHeight="1">
      <c r="A310" s="5" t="s">
        <v>18</v>
      </c>
      <c r="B310" s="4" t="s">
        <v>20</v>
      </c>
      <c r="C310" s="15">
        <f t="shared" ref="C310:J310" si="56">C280+C172+C3+C9+C15+C21+C226+C232+C148+C154+C160+C75+C81+C93+C166+C27+C99+C33+C105+C238+C178+C184+C190+C112+C244+C118+C196+C250+C256+C262+C51+C268+C208+C39+C45+C124+C274+C130+C286+C57+C292+C136+C202+C63+C298+C304+C142+C69+C214+C220</f>
        <v>251995.12999999998</v>
      </c>
      <c r="D310" s="15">
        <f t="shared" si="56"/>
        <v>312547.87000000005</v>
      </c>
      <c r="E310" s="15">
        <f t="shared" si="56"/>
        <v>286511.01</v>
      </c>
      <c r="F310" s="15">
        <f t="shared" si="56"/>
        <v>277794.34999999998</v>
      </c>
      <c r="G310" s="15">
        <f t="shared" si="56"/>
        <v>253350.53000000003</v>
      </c>
      <c r="H310" s="15">
        <f t="shared" si="56"/>
        <v>428033.80000000005</v>
      </c>
      <c r="I310" s="15">
        <f t="shared" si="56"/>
        <v>483349.51000000013</v>
      </c>
      <c r="J310" s="15">
        <f t="shared" si="56"/>
        <v>454326.68999999994</v>
      </c>
      <c r="K310" s="15">
        <f>K280+K172+K3+K9+K15+K21+K226+K232+K148+K154+K160+K75+K81+K93+K166+K27+K99+K33+K105+K238+K178+K184+K190+K112+K244+K118+K196+K250+K256+K262+K51+K268+K208+K39+K45+K124+K274+K130+K286+K57+K292+K136+K202+K63+K298+K304+K142+K69+K214+K220</f>
        <v>532436.04999999993</v>
      </c>
      <c r="L310" s="15">
        <f t="shared" ref="L310:L311" si="57">SUM(C310:K310)</f>
        <v>3280344.94</v>
      </c>
    </row>
    <row r="311" spans="1:12" s="6" customFormat="1" ht="20.100000000000001" customHeight="1">
      <c r="A311" s="5" t="s">
        <v>18</v>
      </c>
      <c r="B311" s="4" t="s">
        <v>21</v>
      </c>
      <c r="C311" s="15">
        <f t="shared" ref="C311:J311" si="58">C4+C10+C16+C22+C28+C34+C40+C46+C52+C58+C64+C70+C76+C82+C88+C94+C100+C107+C113+C119+C125+C131+C137+C143+C149+C155+C161+C167+C173+C179+C185+C191+C197+C203+C209+C215+C221+C227+C233+C239+C245+C251+C257+C263+C269+C275+C281+C287+C293+C299+C305</f>
        <v>1916620.8100000003</v>
      </c>
      <c r="D311" s="15">
        <f t="shared" si="58"/>
        <v>1867504.42</v>
      </c>
      <c r="E311" s="15">
        <f t="shared" si="58"/>
        <v>1435851.5449999999</v>
      </c>
      <c r="F311" s="15">
        <f t="shared" si="58"/>
        <v>1132759.675</v>
      </c>
      <c r="G311" s="15">
        <f t="shared" si="58"/>
        <v>984275.77499999991</v>
      </c>
      <c r="H311" s="15">
        <f t="shared" si="58"/>
        <v>1014806.5649999998</v>
      </c>
      <c r="I311" s="15">
        <f t="shared" si="58"/>
        <v>1607690.45</v>
      </c>
      <c r="J311" s="15">
        <f t="shared" si="58"/>
        <v>2076733.4560000005</v>
      </c>
      <c r="K311" s="15">
        <f>K4+K10+K16+K22+K28+K34+K40+K46+K52+K58+K64+K70+K76+K82+K88+K94+K100+K107+K113+K119+K125+K131+K137+K143+K149+K155+K161+K167+K173+K179+K185+K191+K197+K203+K209+K215+K221+K227+K233+K239+K245+K251+K257+K263+K269+K275+K281+K287+K293+K299+K305</f>
        <v>2769359.9899999993</v>
      </c>
      <c r="L311" s="15">
        <f t="shared" si="57"/>
        <v>14805602.685999997</v>
      </c>
    </row>
    <row r="312" spans="1:12" s="6" customFormat="1" ht="20.100000000000001" customHeight="1">
      <c r="A312" s="5" t="s">
        <v>18</v>
      </c>
      <c r="B312" s="4" t="s">
        <v>58</v>
      </c>
      <c r="C312" s="5">
        <f t="shared" ref="C312:K312" si="59">C222++C216+C71+C144+C306+C300+C65+C204+C138+C294+C59+C288+C282+C132+C276+C47+C126+C41+C210+C270+C53+C264+C258+C252+C198+C120+C246+C114+C192+C186+C180+C240+C174+C108+C35+C101+C29+C168+C95+C89+C83+C77+C162+C156+C150+C234+C228+C23+C17+C11+C5</f>
        <v>123954.91</v>
      </c>
      <c r="D312" s="5">
        <f t="shared" si="59"/>
        <v>114631.87000000001</v>
      </c>
      <c r="E312" s="5">
        <f t="shared" si="59"/>
        <v>156409.57000000004</v>
      </c>
      <c r="F312" s="5">
        <f t="shared" si="59"/>
        <v>104300.09000000001</v>
      </c>
      <c r="G312" s="5">
        <f t="shared" si="59"/>
        <v>113402.43</v>
      </c>
      <c r="H312" s="5">
        <f t="shared" si="59"/>
        <v>260646.06999999998</v>
      </c>
      <c r="I312" s="5">
        <f t="shared" si="59"/>
        <v>68460.92</v>
      </c>
      <c r="J312" s="5">
        <f t="shared" si="59"/>
        <v>172896.46000000008</v>
      </c>
      <c r="K312" s="5">
        <f t="shared" si="59"/>
        <v>140442.76999999996</v>
      </c>
      <c r="L312" s="5">
        <f t="shared" ref="L312:L314" si="60">C312+D312+E312+F312+G312+H312+I312+J312+K312</f>
        <v>1255145.0900000003</v>
      </c>
    </row>
    <row r="313" spans="1:12" ht="20.100000000000001" customHeight="1">
      <c r="A313" s="5" t="s">
        <v>18</v>
      </c>
      <c r="B313" s="4" t="s">
        <v>59</v>
      </c>
      <c r="C313" s="5">
        <f t="shared" ref="C313:K313" si="61">C223+C217+C72+C145+C307+C301+C66+C205+C139+C295+C60+C289+C283+C133+C277+C48+C127+C42+C211+C271+C54+C265+C259+C253+C199+C121+C247+C115+C193+C187+C181+C241+C175+C109+C36+C102+C30+C169+C96+C90+C84+C78+C163+C157+C151+C235+C229+C24+C18+C12+C6</f>
        <v>146142.04</v>
      </c>
      <c r="D313" s="5">
        <f t="shared" si="61"/>
        <v>75461.17</v>
      </c>
      <c r="E313" s="5">
        <f t="shared" si="61"/>
        <v>0</v>
      </c>
      <c r="F313" s="5">
        <f t="shared" si="61"/>
        <v>10256.42</v>
      </c>
      <c r="G313" s="5">
        <f t="shared" si="61"/>
        <v>14174.859999999999</v>
      </c>
      <c r="H313" s="5">
        <f t="shared" si="61"/>
        <v>20439.45</v>
      </c>
      <c r="I313" s="5">
        <f t="shared" si="61"/>
        <v>0</v>
      </c>
      <c r="J313" s="5">
        <f t="shared" si="61"/>
        <v>34491.1</v>
      </c>
      <c r="K313" s="5">
        <f t="shared" si="61"/>
        <v>0</v>
      </c>
      <c r="L313" s="5">
        <f t="shared" si="60"/>
        <v>300965.03999999998</v>
      </c>
    </row>
    <row r="314" spans="1:12" s="12" customFormat="1" ht="20.100000000000001" customHeight="1">
      <c r="A314" s="5" t="s">
        <v>18</v>
      </c>
      <c r="B314" s="4" t="s">
        <v>60</v>
      </c>
      <c r="C314" s="5">
        <f t="shared" ref="C314:K314" si="62">C224+C218+C73+C146+C308+C302+C67+C206+C140+C296+C61+C290+C284+C134+C278+C49+C128+C43+C212+C272+C55+C266+C260+C254+C200+C122+C248+C116+C194+C188+C182+C242+C176+C110+C37+C103+C31+C170+C97+C91+C85+C79+C164+C158+C152+C236+C230+C25+C19+C13+C7</f>
        <v>22056.78</v>
      </c>
      <c r="D314" s="5">
        <f t="shared" si="62"/>
        <v>0</v>
      </c>
      <c r="E314" s="5">
        <f t="shared" si="62"/>
        <v>0</v>
      </c>
      <c r="F314" s="5">
        <f t="shared" si="62"/>
        <v>0</v>
      </c>
      <c r="G314" s="5">
        <f t="shared" si="62"/>
        <v>0</v>
      </c>
      <c r="H314" s="5">
        <f t="shared" si="62"/>
        <v>78621.81</v>
      </c>
      <c r="I314" s="5">
        <f t="shared" si="62"/>
        <v>6000</v>
      </c>
      <c r="J314" s="5">
        <f t="shared" si="62"/>
        <v>22365.440000000002</v>
      </c>
      <c r="K314" s="5">
        <f t="shared" si="62"/>
        <v>2940</v>
      </c>
      <c r="L314" s="5">
        <f t="shared" si="60"/>
        <v>131984.03</v>
      </c>
    </row>
    <row r="315" spans="1:12" s="12" customFormat="1" ht="20.100000000000001" customHeight="1">
      <c r="A315" s="3"/>
      <c r="B315" s="3"/>
      <c r="C315" s="10"/>
      <c r="D315" s="10"/>
      <c r="E315" s="10"/>
      <c r="F315" s="10"/>
      <c r="G315" s="10"/>
      <c r="H315" s="9"/>
      <c r="I315" s="9"/>
      <c r="J315" s="9"/>
      <c r="K315" s="9"/>
      <c r="L315" s="9"/>
    </row>
    <row r="316" spans="1:12" s="12" customFormat="1" ht="20.100000000000001" customHeight="1">
      <c r="A316" s="3"/>
      <c r="B316" s="3"/>
      <c r="C316" s="9"/>
      <c r="D316" s="9"/>
      <c r="E316" s="9"/>
      <c r="F316" s="9"/>
      <c r="G316" s="9"/>
      <c r="H316" s="9"/>
      <c r="I316" s="9"/>
      <c r="J316" s="9"/>
      <c r="K316" s="9"/>
      <c r="L316" s="9"/>
    </row>
  </sheetData>
  <autoFilter ref="A1:L314" xr:uid="{00000000-0009-0000-0000-000000000000}"/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2017年收入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Sandyyuan</dc:creator>
  <cp:lastModifiedBy>qiqiang</cp:lastModifiedBy>
  <cp:lastPrinted>2016-07-13T02:45:27Z</cp:lastPrinted>
  <dcterms:created xsi:type="dcterms:W3CDTF">2015-08-06T17:33:03Z</dcterms:created>
  <dcterms:modified xsi:type="dcterms:W3CDTF">2019-06-28T09:12:57Z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f5be861f-3c5f-4785-bbf5-dfe2ee2b9bf0</vt:lpwstr>
  </property>
</Properties>
</file>