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15" windowWidth="16185" windowHeight="8055"/>
  </bookViews>
  <sheets>
    <sheet name="2018年收入" sheetId="18" r:id="rId1"/>
    <sheet name="Sheet1" sheetId="19" r:id="rId2"/>
  </sheets>
  <externalReferences>
    <externalReference r:id="rId3"/>
  </externalReferences>
  <definedNames>
    <definedName name="_xlnm._FilterDatabase" localSheetId="0" hidden="1">'2018年收入'!$A$3:$V$357</definedName>
  </definedNames>
  <calcPr calcId="145621"/>
</workbook>
</file>

<file path=xl/calcChain.xml><?xml version="1.0" encoding="utf-8"?>
<calcChain xmlns="http://schemas.openxmlformats.org/spreadsheetml/2006/main">
  <c r="W194" i="18" l="1"/>
  <c r="W188" i="18"/>
  <c r="M354" i="18" l="1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2" i="19"/>
  <c r="O323" i="18" l="1"/>
  <c r="O329" i="18"/>
  <c r="I151" i="18"/>
  <c r="L107" i="18"/>
  <c r="L175" i="18"/>
  <c r="J157" i="18"/>
  <c r="M169" i="18" l="1"/>
  <c r="N169" i="18" s="1"/>
  <c r="L254" i="18"/>
  <c r="D127" i="18"/>
  <c r="E200" i="18"/>
  <c r="L181" i="18"/>
  <c r="J236" i="18"/>
  <c r="I346" i="18"/>
  <c r="K285" i="18"/>
  <c r="J285" i="18"/>
  <c r="L303" i="18"/>
  <c r="K303" i="18"/>
  <c r="J303" i="18"/>
  <c r="I303" i="18"/>
  <c r="H303" i="18"/>
  <c r="K291" i="18"/>
  <c r="F94" i="18"/>
  <c r="E94" i="18"/>
  <c r="E194" i="18"/>
  <c r="L88" i="18" l="1"/>
  <c r="L76" i="18"/>
  <c r="J132" i="18"/>
  <c r="L339" i="18"/>
  <c r="J339" i="18"/>
  <c r="I339" i="18"/>
  <c r="H339" i="18"/>
  <c r="L230" i="18"/>
  <c r="H230" i="18"/>
  <c r="D163" i="18"/>
  <c r="L321" i="18"/>
  <c r="L150" i="18"/>
  <c r="H242" i="18"/>
  <c r="J242" i="18"/>
  <c r="I245" i="18" l="1"/>
  <c r="I342" i="18"/>
  <c r="I123" i="18"/>
  <c r="M178" i="18"/>
  <c r="I31" i="18"/>
  <c r="P350" i="18" l="1"/>
  <c r="P349" i="18"/>
  <c r="P348" i="18"/>
  <c r="P347" i="18"/>
  <c r="P346" i="18"/>
  <c r="P344" i="18"/>
  <c r="P343" i="18"/>
  <c r="P342" i="18"/>
  <c r="P341" i="18"/>
  <c r="P340" i="18"/>
  <c r="P338" i="18"/>
  <c r="P337" i="18"/>
  <c r="P336" i="18"/>
  <c r="P335" i="18"/>
  <c r="P334" i="18"/>
  <c r="P332" i="18"/>
  <c r="P331" i="18"/>
  <c r="P330" i="18"/>
  <c r="P329" i="18"/>
  <c r="P328" i="18"/>
  <c r="P326" i="18"/>
  <c r="P325" i="18"/>
  <c r="P324" i="18"/>
  <c r="P323" i="18"/>
  <c r="P322" i="18"/>
  <c r="P320" i="18"/>
  <c r="P319" i="18"/>
  <c r="P318" i="18"/>
  <c r="P317" i="18"/>
  <c r="P316" i="18"/>
  <c r="P308" i="18"/>
  <c r="P307" i="18"/>
  <c r="P306" i="18"/>
  <c r="P305" i="18"/>
  <c r="P304" i="18"/>
  <c r="P302" i="18"/>
  <c r="P301" i="18"/>
  <c r="P300" i="18"/>
  <c r="P299" i="18"/>
  <c r="P298" i="18"/>
  <c r="P296" i="18"/>
  <c r="P295" i="18"/>
  <c r="P294" i="18"/>
  <c r="P293" i="18"/>
  <c r="P292" i="18"/>
  <c r="P290" i="18"/>
  <c r="P289" i="18"/>
  <c r="P288" i="18"/>
  <c r="P287" i="18"/>
  <c r="P286" i="18"/>
  <c r="P265" i="18"/>
  <c r="P264" i="18"/>
  <c r="P263" i="18"/>
  <c r="P262" i="18"/>
  <c r="P261" i="18"/>
  <c r="P259" i="18"/>
  <c r="P258" i="18"/>
  <c r="P257" i="18"/>
  <c r="P256" i="18"/>
  <c r="P255" i="18"/>
  <c r="P253" i="18"/>
  <c r="P252" i="18"/>
  <c r="P251" i="18"/>
  <c r="P250" i="18"/>
  <c r="P249" i="18"/>
  <c r="P247" i="18"/>
  <c r="P246" i="18"/>
  <c r="P245" i="18"/>
  <c r="P244" i="18"/>
  <c r="P243" i="18"/>
  <c r="P241" i="18"/>
  <c r="P240" i="18"/>
  <c r="P239" i="18"/>
  <c r="P238" i="18"/>
  <c r="P237" i="18"/>
  <c r="P235" i="18"/>
  <c r="P234" i="18"/>
  <c r="P233" i="18"/>
  <c r="P232" i="18"/>
  <c r="P231" i="18"/>
  <c r="P229" i="18"/>
  <c r="P228" i="18"/>
  <c r="P227" i="18"/>
  <c r="P226" i="18"/>
  <c r="P225" i="18"/>
  <c r="P223" i="18"/>
  <c r="P222" i="18"/>
  <c r="P221" i="18"/>
  <c r="P220" i="18"/>
  <c r="P219" i="18"/>
  <c r="P217" i="18"/>
  <c r="P216" i="18"/>
  <c r="P215" i="18"/>
  <c r="P214" i="18"/>
  <c r="P213" i="18"/>
  <c r="P211" i="18"/>
  <c r="P210" i="18"/>
  <c r="P209" i="18"/>
  <c r="P208" i="18"/>
  <c r="P207" i="18"/>
  <c r="P205" i="18"/>
  <c r="P204" i="18"/>
  <c r="P203" i="18"/>
  <c r="P202" i="18"/>
  <c r="P201" i="18"/>
  <c r="P199" i="18"/>
  <c r="P198" i="18"/>
  <c r="P197" i="18"/>
  <c r="P196" i="18"/>
  <c r="P195" i="18"/>
  <c r="P193" i="18"/>
  <c r="P192" i="18"/>
  <c r="P191" i="18"/>
  <c r="P190" i="18"/>
  <c r="P189" i="18"/>
  <c r="P186" i="18"/>
  <c r="P185" i="18"/>
  <c r="P184" i="18"/>
  <c r="P183" i="18"/>
  <c r="P182" i="18"/>
  <c r="P180" i="18"/>
  <c r="P179" i="18"/>
  <c r="P178" i="18"/>
  <c r="P177" i="18"/>
  <c r="P176" i="18"/>
  <c r="P174" i="18"/>
  <c r="P173" i="18"/>
  <c r="P172" i="18"/>
  <c r="P171" i="18"/>
  <c r="P170" i="18"/>
  <c r="P168" i="18"/>
  <c r="P167" i="18"/>
  <c r="P166" i="18"/>
  <c r="P165" i="18"/>
  <c r="P164" i="18"/>
  <c r="P162" i="18"/>
  <c r="P161" i="18"/>
  <c r="P160" i="18"/>
  <c r="P159" i="18"/>
  <c r="P158" i="18"/>
  <c r="P156" i="18"/>
  <c r="P155" i="18"/>
  <c r="P154" i="18"/>
  <c r="P153" i="18"/>
  <c r="P152" i="18"/>
  <c r="P151" i="18"/>
  <c r="P149" i="18"/>
  <c r="P148" i="18"/>
  <c r="P147" i="18"/>
  <c r="P146" i="18"/>
  <c r="P145" i="18"/>
  <c r="P143" i="18"/>
  <c r="P142" i="18"/>
  <c r="P141" i="18"/>
  <c r="P140" i="18"/>
  <c r="P139" i="18"/>
  <c r="P137" i="18"/>
  <c r="P136" i="18"/>
  <c r="P135" i="18"/>
  <c r="P134" i="18"/>
  <c r="P133" i="18"/>
  <c r="P131" i="18"/>
  <c r="P130" i="18"/>
  <c r="P129" i="18"/>
  <c r="P128" i="18"/>
  <c r="P127" i="18"/>
  <c r="P125" i="18"/>
  <c r="P124" i="18"/>
  <c r="P123" i="18"/>
  <c r="P122" i="18"/>
  <c r="P121" i="18"/>
  <c r="P119" i="18"/>
  <c r="P118" i="18"/>
  <c r="P117" i="18"/>
  <c r="P116" i="18"/>
  <c r="P115" i="18"/>
  <c r="P99" i="18"/>
  <c r="P98" i="18"/>
  <c r="P97" i="18"/>
  <c r="P96" i="18"/>
  <c r="P95" i="18"/>
  <c r="P93" i="18"/>
  <c r="P92" i="18"/>
  <c r="P91" i="18"/>
  <c r="P90" i="18"/>
  <c r="P89" i="18"/>
  <c r="P87" i="18"/>
  <c r="P86" i="18"/>
  <c r="P85" i="18"/>
  <c r="P84" i="18"/>
  <c r="P83" i="18"/>
  <c r="P81" i="18"/>
  <c r="P80" i="18"/>
  <c r="P79" i="18"/>
  <c r="P78" i="18"/>
  <c r="P77" i="18"/>
  <c r="P75" i="18"/>
  <c r="P74" i="18"/>
  <c r="P73" i="18"/>
  <c r="P72" i="18"/>
  <c r="P71" i="18"/>
  <c r="P69" i="18"/>
  <c r="P68" i="18"/>
  <c r="P67" i="18"/>
  <c r="P66" i="18"/>
  <c r="P65" i="18"/>
  <c r="P63" i="18"/>
  <c r="P62" i="18"/>
  <c r="P61" i="18"/>
  <c r="P60" i="18"/>
  <c r="P59" i="18"/>
  <c r="P57" i="18"/>
  <c r="P56" i="18"/>
  <c r="P55" i="18"/>
  <c r="P54" i="18"/>
  <c r="P53" i="18"/>
  <c r="P51" i="18"/>
  <c r="P50" i="18"/>
  <c r="P49" i="18"/>
  <c r="P48" i="18"/>
  <c r="P47" i="18"/>
  <c r="P45" i="18"/>
  <c r="P44" i="18"/>
  <c r="P43" i="18"/>
  <c r="P42" i="18"/>
  <c r="P41" i="18"/>
  <c r="P39" i="18"/>
  <c r="P38" i="18"/>
  <c r="P37" i="18"/>
  <c r="P36" i="18"/>
  <c r="P35" i="18"/>
  <c r="P33" i="18"/>
  <c r="P32" i="18"/>
  <c r="P31" i="18"/>
  <c r="P30" i="18"/>
  <c r="P29" i="18"/>
  <c r="P27" i="18"/>
  <c r="P26" i="18"/>
  <c r="P25" i="18"/>
  <c r="P24" i="18"/>
  <c r="P23" i="18"/>
  <c r="P21" i="18"/>
  <c r="P20" i="18"/>
  <c r="P19" i="18"/>
  <c r="P18" i="18"/>
  <c r="P17" i="18"/>
  <c r="P15" i="18"/>
  <c r="P14" i="18"/>
  <c r="P13" i="18"/>
  <c r="P12" i="18"/>
  <c r="P11" i="18"/>
  <c r="P9" i="18"/>
  <c r="P8" i="18"/>
  <c r="P7" i="18"/>
  <c r="P6" i="18"/>
  <c r="P5" i="18"/>
  <c r="O357" i="18"/>
  <c r="O356" i="18"/>
  <c r="O355" i="18"/>
  <c r="O354" i="18"/>
  <c r="O353" i="18"/>
  <c r="O352" i="18"/>
  <c r="L355" i="18"/>
  <c r="E354" i="18"/>
  <c r="F354" i="18"/>
  <c r="G354" i="18"/>
  <c r="H354" i="18"/>
  <c r="D357" i="18"/>
  <c r="E357" i="18"/>
  <c r="F357" i="18"/>
  <c r="G357" i="18"/>
  <c r="H357" i="18"/>
  <c r="I357" i="18"/>
  <c r="J357" i="18"/>
  <c r="K357" i="18"/>
  <c r="L357" i="18"/>
  <c r="D356" i="18"/>
  <c r="E356" i="18"/>
  <c r="F356" i="18"/>
  <c r="G356" i="18"/>
  <c r="H356" i="18"/>
  <c r="I356" i="18"/>
  <c r="J356" i="18"/>
  <c r="K356" i="18"/>
  <c r="L356" i="18"/>
  <c r="L132" i="18"/>
  <c r="I333" i="18"/>
  <c r="K333" i="18"/>
  <c r="L333" i="18"/>
  <c r="L236" i="18"/>
  <c r="K236" i="18"/>
  <c r="I236" i="18"/>
  <c r="M356" i="18" l="1"/>
  <c r="I327" i="18"/>
  <c r="J327" i="18"/>
  <c r="L327" i="18"/>
  <c r="K327" i="18"/>
  <c r="L266" i="18"/>
  <c r="K266" i="18"/>
  <c r="J266" i="18"/>
  <c r="I266" i="18"/>
  <c r="I260" i="18"/>
  <c r="K260" i="18"/>
  <c r="K194" i="18"/>
  <c r="J194" i="18"/>
  <c r="J188" i="18"/>
  <c r="L163" i="18"/>
  <c r="K163" i="18"/>
  <c r="I163" i="18"/>
  <c r="K150" i="18"/>
  <c r="I150" i="18"/>
  <c r="J138" i="18"/>
  <c r="I138" i="18"/>
  <c r="I132" i="18"/>
  <c r="I126" i="18"/>
  <c r="I94" i="18"/>
  <c r="J94" i="18"/>
  <c r="K88" i="18"/>
  <c r="J88" i="18"/>
  <c r="I88" i="18"/>
  <c r="H88" i="18"/>
  <c r="K82" i="18"/>
  <c r="H76" i="18"/>
  <c r="I76" i="18"/>
  <c r="J76" i="18"/>
  <c r="K76" i="18"/>
  <c r="J70" i="18"/>
  <c r="J52" i="18"/>
  <c r="L255" i="18"/>
  <c r="L352" i="18" l="1"/>
  <c r="L17" i="18"/>
  <c r="K329" i="18"/>
  <c r="J329" i="18"/>
  <c r="L329" i="18"/>
  <c r="I329" i="18"/>
  <c r="J323" i="18"/>
  <c r="L323" i="18"/>
  <c r="L354" i="18" s="1"/>
  <c r="K323" i="18"/>
  <c r="J354" i="18" l="1"/>
  <c r="K354" i="18"/>
  <c r="Q194" i="18"/>
  <c r="L5" i="18"/>
  <c r="L353" i="18" s="1"/>
  <c r="H346" i="18" l="1"/>
  <c r="J346" i="18"/>
  <c r="K346" i="18"/>
  <c r="K120" i="18" l="1"/>
  <c r="J175" i="18"/>
  <c r="J352" i="18" s="1"/>
  <c r="I169" i="18"/>
  <c r="M332" i="18"/>
  <c r="K89" i="18" l="1"/>
  <c r="K17" i="18"/>
  <c r="K11" i="18" l="1"/>
  <c r="K5" i="18" l="1"/>
  <c r="K353" i="18" s="1"/>
  <c r="K52" i="18"/>
  <c r="K352" i="18" s="1"/>
  <c r="H151" i="18" l="1"/>
  <c r="D355" i="18" l="1"/>
  <c r="E355" i="18"/>
  <c r="F355" i="18"/>
  <c r="G355" i="18"/>
  <c r="H355" i="18"/>
  <c r="K355" i="18"/>
  <c r="J355" i="18"/>
  <c r="I348" i="18"/>
  <c r="I355" i="18" s="1"/>
  <c r="M257" i="18"/>
  <c r="M355" i="18" l="1"/>
  <c r="M309" i="18"/>
  <c r="M310" i="18"/>
  <c r="M311" i="18"/>
  <c r="M312" i="18"/>
  <c r="M313" i="18"/>
  <c r="M314" i="18"/>
  <c r="R309" i="18" l="1"/>
  <c r="N314" i="18"/>
  <c r="N311" i="18"/>
  <c r="N309" i="18"/>
  <c r="N313" i="18"/>
  <c r="N312" i="18"/>
  <c r="N310" i="18"/>
  <c r="I273" i="18"/>
  <c r="M273" i="18" s="1"/>
  <c r="M283" i="18"/>
  <c r="M282" i="18"/>
  <c r="M281" i="18"/>
  <c r="M280" i="18"/>
  <c r="M279" i="18"/>
  <c r="M278" i="18"/>
  <c r="N278" i="18" s="1"/>
  <c r="M277" i="18"/>
  <c r="M276" i="18"/>
  <c r="M275" i="18"/>
  <c r="M274" i="18"/>
  <c r="M272" i="18"/>
  <c r="M357" i="18" l="1"/>
  <c r="N281" i="18"/>
  <c r="N273" i="18"/>
  <c r="N275" i="18"/>
  <c r="N277" i="18"/>
  <c r="N283" i="18"/>
  <c r="N279" i="18"/>
  <c r="N282" i="18"/>
  <c r="N280" i="18"/>
  <c r="R278" i="18"/>
  <c r="N276" i="18"/>
  <c r="N272" i="18"/>
  <c r="N274" i="18"/>
  <c r="R272" i="18"/>
  <c r="J17" i="18"/>
  <c r="J11" i="18"/>
  <c r="J5" i="18"/>
  <c r="J353" i="18" l="1"/>
  <c r="I242" i="18"/>
  <c r="I230" i="18"/>
  <c r="I100" i="18"/>
  <c r="I194" i="18"/>
  <c r="I188" i="18"/>
  <c r="I291" i="18"/>
  <c r="I285" i="18" l="1"/>
  <c r="M271" i="18"/>
  <c r="M270" i="18"/>
  <c r="M269" i="18"/>
  <c r="M268" i="18"/>
  <c r="M267" i="18"/>
  <c r="M266" i="18"/>
  <c r="H327" i="18"/>
  <c r="Q327" i="18"/>
  <c r="M112" i="18"/>
  <c r="M111" i="18"/>
  <c r="M110" i="18"/>
  <c r="M109" i="18"/>
  <c r="M108" i="18"/>
  <c r="M107" i="18"/>
  <c r="I64" i="18"/>
  <c r="R107" i="18" l="1"/>
  <c r="R266" i="18"/>
  <c r="N269" i="18"/>
  <c r="N267" i="18"/>
  <c r="N271" i="18"/>
  <c r="N268" i="18"/>
  <c r="N270" i="18"/>
  <c r="N266" i="18"/>
  <c r="N109" i="18"/>
  <c r="N110" i="18"/>
  <c r="N111" i="18"/>
  <c r="N112" i="18"/>
  <c r="N107" i="18"/>
  <c r="I323" i="18"/>
  <c r="I354" i="18" s="1"/>
  <c r="I52" i="18"/>
  <c r="I352" i="18" s="1"/>
  <c r="I11" i="18" l="1"/>
  <c r="I17" i="18"/>
  <c r="I5" i="18" l="1"/>
  <c r="I353" i="18" s="1"/>
  <c r="H120" i="18" l="1"/>
  <c r="H114" i="18"/>
  <c r="G132" i="18"/>
  <c r="H132" i="18"/>
  <c r="H260" i="18"/>
  <c r="G94" i="18"/>
  <c r="H94" i="18"/>
  <c r="G181" i="18"/>
  <c r="H64" i="18"/>
  <c r="H89" i="18"/>
  <c r="H353" i="18" s="1"/>
  <c r="H236" i="18"/>
  <c r="E333" i="18"/>
  <c r="H352" i="18" l="1"/>
  <c r="G150" i="18" l="1"/>
  <c r="G242" i="18"/>
  <c r="G88" i="18"/>
  <c r="G303" i="18"/>
  <c r="G285" i="18"/>
  <c r="G82" i="18"/>
  <c r="G236" i="18"/>
  <c r="G89" i="18" l="1"/>
  <c r="G71" i="18" l="1"/>
  <c r="G52" i="18"/>
  <c r="G352" i="18" s="1"/>
  <c r="G17" i="18"/>
  <c r="G11" i="18"/>
  <c r="G5" i="18"/>
  <c r="G115" i="18" l="1"/>
  <c r="G353" i="18" s="1"/>
  <c r="Q345" i="18" l="1"/>
  <c r="Q339" i="18"/>
  <c r="Q333" i="18"/>
  <c r="Q321" i="18"/>
  <c r="Q315" i="18"/>
  <c r="Q22" i="18"/>
  <c r="Q297" i="18"/>
  <c r="Q303" i="18"/>
  <c r="Q291" i="18"/>
  <c r="Q285" i="18"/>
  <c r="Q260" i="18"/>
  <c r="Q254" i="18"/>
  <c r="Q248" i="18"/>
  <c r="Q242" i="18"/>
  <c r="Q218" i="18"/>
  <c r="Q236" i="18"/>
  <c r="Q230" i="18"/>
  <c r="Q224" i="18"/>
  <c r="Q212" i="18"/>
  <c r="Q200" i="18"/>
  <c r="Q188" i="18"/>
  <c r="Q181" i="18"/>
  <c r="Q175" i="18"/>
  <c r="Q169" i="18"/>
  <c r="Q163" i="18"/>
  <c r="Q157" i="18"/>
  <c r="Q144" i="18"/>
  <c r="Q150" i="18"/>
  <c r="Q138" i="18"/>
  <c r="Q132" i="18"/>
  <c r="Q126" i="18"/>
  <c r="Q120" i="18"/>
  <c r="Q114" i="18"/>
  <c r="Q94" i="18"/>
  <c r="Q88" i="18"/>
  <c r="Q82" i="18"/>
  <c r="Q76" i="18"/>
  <c r="Q64" i="18"/>
  <c r="Q58" i="18"/>
  <c r="Q52" i="18"/>
  <c r="Q46" i="18"/>
  <c r="Q40" i="18"/>
  <c r="Q34" i="18"/>
  <c r="Q16" i="18"/>
  <c r="Q28" i="18"/>
  <c r="Q10" i="18"/>
  <c r="Q4" i="18"/>
  <c r="F333" i="18"/>
  <c r="F260" i="18"/>
  <c r="F151" i="18"/>
  <c r="F150" i="18"/>
  <c r="Q351" i="18" l="1"/>
  <c r="Q284" i="18"/>
  <c r="Q113" i="18"/>
  <c r="Q187" i="18"/>
  <c r="Q352" i="18"/>
  <c r="D260" i="18"/>
  <c r="F120" i="18"/>
  <c r="F236" i="18"/>
  <c r="E236" i="18"/>
  <c r="F82" i="18"/>
  <c r="D82" i="18"/>
  <c r="F303" i="18"/>
  <c r="D303" i="18"/>
  <c r="F88" i="18"/>
  <c r="E88" i="18"/>
  <c r="F76" i="18"/>
  <c r="D76" i="18"/>
  <c r="D70" i="18"/>
  <c r="E132" i="18"/>
  <c r="E339" i="18"/>
  <c r="F339" i="18"/>
  <c r="D339" i="18"/>
  <c r="E230" i="18"/>
  <c r="E163" i="18"/>
  <c r="F321" i="18"/>
  <c r="F138" i="18"/>
  <c r="D150" i="18"/>
  <c r="F242" i="18"/>
  <c r="D242" i="18"/>
  <c r="M194" i="18" l="1"/>
  <c r="P194" i="18" s="1"/>
  <c r="F346" i="18"/>
  <c r="F102" i="18"/>
  <c r="M102" i="18" s="1"/>
  <c r="F101" i="18"/>
  <c r="E334" i="18" l="1"/>
  <c r="D327" i="18"/>
  <c r="F327" i="18"/>
  <c r="F52" i="18"/>
  <c r="F352" i="18" s="1"/>
  <c r="E34" i="18"/>
  <c r="E352" i="18" s="1"/>
  <c r="M327" i="18" l="1"/>
  <c r="F89" i="18"/>
  <c r="M89" i="18" s="1"/>
  <c r="F71" i="18"/>
  <c r="M71" i="18" s="1"/>
  <c r="F17" i="18"/>
  <c r="F5" i="18"/>
  <c r="E346" i="18"/>
  <c r="D346" i="18"/>
  <c r="D341" i="18"/>
  <c r="E151" i="18"/>
  <c r="E115" i="18"/>
  <c r="D115" i="18"/>
  <c r="D34" i="18"/>
  <c r="D352" i="18" s="1"/>
  <c r="E17" i="18"/>
  <c r="D17" i="18"/>
  <c r="E11" i="18"/>
  <c r="D11" i="18"/>
  <c r="M106" i="18"/>
  <c r="M105" i="18"/>
  <c r="M104" i="18"/>
  <c r="M103" i="18"/>
  <c r="M101" i="18"/>
  <c r="M100" i="18"/>
  <c r="M128" i="18"/>
  <c r="M127" i="18"/>
  <c r="M126" i="18"/>
  <c r="P126" i="18" s="1"/>
  <c r="M265" i="18"/>
  <c r="M264" i="18"/>
  <c r="M263" i="18"/>
  <c r="M75" i="18"/>
  <c r="M74" i="18"/>
  <c r="M73" i="18"/>
  <c r="M186" i="18"/>
  <c r="M185" i="18"/>
  <c r="M184" i="18"/>
  <c r="M259" i="18"/>
  <c r="M258" i="18"/>
  <c r="M69" i="18"/>
  <c r="M68" i="18"/>
  <c r="M67" i="18"/>
  <c r="M99" i="18"/>
  <c r="M98" i="18"/>
  <c r="M97" i="18"/>
  <c r="M93" i="18"/>
  <c r="M92" i="18"/>
  <c r="M91" i="18"/>
  <c r="M350" i="18"/>
  <c r="M349" i="18"/>
  <c r="M348" i="18"/>
  <c r="M63" i="18"/>
  <c r="M62" i="18"/>
  <c r="M61" i="18"/>
  <c r="M180" i="18"/>
  <c r="M179" i="18"/>
  <c r="M247" i="18"/>
  <c r="M246" i="18"/>
  <c r="M245" i="18"/>
  <c r="M87" i="18"/>
  <c r="M86" i="18"/>
  <c r="M85" i="18"/>
  <c r="M131" i="18"/>
  <c r="M130" i="18"/>
  <c r="M129" i="18"/>
  <c r="M57" i="18"/>
  <c r="M56" i="18"/>
  <c r="M55" i="18"/>
  <c r="M33" i="18"/>
  <c r="M32" i="18"/>
  <c r="M31" i="18"/>
  <c r="M81" i="18"/>
  <c r="M80" i="18"/>
  <c r="M79" i="18"/>
  <c r="M45" i="18"/>
  <c r="M44" i="18"/>
  <c r="M43" i="18"/>
  <c r="M156" i="18"/>
  <c r="M155" i="18"/>
  <c r="M154" i="18"/>
  <c r="M331" i="18"/>
  <c r="M330" i="18"/>
  <c r="M168" i="18"/>
  <c r="M167" i="18"/>
  <c r="M166" i="18"/>
  <c r="M326" i="18"/>
  <c r="M325" i="18"/>
  <c r="M320" i="18"/>
  <c r="M319" i="18"/>
  <c r="M318" i="18"/>
  <c r="M149" i="18"/>
  <c r="M148" i="18"/>
  <c r="M147" i="18"/>
  <c r="M211" i="18"/>
  <c r="M210" i="18"/>
  <c r="M209" i="18"/>
  <c r="M143" i="18"/>
  <c r="M142" i="18"/>
  <c r="M316" i="18"/>
  <c r="M317" i="18"/>
  <c r="M27" i="18"/>
  <c r="M26" i="18"/>
  <c r="M25" i="18"/>
  <c r="M229" i="18"/>
  <c r="M228" i="18"/>
  <c r="M227" i="18"/>
  <c r="M241" i="18"/>
  <c r="M240" i="18"/>
  <c r="M239" i="18"/>
  <c r="M51" i="18"/>
  <c r="M50" i="18"/>
  <c r="M49" i="18"/>
  <c r="P169" i="18"/>
  <c r="M170" i="18"/>
  <c r="M171" i="18"/>
  <c r="M39" i="18"/>
  <c r="M38" i="18"/>
  <c r="M37" i="18"/>
  <c r="M338" i="18"/>
  <c r="M337" i="18"/>
  <c r="M336" i="18"/>
  <c r="M174" i="18"/>
  <c r="M173" i="18"/>
  <c r="M172" i="18"/>
  <c r="M162" i="18"/>
  <c r="M161" i="18"/>
  <c r="M218" i="18"/>
  <c r="P218" i="18" s="1"/>
  <c r="M219" i="18"/>
  <c r="M220" i="18"/>
  <c r="M302" i="18"/>
  <c r="M301" i="18"/>
  <c r="M300" i="18"/>
  <c r="M296" i="18"/>
  <c r="M295" i="18"/>
  <c r="M294" i="18"/>
  <c r="M290" i="18"/>
  <c r="M289" i="18"/>
  <c r="M288" i="18"/>
  <c r="M308" i="18"/>
  <c r="M307" i="18"/>
  <c r="M306" i="18"/>
  <c r="M235" i="18"/>
  <c r="M234" i="18"/>
  <c r="M233" i="18"/>
  <c r="M223" i="18"/>
  <c r="M222" i="18"/>
  <c r="M221" i="18"/>
  <c r="M217" i="18"/>
  <c r="M216" i="18"/>
  <c r="M215" i="18"/>
  <c r="M253" i="18"/>
  <c r="M252" i="18"/>
  <c r="M251" i="18"/>
  <c r="M205" i="18"/>
  <c r="M204" i="18"/>
  <c r="M203" i="18"/>
  <c r="M193" i="18"/>
  <c r="M192" i="18"/>
  <c r="M191" i="18"/>
  <c r="M199" i="18"/>
  <c r="M198" i="18"/>
  <c r="M197" i="18"/>
  <c r="M200" i="18"/>
  <c r="P200" i="18" s="1"/>
  <c r="M201" i="18"/>
  <c r="M202" i="18"/>
  <c r="M119" i="18"/>
  <c r="M118" i="18"/>
  <c r="M117" i="18"/>
  <c r="M120" i="18"/>
  <c r="P120" i="18" s="1"/>
  <c r="M121" i="18"/>
  <c r="M122" i="18"/>
  <c r="M125" i="18"/>
  <c r="M124" i="18"/>
  <c r="M123" i="18"/>
  <c r="M137" i="18"/>
  <c r="M136" i="18"/>
  <c r="M135" i="18"/>
  <c r="M15" i="18"/>
  <c r="M14" i="18"/>
  <c r="M13" i="18"/>
  <c r="M188" i="18"/>
  <c r="P188" i="18" s="1"/>
  <c r="M189" i="18"/>
  <c r="M190" i="18"/>
  <c r="M21" i="18"/>
  <c r="M20" i="18"/>
  <c r="M19" i="18"/>
  <c r="M35" i="18"/>
  <c r="M36" i="18"/>
  <c r="M9" i="18"/>
  <c r="M8" i="18"/>
  <c r="M7" i="18"/>
  <c r="M344" i="18"/>
  <c r="M343" i="18"/>
  <c r="M342" i="18"/>
  <c r="M315" i="18"/>
  <c r="P315" i="18" s="1"/>
  <c r="M34" i="18"/>
  <c r="P34" i="18" s="1"/>
  <c r="M160" i="18"/>
  <c r="M141" i="18"/>
  <c r="M324" i="18"/>
  <c r="M262" i="18"/>
  <c r="M261" i="18"/>
  <c r="M260" i="18"/>
  <c r="P260" i="18" s="1"/>
  <c r="M256" i="18"/>
  <c r="M255" i="18"/>
  <c r="M254" i="18"/>
  <c r="P254" i="18" s="1"/>
  <c r="M94" i="18"/>
  <c r="P94" i="18" s="1"/>
  <c r="M95" i="18"/>
  <c r="M96" i="18"/>
  <c r="M183" i="18"/>
  <c r="M182" i="18"/>
  <c r="M181" i="18"/>
  <c r="P181" i="18" s="1"/>
  <c r="M72" i="18"/>
  <c r="M70" i="18"/>
  <c r="P70" i="18" s="1"/>
  <c r="M66" i="18"/>
  <c r="M65" i="18"/>
  <c r="M64" i="18"/>
  <c r="P64" i="18" s="1"/>
  <c r="M244" i="18"/>
  <c r="M243" i="18"/>
  <c r="M242" i="18"/>
  <c r="P242" i="18" s="1"/>
  <c r="M53" i="18"/>
  <c r="M52" i="18"/>
  <c r="P52" i="18" s="1"/>
  <c r="M329" i="18"/>
  <c r="M328" i="18"/>
  <c r="M165" i="18"/>
  <c r="M164" i="18"/>
  <c r="M163" i="18"/>
  <c r="P163" i="18" s="1"/>
  <c r="M16" i="18"/>
  <c r="P16" i="18" s="1"/>
  <c r="M30" i="18"/>
  <c r="M29" i="18"/>
  <c r="M28" i="18"/>
  <c r="P28" i="18" s="1"/>
  <c r="M159" i="18"/>
  <c r="M158" i="18"/>
  <c r="M157" i="18"/>
  <c r="M238" i="18"/>
  <c r="M237" i="18"/>
  <c r="M236" i="18"/>
  <c r="P236" i="18" s="1"/>
  <c r="M232" i="18"/>
  <c r="M231" i="18"/>
  <c r="M230" i="18"/>
  <c r="P230" i="18" s="1"/>
  <c r="M226" i="18"/>
  <c r="M225" i="18"/>
  <c r="M224" i="18"/>
  <c r="P224" i="18" s="1"/>
  <c r="M140" i="18"/>
  <c r="M139" i="18"/>
  <c r="M138" i="18"/>
  <c r="P138" i="18" s="1"/>
  <c r="M24" i="18"/>
  <c r="M23" i="18"/>
  <c r="M22" i="18"/>
  <c r="P22" i="18" s="1"/>
  <c r="M88" i="18"/>
  <c r="P88" i="18" s="1"/>
  <c r="M286" i="18"/>
  <c r="M293" i="18"/>
  <c r="M18" i="18"/>
  <c r="M76" i="18"/>
  <c r="P76" i="18" s="1"/>
  <c r="M77" i="18"/>
  <c r="M78" i="18"/>
  <c r="M40" i="18"/>
  <c r="P40" i="18" s="1"/>
  <c r="M41" i="18"/>
  <c r="M42" i="18"/>
  <c r="M248" i="18"/>
  <c r="P248" i="18" s="1"/>
  <c r="M249" i="18"/>
  <c r="M250" i="18"/>
  <c r="M321" i="18"/>
  <c r="M46" i="18"/>
  <c r="P46" i="18" s="1"/>
  <c r="M47" i="18"/>
  <c r="M303" i="18"/>
  <c r="P303" i="18" s="1"/>
  <c r="M297" i="18"/>
  <c r="P297" i="18" s="1"/>
  <c r="M299" i="18"/>
  <c r="M10" i="18"/>
  <c r="P10" i="18" s="1"/>
  <c r="M12" i="18"/>
  <c r="M291" i="18"/>
  <c r="P291" i="18" s="1"/>
  <c r="M132" i="18"/>
  <c r="P132" i="18" s="1"/>
  <c r="M133" i="18"/>
  <c r="M134" i="18"/>
  <c r="M206" i="18"/>
  <c r="P206" i="18" s="1"/>
  <c r="M207" i="18"/>
  <c r="M208" i="18"/>
  <c r="M150" i="18"/>
  <c r="P150" i="18" s="1"/>
  <c r="M153" i="18"/>
  <c r="M212" i="18"/>
  <c r="M213" i="18"/>
  <c r="M214" i="18"/>
  <c r="M333" i="18"/>
  <c r="P333" i="18" s="1"/>
  <c r="M334" i="18"/>
  <c r="M335" i="18"/>
  <c r="M144" i="18"/>
  <c r="P144" i="18" s="1"/>
  <c r="M145" i="18"/>
  <c r="M146" i="18"/>
  <c r="M339" i="18"/>
  <c r="P339" i="18" s="1"/>
  <c r="M340" i="18"/>
  <c r="M58" i="18"/>
  <c r="P58" i="18" s="1"/>
  <c r="M59" i="18"/>
  <c r="M287" i="18"/>
  <c r="M304" i="18"/>
  <c r="M305" i="18"/>
  <c r="M298" i="18"/>
  <c r="M4" i="18"/>
  <c r="P4" i="18" s="1"/>
  <c r="M6" i="18"/>
  <c r="M195" i="18"/>
  <c r="M196" i="18"/>
  <c r="M114" i="18"/>
  <c r="P114" i="18" s="1"/>
  <c r="M116" i="18"/>
  <c r="M322" i="18"/>
  <c r="M323" i="18"/>
  <c r="M90" i="18"/>
  <c r="M285" i="18"/>
  <c r="P285" i="18" s="1"/>
  <c r="M292" i="18"/>
  <c r="M48" i="18"/>
  <c r="M54" i="18"/>
  <c r="M82" i="18"/>
  <c r="P82" i="18" s="1"/>
  <c r="M83" i="18"/>
  <c r="M84" i="18"/>
  <c r="M345" i="18"/>
  <c r="P345" i="18" s="1"/>
  <c r="M347" i="18"/>
  <c r="M175" i="18"/>
  <c r="P175" i="18" s="1"/>
  <c r="M176" i="18"/>
  <c r="M177" i="18"/>
  <c r="M60" i="18"/>
  <c r="P321" i="18" l="1"/>
  <c r="N321" i="18"/>
  <c r="P327" i="18"/>
  <c r="N327" i="18"/>
  <c r="M341" i="18"/>
  <c r="D354" i="18"/>
  <c r="N212" i="18"/>
  <c r="P212" i="18"/>
  <c r="N157" i="18"/>
  <c r="P157" i="18"/>
  <c r="E353" i="18"/>
  <c r="D353" i="18"/>
  <c r="F353" i="18"/>
  <c r="M352" i="18"/>
  <c r="M346" i="18"/>
  <c r="N346" i="18" s="1"/>
  <c r="M5" i="18"/>
  <c r="N5" i="18" s="1"/>
  <c r="R327" i="18"/>
  <c r="M115" i="18"/>
  <c r="N115" i="18" s="1"/>
  <c r="R100" i="18"/>
  <c r="N128" i="18"/>
  <c r="R144" i="18"/>
  <c r="R194" i="18"/>
  <c r="R297" i="18"/>
  <c r="R46" i="18"/>
  <c r="R236" i="18"/>
  <c r="R94" i="18"/>
  <c r="R260" i="18"/>
  <c r="R200" i="18"/>
  <c r="R254" i="18"/>
  <c r="N121" i="18"/>
  <c r="N150" i="18"/>
  <c r="N248" i="18"/>
  <c r="R248" i="18"/>
  <c r="N22" i="18"/>
  <c r="R22" i="18"/>
  <c r="N34" i="18"/>
  <c r="R34" i="18"/>
  <c r="R218" i="18"/>
  <c r="R175" i="18"/>
  <c r="R303" i="18"/>
  <c r="N71" i="18"/>
  <c r="R70" i="18"/>
  <c r="R126" i="18"/>
  <c r="N175" i="18"/>
  <c r="R58" i="18"/>
  <c r="R212" i="18"/>
  <c r="R132" i="18"/>
  <c r="N10" i="18"/>
  <c r="N76" i="18"/>
  <c r="R76" i="18"/>
  <c r="R88" i="18"/>
  <c r="N224" i="18"/>
  <c r="R224" i="18"/>
  <c r="R28" i="18"/>
  <c r="N163" i="18"/>
  <c r="R163" i="18"/>
  <c r="N242" i="18"/>
  <c r="R242" i="18"/>
  <c r="R64" i="18"/>
  <c r="N188" i="18"/>
  <c r="R188" i="18"/>
  <c r="T188" i="18" s="1"/>
  <c r="N120" i="18"/>
  <c r="R120" i="18"/>
  <c r="R169" i="18"/>
  <c r="R52" i="18"/>
  <c r="T52" i="18" s="1"/>
  <c r="U52" i="18" s="1"/>
  <c r="N319" i="18"/>
  <c r="R315" i="18"/>
  <c r="N339" i="18"/>
  <c r="R339" i="18"/>
  <c r="R321" i="18"/>
  <c r="N230" i="18"/>
  <c r="R230" i="18"/>
  <c r="N16" i="18"/>
  <c r="R82" i="18"/>
  <c r="N285" i="18"/>
  <c r="R285" i="18"/>
  <c r="T285" i="18" s="1"/>
  <c r="U285" i="18" s="1"/>
  <c r="R206" i="18"/>
  <c r="N291" i="18"/>
  <c r="R291" i="18"/>
  <c r="N40" i="18"/>
  <c r="R40" i="18"/>
  <c r="R138" i="18"/>
  <c r="R157" i="18"/>
  <c r="R181" i="18"/>
  <c r="N100" i="18"/>
  <c r="R333" i="18"/>
  <c r="N198" i="18"/>
  <c r="N67" i="18"/>
  <c r="N132" i="18"/>
  <c r="N58" i="18"/>
  <c r="N301" i="18"/>
  <c r="N193" i="18"/>
  <c r="N60" i="18"/>
  <c r="N61" i="18"/>
  <c r="N20" i="18"/>
  <c r="N234" i="18"/>
  <c r="N125" i="18"/>
  <c r="N306" i="18"/>
  <c r="N42" i="18"/>
  <c r="N26" i="18"/>
  <c r="N160" i="18"/>
  <c r="M11" i="18"/>
  <c r="R10" i="18" s="1"/>
  <c r="N114" i="18"/>
  <c r="N290" i="18"/>
  <c r="N347" i="18"/>
  <c r="N297" i="18"/>
  <c r="N91" i="18"/>
  <c r="N24" i="18"/>
  <c r="N29" i="18"/>
  <c r="N116" i="18"/>
  <c r="N77" i="18"/>
  <c r="N253" i="18"/>
  <c r="N176" i="18"/>
  <c r="N41" i="18"/>
  <c r="N228" i="18"/>
  <c r="N131" i="18"/>
  <c r="N252" i="18"/>
  <c r="N143" i="18"/>
  <c r="N99" i="18"/>
  <c r="N118" i="18"/>
  <c r="N217" i="18"/>
  <c r="N59" i="18"/>
  <c r="N119" i="18"/>
  <c r="N48" i="18"/>
  <c r="N162" i="18"/>
  <c r="N159" i="18"/>
  <c r="N204" i="18"/>
  <c r="N130" i="18"/>
  <c r="N336" i="18"/>
  <c r="N148" i="18"/>
  <c r="N32" i="18"/>
  <c r="N30" i="18"/>
  <c r="N28" i="18"/>
  <c r="N304" i="18"/>
  <c r="N94" i="18"/>
  <c r="N197" i="18"/>
  <c r="N195" i="18"/>
  <c r="N194" i="18"/>
  <c r="N89" i="18"/>
  <c r="N80" i="18"/>
  <c r="N137" i="18"/>
  <c r="N135" i="18"/>
  <c r="N343" i="18"/>
  <c r="N341" i="18"/>
  <c r="N138" i="18"/>
  <c r="N142" i="18"/>
  <c r="N140" i="18"/>
  <c r="M151" i="18"/>
  <c r="N177" i="18"/>
  <c r="N340" i="18"/>
  <c r="N303" i="18"/>
  <c r="N308" i="18"/>
  <c r="N307" i="18"/>
  <c r="N155" i="18"/>
  <c r="N144" i="18"/>
  <c r="N82" i="18"/>
  <c r="N179" i="18"/>
  <c r="N335" i="18"/>
  <c r="N286" i="18"/>
  <c r="N296" i="18"/>
  <c r="N90" i="18"/>
  <c r="N145" i="18"/>
  <c r="N46" i="18"/>
  <c r="N51" i="18"/>
  <c r="N47" i="18"/>
  <c r="N139" i="18"/>
  <c r="N236" i="18"/>
  <c r="N158" i="18"/>
  <c r="N95" i="18"/>
  <c r="N14" i="18"/>
  <c r="N211" i="18"/>
  <c r="N63" i="18"/>
  <c r="N8" i="18"/>
  <c r="N4" i="18"/>
  <c r="N287" i="18"/>
  <c r="N210" i="18"/>
  <c r="N208" i="18"/>
  <c r="N323" i="18"/>
  <c r="N325" i="18"/>
  <c r="N129" i="18"/>
  <c r="N147" i="18"/>
  <c r="N322" i="18"/>
  <c r="N298" i="18"/>
  <c r="N93" i="18"/>
  <c r="N88" i="18"/>
  <c r="N146" i="18"/>
  <c r="N13" i="18"/>
  <c r="N18" i="18"/>
  <c r="N189" i="18"/>
  <c r="N344" i="18"/>
  <c r="N241" i="18"/>
  <c r="N98" i="18"/>
  <c r="N201" i="18"/>
  <c r="N27" i="18"/>
  <c r="N43" i="18"/>
  <c r="N249" i="18"/>
  <c r="N133" i="18"/>
  <c r="N289" i="18"/>
  <c r="N180" i="18"/>
  <c r="N15" i="18"/>
  <c r="N299" i="18"/>
  <c r="N250" i="18"/>
  <c r="N235" i="18"/>
  <c r="N161" i="18"/>
  <c r="N52" i="18"/>
  <c r="N238" i="18"/>
  <c r="N200" i="18"/>
  <c r="N240" i="18"/>
  <c r="M152" i="18"/>
  <c r="N23" i="18"/>
  <c r="N342" i="18"/>
  <c r="N12" i="18"/>
  <c r="N232" i="18"/>
  <c r="N259" i="18"/>
  <c r="N96" i="18"/>
  <c r="N191" i="18"/>
  <c r="N203" i="18"/>
  <c r="N6" i="18"/>
  <c r="N181" i="18"/>
  <c r="N183" i="18"/>
  <c r="N254" i="18"/>
  <c r="N256" i="18"/>
  <c r="N260" i="18"/>
  <c r="N261" i="18"/>
  <c r="N265" i="18"/>
  <c r="N315" i="18"/>
  <c r="N320" i="18"/>
  <c r="N124" i="18"/>
  <c r="N223" i="18"/>
  <c r="N219" i="18"/>
  <c r="N229" i="18"/>
  <c r="N264" i="18"/>
  <c r="N156" i="18"/>
  <c r="N196" i="18"/>
  <c r="N168" i="18"/>
  <c r="N66" i="18"/>
  <c r="N64" i="18"/>
  <c r="N70" i="18"/>
  <c r="N154" i="18"/>
  <c r="N74" i="18"/>
  <c r="M17" i="18"/>
  <c r="R16" i="18" s="1"/>
  <c r="N199" i="18"/>
  <c r="N215" i="18"/>
  <c r="N86" i="18"/>
  <c r="N134" i="18"/>
  <c r="N213" i="18"/>
  <c r="N324" i="18"/>
  <c r="N149" i="18"/>
  <c r="N302" i="18"/>
  <c r="N305" i="18"/>
  <c r="N84" i="18"/>
  <c r="N78" i="18"/>
  <c r="N153" i="18"/>
  <c r="N206" i="18"/>
  <c r="N207" i="18"/>
  <c r="N337" i="18"/>
  <c r="N333" i="18"/>
  <c r="N247" i="18"/>
  <c r="N226" i="18"/>
  <c r="N166" i="18"/>
  <c r="N225" i="18"/>
  <c r="N328" i="18"/>
  <c r="N330" i="18"/>
  <c r="N186" i="18"/>
  <c r="N255" i="18"/>
  <c r="N222" i="18"/>
  <c r="N190" i="18"/>
  <c r="N192" i="18"/>
  <c r="N331" i="18"/>
  <c r="N126" i="18"/>
  <c r="N127" i="18"/>
  <c r="N237" i="18"/>
  <c r="N329" i="18"/>
  <c r="N244" i="18"/>
  <c r="N243" i="18"/>
  <c r="N81" i="18"/>
  <c r="N334" i="18"/>
  <c r="N21" i="18"/>
  <c r="N246" i="18"/>
  <c r="N167" i="18"/>
  <c r="N164" i="18"/>
  <c r="N165" i="18"/>
  <c r="N216" i="18"/>
  <c r="N87" i="18"/>
  <c r="N92" i="18"/>
  <c r="N83" i="18"/>
  <c r="N326" i="18"/>
  <c r="N136" i="18"/>
  <c r="N117" i="18"/>
  <c r="N214" i="18"/>
  <c r="N141" i="18"/>
  <c r="N231" i="18"/>
  <c r="N185" i="18"/>
  <c r="N72" i="18"/>
  <c r="N262" i="18"/>
  <c r="N205" i="18"/>
  <c r="N220" i="18"/>
  <c r="N218" i="18"/>
  <c r="N123" i="18"/>
  <c r="N122" i="18"/>
  <c r="N202" i="18"/>
  <c r="N45" i="18"/>
  <c r="N69" i="18"/>
  <c r="N294" i="18"/>
  <c r="N293" i="18"/>
  <c r="N174" i="18"/>
  <c r="N263" i="18"/>
  <c r="N245" i="18"/>
  <c r="N221" i="18"/>
  <c r="N300" i="18"/>
  <c r="N316" i="18"/>
  <c r="N317" i="18"/>
  <c r="N318" i="18"/>
  <c r="N209" i="18"/>
  <c r="N233" i="18"/>
  <c r="N79" i="18"/>
  <c r="N97" i="18"/>
  <c r="N292" i="18"/>
  <c r="N295" i="18"/>
  <c r="N288" i="18"/>
  <c r="N85" i="18"/>
  <c r="N19" i="18"/>
  <c r="N345" i="18"/>
  <c r="N350" i="18"/>
  <c r="N349" i="18"/>
  <c r="N348" i="18"/>
  <c r="N251" i="18"/>
  <c r="N239" i="18"/>
  <c r="N182" i="18"/>
  <c r="N184" i="18"/>
  <c r="N258" i="18"/>
  <c r="N257" i="18"/>
  <c r="N227" i="18"/>
  <c r="N25" i="18"/>
  <c r="N44" i="18"/>
  <c r="N49" i="18"/>
  <c r="N62" i="18"/>
  <c r="N9" i="18"/>
  <c r="N75" i="18"/>
  <c r="N50" i="18"/>
  <c r="N7" i="18"/>
  <c r="N33" i="18"/>
  <c r="N73" i="18"/>
  <c r="N65" i="18"/>
  <c r="N68" i="18"/>
  <c r="N104" i="18"/>
  <c r="N101" i="18"/>
  <c r="N105" i="18"/>
  <c r="N106" i="18"/>
  <c r="N103" i="18"/>
  <c r="N178" i="18"/>
  <c r="N170" i="18"/>
  <c r="N171" i="18"/>
  <c r="N173" i="18"/>
  <c r="N172" i="18"/>
  <c r="N31" i="18"/>
  <c r="N338" i="18"/>
  <c r="N332" i="18"/>
  <c r="N55" i="18"/>
  <c r="N54" i="18"/>
  <c r="N56" i="18"/>
  <c r="N53" i="18"/>
  <c r="N57" i="18"/>
  <c r="N35" i="18"/>
  <c r="N38" i="18"/>
  <c r="N37" i="18"/>
  <c r="N36" i="18"/>
  <c r="N39" i="18"/>
  <c r="R284" i="18" l="1"/>
  <c r="S181" i="18"/>
  <c r="T181" i="18"/>
  <c r="U181" i="18" s="1"/>
  <c r="S230" i="18"/>
  <c r="T230" i="18"/>
  <c r="U230" i="18" s="1"/>
  <c r="S163" i="18"/>
  <c r="T163" i="18"/>
  <c r="U163" i="18" s="1"/>
  <c r="S303" i="18"/>
  <c r="T303" i="18"/>
  <c r="U303" i="18" s="1"/>
  <c r="S46" i="18"/>
  <c r="T46" i="18"/>
  <c r="U46" i="18" s="1"/>
  <c r="S157" i="18"/>
  <c r="T157" i="18"/>
  <c r="U157" i="18" s="1"/>
  <c r="S291" i="18"/>
  <c r="T291" i="18"/>
  <c r="S315" i="18"/>
  <c r="T315" i="18"/>
  <c r="U315" i="18" s="1"/>
  <c r="S120" i="18"/>
  <c r="T120" i="18"/>
  <c r="S64" i="18"/>
  <c r="T64" i="18"/>
  <c r="U64" i="18" s="1"/>
  <c r="S88" i="18"/>
  <c r="T88" i="18"/>
  <c r="U88" i="18" s="1"/>
  <c r="S132" i="18"/>
  <c r="T132" i="18"/>
  <c r="U132" i="18" s="1"/>
  <c r="S126" i="18"/>
  <c r="T126" i="18"/>
  <c r="U126" i="18" s="1"/>
  <c r="S175" i="18"/>
  <c r="T175" i="18"/>
  <c r="U175" i="18" s="1"/>
  <c r="S22" i="18"/>
  <c r="T22" i="18"/>
  <c r="S260" i="18"/>
  <c r="T260" i="18"/>
  <c r="U260" i="18" s="1"/>
  <c r="S297" i="18"/>
  <c r="T297" i="18"/>
  <c r="S333" i="18"/>
  <c r="T333" i="18"/>
  <c r="U333" i="18" s="1"/>
  <c r="S138" i="18"/>
  <c r="T138" i="18"/>
  <c r="S82" i="18"/>
  <c r="T82" i="18"/>
  <c r="U82" i="18" s="1"/>
  <c r="S321" i="18"/>
  <c r="T321" i="18"/>
  <c r="S242" i="18"/>
  <c r="T242" i="18"/>
  <c r="U242" i="18" s="1"/>
  <c r="S28" i="18"/>
  <c r="T28" i="18"/>
  <c r="U28" i="18" s="1"/>
  <c r="S76" i="18"/>
  <c r="T76" i="18"/>
  <c r="U76" i="18" s="1"/>
  <c r="S212" i="18"/>
  <c r="T212" i="18"/>
  <c r="S70" i="18"/>
  <c r="T70" i="18"/>
  <c r="U70" i="18" s="1"/>
  <c r="S218" i="18"/>
  <c r="T218" i="18"/>
  <c r="S94" i="18"/>
  <c r="T94" i="18"/>
  <c r="U94" i="18" s="1"/>
  <c r="S194" i="18"/>
  <c r="T194" i="18"/>
  <c r="U188" i="18" s="1"/>
  <c r="S169" i="18"/>
  <c r="T169" i="18"/>
  <c r="U169" i="18" s="1"/>
  <c r="S200" i="18"/>
  <c r="T200" i="18"/>
  <c r="S40" i="18"/>
  <c r="T40" i="18"/>
  <c r="U40" i="18" s="1"/>
  <c r="S206" i="18"/>
  <c r="T206" i="18"/>
  <c r="S339" i="18"/>
  <c r="T339" i="18"/>
  <c r="U339" i="18" s="1"/>
  <c r="S224" i="18"/>
  <c r="T224" i="18"/>
  <c r="U224" i="18" s="1"/>
  <c r="S58" i="18"/>
  <c r="T58" i="18"/>
  <c r="U58" i="18" s="1"/>
  <c r="S34" i="18"/>
  <c r="T34" i="18"/>
  <c r="U34" i="18" s="1"/>
  <c r="S248" i="18"/>
  <c r="T248" i="18"/>
  <c r="U248" i="18" s="1"/>
  <c r="S254" i="18"/>
  <c r="T254" i="18"/>
  <c r="U254" i="18" s="1"/>
  <c r="S236" i="18"/>
  <c r="T236" i="18"/>
  <c r="U236" i="18" s="1"/>
  <c r="S144" i="18"/>
  <c r="T144" i="18"/>
  <c r="S327" i="18"/>
  <c r="T327" i="18"/>
  <c r="S10" i="18"/>
  <c r="T10" i="18"/>
  <c r="S16" i="18"/>
  <c r="T16" i="18"/>
  <c r="S285" i="18"/>
  <c r="S188" i="18"/>
  <c r="R345" i="18"/>
  <c r="R351" i="18" s="1"/>
  <c r="R4" i="18"/>
  <c r="R114" i="18"/>
  <c r="T114" i="18" s="1"/>
  <c r="N352" i="18"/>
  <c r="S52" i="18"/>
  <c r="R150" i="18"/>
  <c r="N11" i="18"/>
  <c r="M353" i="18"/>
  <c r="N151" i="18"/>
  <c r="N152" i="18"/>
  <c r="N17" i="18"/>
  <c r="N355" i="18"/>
  <c r="N356" i="18"/>
  <c r="N354" i="18"/>
  <c r="N357" i="18"/>
  <c r="R187" i="18" l="1"/>
  <c r="T187" i="18" s="1"/>
  <c r="U187" i="18" s="1"/>
  <c r="T351" i="18"/>
  <c r="U351" i="18" s="1"/>
  <c r="S351" i="18"/>
  <c r="U114" i="18"/>
  <c r="T284" i="18"/>
  <c r="U284" i="18" s="1"/>
  <c r="S284" i="18"/>
  <c r="T4" i="18"/>
  <c r="U4" i="18" s="1"/>
  <c r="R113" i="18"/>
  <c r="U321" i="18"/>
  <c r="U291" i="18"/>
  <c r="U138" i="18"/>
  <c r="U212" i="18"/>
  <c r="S345" i="18"/>
  <c r="T345" i="18"/>
  <c r="U345" i="18" s="1"/>
  <c r="S150" i="18"/>
  <c r="T150" i="18"/>
  <c r="U150" i="18" s="1"/>
  <c r="S114" i="18"/>
  <c r="S4" i="18"/>
  <c r="R352" i="18"/>
  <c r="S352" i="18" s="1"/>
  <c r="N353" i="18"/>
  <c r="S187" i="18" l="1"/>
  <c r="T113" i="18"/>
  <c r="U113" i="18" s="1"/>
  <c r="U352" i="18" s="1"/>
  <c r="S113" i="18"/>
</calcChain>
</file>

<file path=xl/comments1.xml><?xml version="1.0" encoding="utf-8"?>
<comments xmlns="http://schemas.openxmlformats.org/spreadsheetml/2006/main">
  <authors>
    <author>Microsoft</author>
  </authors>
  <commentLis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水电及维修费成本占比指标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零星卖卡1455元</t>
        </r>
      </text>
    </comment>
    <comment ref="F5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200元为测试卡充值，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测试卡200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退款200.72</t>
        </r>
      </text>
    </comment>
    <comment ref="I64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退费65.58</t>
        </r>
      </text>
    </comment>
    <comment ref="D7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退卡60</t>
        </r>
      </text>
    </comment>
    <comment ref="D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退卡335</t>
        </r>
      </text>
    </comment>
    <comment ref="F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退卡40</t>
        </r>
      </text>
    </comment>
    <comment ref="H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退卡244.8+1001.85+78110.9+10000
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退卡2556.94+1965.62+8728.22</t>
        </r>
      </text>
    </comment>
    <comment ref="J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退卡132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退卡1386.75</t>
        </r>
      </text>
    </comment>
    <comment ref="L76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退卡770</t>
        </r>
      </text>
    </comment>
    <comment ref="D8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退卡2450</t>
        </r>
      </text>
    </comment>
    <comment ref="F8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退卡490</t>
        </r>
      </text>
    </comment>
    <comment ref="G8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退卡420</t>
        </r>
      </text>
    </comment>
    <comment ref="I8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退卡70+380+4090</t>
        </r>
      </text>
    </comment>
    <comment ref="K8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退卡341</t>
        </r>
      </text>
    </comment>
    <comment ref="E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退卡420</t>
        </r>
      </text>
    </comment>
    <comment ref="F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退卡253</t>
        </r>
      </text>
    </comment>
    <comment ref="G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退卡180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退卡100+3996.51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退卡1298.59</t>
        </r>
      </text>
    </comment>
    <comment ref="K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退卡653</t>
        </r>
      </text>
    </comment>
    <comment ref="L88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退卡390</t>
        </r>
      </text>
    </comment>
    <comment ref="K8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空调管理费1100</t>
        </r>
      </text>
    </comment>
    <comment ref="E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退卡10+85.65</t>
        </r>
      </text>
    </comment>
    <comment ref="F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退卡20，退费1028.71</t>
        </r>
      </text>
    </comment>
    <comment ref="G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APP充值95</t>
        </r>
      </text>
    </comment>
    <comment ref="H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退卡23+52.2，APP充值20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退卡762.15+12.3+27</t>
        </r>
      </text>
    </comment>
    <comment ref="J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零星收款3720</t>
        </r>
      </text>
    </comment>
    <comment ref="L10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退卡227.34</t>
        </r>
      </text>
    </comment>
    <comment ref="H11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退卡135，零售售卡550</t>
        </r>
      </text>
    </comment>
    <comment ref="F12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退卡15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K12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零星卖卡1211.65</t>
        </r>
      </text>
    </comment>
    <comment ref="I12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毕业生退卡3660.96</t>
        </r>
      </text>
    </comment>
    <comment ref="D127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含罚款1500</t>
        </r>
      </text>
    </comment>
    <comment ref="E13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退卡32.5</t>
        </r>
      </text>
    </comment>
    <comment ref="G13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退卡160.75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退卡2072.65</t>
        </r>
      </text>
    </comment>
    <comment ref="I13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退卡69.95
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退卡1780
零星售卡1322.8</t>
        </r>
      </text>
    </comment>
    <comment ref="L132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退卡78.2</t>
        </r>
      </text>
    </comment>
    <comment ref="F13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卖卡10500</t>
        </r>
      </text>
    </comment>
    <comment ref="I13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零星卖卡6300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D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退卡5217.35</t>
        </r>
      </text>
    </comment>
    <comment ref="F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退卡6380</t>
        </r>
      </text>
    </comment>
    <comment ref="G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退卡20元</t>
        </r>
      </text>
    </comment>
    <comment ref="I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毕业生退卡47091，暑期零星卖卡10000；</t>
        </r>
      </text>
    </comment>
    <comment ref="J15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其中国教学院73000</t>
        </r>
      </text>
    </comment>
    <comment ref="K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退卡9021.34</t>
        </r>
      </text>
    </comment>
    <comment ref="L15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退卡53168.06+22272.9（1月份报销），APP提现3856.5，系统升级卖卡111670
</t>
        </r>
      </text>
    </comment>
    <comment ref="J157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零星卖卡4000+APP充值333.3</t>
        </r>
      </text>
    </comment>
    <comment ref="I158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罚款</t>
        </r>
      </text>
    </comment>
    <comment ref="D16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零星售卡1000</t>
        </r>
      </text>
    </comment>
    <comment ref="E16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10号楼卖卡4000</t>
        </r>
      </text>
    </comment>
    <comment ref="G16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含零星售卡1500</t>
        </r>
      </text>
    </comment>
    <comment ref="I16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零星售卡900+1630+5189.7+200</t>
        </r>
      </text>
    </comment>
    <comment ref="K16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零星售卡18700+300
</t>
        </r>
      </text>
    </comment>
    <comment ref="L16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零星售卡200</t>
        </r>
      </text>
    </comment>
    <comment ref="I16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退费25</t>
        </r>
      </text>
    </comment>
    <comment ref="J175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退卡329+166</t>
        </r>
      </text>
    </comment>
    <comment ref="L175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退卡44.8</t>
        </r>
      </text>
    </comment>
    <comment ref="G181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退卡2元</t>
        </r>
      </text>
    </comment>
    <comment ref="L181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退卡2元</t>
        </r>
      </text>
    </comment>
    <comment ref="I1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退卡136.15</t>
        </r>
      </text>
    </comment>
    <comment ref="J188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</t>
        </r>
      </text>
    </comment>
    <comment ref="I194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退卡5181.15</t>
        </r>
      </text>
    </comment>
    <comment ref="J1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退卡2125.8</t>
        </r>
      </text>
    </comment>
    <comment ref="K19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</t>
        </r>
      </text>
    </comment>
    <comment ref="E20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退卡2302.2+热水补偿金400</t>
        </r>
      </text>
    </comment>
    <comment ref="E23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退卡40</t>
        </r>
      </text>
    </comment>
    <comment ref="H23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退卡60</t>
        </r>
      </text>
    </comment>
    <comment ref="I23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</t>
        </r>
      </text>
    </comment>
    <comment ref="L23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</t>
        </r>
      </text>
    </comment>
    <comment ref="E23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退卡760.5+542.7</t>
        </r>
      </text>
    </comment>
    <comment ref="F23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退卡712.5</t>
        </r>
      </text>
    </comment>
    <comment ref="G23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退卡612.10</t>
        </r>
      </text>
    </comment>
    <comment ref="H23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退卡832.5</t>
        </r>
      </text>
    </comment>
    <comment ref="I236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退卡388</t>
        </r>
      </text>
    </comment>
    <comment ref="J236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退卡400.5</t>
        </r>
      </text>
    </comment>
    <comment ref="K236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退卡233</t>
        </r>
      </text>
    </comment>
    <comment ref="L236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退卡11180</t>
        </r>
      </text>
    </comment>
    <comment ref="D24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退卡58</t>
        </r>
      </text>
    </comment>
    <comment ref="F24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退卡170</t>
        </r>
      </text>
    </comment>
    <comment ref="G242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退卡265元</t>
        </r>
      </text>
    </comment>
    <comment ref="H242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退卡4960</t>
        </r>
      </text>
    </comment>
    <comment ref="I242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退费90+786.20</t>
        </r>
      </text>
    </comment>
    <comment ref="J242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退卡1027.7</t>
        </r>
      </text>
    </comment>
    <comment ref="L244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燃气费2029.5</t>
        </r>
      </text>
    </comment>
    <comment ref="H24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卡机</t>
        </r>
      </text>
    </comment>
    <comment ref="M24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其中卡机升级60301.72，买卡费用：29310.34</t>
        </r>
      </text>
    </comment>
    <comment ref="L254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退卡40+39</t>
        </r>
      </text>
    </comment>
    <comment ref="K255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含人工费41282.07</t>
        </r>
      </text>
    </comment>
    <comment ref="L255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人工费3100</t>
        </r>
      </text>
    </comment>
    <comment ref="D26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退卡24.7</t>
        </r>
      </text>
    </comment>
    <comment ref="F26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退卡21.54</t>
        </r>
      </text>
    </comment>
    <comment ref="H26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退卡938.99</t>
        </r>
      </text>
    </comment>
    <comment ref="I26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退卡529.38</t>
        </r>
      </text>
    </comment>
    <comment ref="K260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</t>
        </r>
      </text>
    </comment>
    <comment ref="I26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退卡32997.55</t>
        </r>
      </text>
    </comment>
    <comment ref="J26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退卡18759.7+820+3475.3</t>
        </r>
      </text>
    </comment>
    <comment ref="K26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退卡681.6
</t>
        </r>
      </text>
    </comment>
    <comment ref="L266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退卡5231.51+40，卖卡5260</t>
        </r>
      </text>
    </comment>
    <comment ref="G285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退卡55元</t>
        </r>
      </text>
    </comment>
    <comment ref="I285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</t>
        </r>
      </text>
    </comment>
    <comment ref="J285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退卡74</t>
        </r>
      </text>
    </comment>
    <comment ref="K285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退卡40</t>
        </r>
      </text>
    </comment>
    <comment ref="I291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退卡84</t>
        </r>
      </text>
    </comment>
    <comment ref="K291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退卡9728.3</t>
        </r>
      </text>
    </comment>
    <comment ref="D30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退卡327</t>
        </r>
      </text>
    </comment>
    <comment ref="F30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退卡57</t>
        </r>
      </text>
    </comment>
    <comment ref="G30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</t>
        </r>
      </text>
    </comment>
    <comment ref="H30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退卡21</t>
        </r>
      </text>
    </comment>
    <comment ref="I30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退卡14</t>
        </r>
      </text>
    </comment>
    <comment ref="J30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退卡4862.2</t>
        </r>
      </text>
    </comment>
    <comment ref="K30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退卡20+88.2</t>
        </r>
      </text>
    </comment>
    <comment ref="F321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退卡185.5</t>
        </r>
      </text>
    </comment>
    <comment ref="L321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零星售卡7300,1月份收到款</t>
        </r>
      </text>
    </comment>
    <comment ref="O32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扣除嵩阳苑水电费74359.2+235448.44</t>
        </r>
      </text>
    </comment>
    <comment ref="D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零星卖卡950，退卡659.7</t>
        </r>
      </text>
    </comment>
    <comment ref="F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零星卖卡6000，退卡2802.85</t>
        </r>
      </text>
    </comment>
    <comment ref="H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退卡20360.3</t>
        </r>
      </text>
    </comment>
    <comment ref="I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退卡1879.95+2036.75+460
</t>
        </r>
      </text>
    </comment>
    <comment ref="J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零星卖卡2891.55</t>
        </r>
      </text>
    </comment>
    <comment ref="K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退卡301+90</t>
        </r>
      </text>
    </comment>
    <comment ref="L327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零星卖卡7800</t>
        </r>
      </text>
    </comment>
    <comment ref="O329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增加嵩阳苑水电费74359.2+235448.44</t>
        </r>
      </text>
    </comment>
    <comment ref="E33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退卡882</t>
        </r>
      </text>
    </comment>
    <comment ref="F333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退卡424</t>
        </r>
      </text>
    </comment>
    <comment ref="H33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退卡243</t>
        </r>
      </text>
    </comment>
    <comment ref="I33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退卡499.8</t>
        </r>
      </text>
    </comment>
    <comment ref="K33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退卡1159+399</t>
        </r>
      </text>
    </comment>
    <comment ref="L333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退卡799</t>
        </r>
      </text>
    </comment>
    <comment ref="E334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调整以前年度未收回款7397.31</t>
        </r>
      </text>
    </comment>
    <comment ref="D339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退卡39.5</t>
        </r>
      </text>
    </comment>
    <comment ref="E339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卖卡3000</t>
        </r>
      </text>
    </comment>
    <comment ref="F339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退卡20</t>
        </r>
      </text>
    </comment>
    <comment ref="H33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退卡996.4</t>
        </r>
      </text>
    </comment>
    <comment ref="I33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退卡1954.9</t>
        </r>
      </text>
    </comment>
    <comment ref="J33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APP充值2470</t>
        </r>
      </text>
    </comment>
    <comment ref="K33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APP充值3350+300</t>
        </r>
      </text>
    </comment>
    <comment ref="L339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APP充值3690+400；
零星卖卡开票2100，钱未到2018年12-31日</t>
        </r>
      </text>
    </comment>
    <comment ref="I34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含设备租赁费50000</t>
        </r>
      </text>
    </comment>
    <comment ref="L340" authorId="0">
      <text>
        <r>
          <rPr>
            <b/>
            <sz val="9"/>
            <color indexed="81"/>
            <rFont val="宋体"/>
            <charset val="134"/>
          </rPr>
          <t>Microsoft:</t>
        </r>
        <r>
          <rPr>
            <sz val="9"/>
            <color indexed="81"/>
            <rFont val="宋体"/>
            <charset val="134"/>
          </rPr>
          <t xml:space="preserve">
含罚款1000</t>
        </r>
      </text>
    </comment>
    <comment ref="D341" authorId="0">
      <text>
        <r>
          <rPr>
            <b/>
            <sz val="9"/>
            <color indexed="81"/>
            <rFont val="宋体"/>
            <family val="3"/>
            <charset val="134"/>
          </rPr>
          <t>Microsoft:</t>
        </r>
        <r>
          <rPr>
            <sz val="9"/>
            <color indexed="81"/>
            <rFont val="宋体"/>
            <family val="3"/>
            <charset val="134"/>
          </rPr>
          <t xml:space="preserve">
实际支付补交17年漏交的59200元</t>
        </r>
      </text>
    </comment>
  </commentList>
</comments>
</file>

<file path=xl/sharedStrings.xml><?xml version="1.0" encoding="utf-8"?>
<sst xmlns="http://schemas.openxmlformats.org/spreadsheetml/2006/main" count="785" uniqueCount="181">
  <si>
    <t>宁波城市职业技术学院</t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</si>
  <si>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</si>
  <si>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</si>
  <si>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</si>
  <si>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</si>
  <si>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</si>
  <si>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</si>
  <si>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</si>
  <si>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</si>
  <si>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</t>
  </si>
  <si>
    <t>台州学院</t>
  </si>
  <si>
    <t>杭州之江专修学院</t>
  </si>
  <si>
    <t>浙江建设职业技术学院</t>
  </si>
  <si>
    <t>浙江理工大学下沙校区</t>
  </si>
  <si>
    <t>浙江农林大学</t>
  </si>
  <si>
    <t>浙江师范大学</t>
  </si>
  <si>
    <t>南京三江学院</t>
  </si>
  <si>
    <t>华东交通大学理工学院</t>
  </si>
  <si>
    <t>合计</t>
    <phoneticPr fontId="1" type="noConversion"/>
  </si>
  <si>
    <r>
      <t>5月</t>
    </r>
    <r>
      <rPr>
        <sz val="9"/>
        <color indexed="8"/>
        <rFont val="宋体"/>
        <family val="3"/>
        <charset val="134"/>
      </rPr>
      <t/>
    </r>
  </si>
  <si>
    <r>
      <t>6月</t>
    </r>
    <r>
      <rPr>
        <sz val="9"/>
        <color indexed="8"/>
        <rFont val="宋体"/>
        <family val="3"/>
        <charset val="134"/>
      </rPr>
      <t/>
    </r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</si>
  <si>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</si>
  <si>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</si>
  <si>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</si>
  <si>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浙江师范大学萧山校区</t>
  </si>
  <si>
    <t>安徽商贸职业技术学院</t>
  </si>
  <si>
    <t>金华职业技术学院</t>
  </si>
  <si>
    <t>浙江传媒学院桐乡校区</t>
  </si>
  <si>
    <t>杭州职业技术学院</t>
  </si>
  <si>
    <t>临沂职业学院</t>
  </si>
  <si>
    <t>金山职业技术学院</t>
  </si>
  <si>
    <t>常州工学院</t>
  </si>
  <si>
    <t>浙江正蓝节能科技有限公司</t>
    <phoneticPr fontId="1" type="noConversion"/>
  </si>
  <si>
    <t>序号</t>
    <phoneticPr fontId="1" type="noConversion"/>
  </si>
  <si>
    <t>学校名称（及校区名）</t>
    <phoneticPr fontId="1" type="noConversion"/>
  </si>
  <si>
    <r>
      <t>1-2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</si>
  <si>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3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</si>
  <si>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4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</si>
  <si>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7-9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</si>
  <si>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10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</si>
  <si>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11</t>
    </r>
    <r>
      <rPr>
        <sz val="9"/>
        <color indexed="8"/>
        <rFont val="宋体"/>
        <family val="3"/>
        <charset val="134"/>
      </rPr>
      <t>月</t>
    </r>
    <phoneticPr fontId="1" type="noConversion"/>
  </si>
  <si>
    <r>
      <t>12</t>
    </r>
    <r>
      <rPr>
        <sz val="9"/>
        <color indexed="8"/>
        <rFont val="宋体"/>
        <family val="3"/>
        <charset val="134"/>
      </rPr>
      <t>月</t>
    </r>
    <phoneticPr fontId="1" type="noConversion"/>
  </si>
  <si>
    <t>合计</t>
    <phoneticPr fontId="1" type="noConversion"/>
  </si>
  <si>
    <t>水电成本</t>
    <phoneticPr fontId="1" type="noConversion"/>
  </si>
  <si>
    <t>学校管理费</t>
    <phoneticPr fontId="1" type="noConversion"/>
  </si>
  <si>
    <t>嘉兴学院平湖校区</t>
    <phoneticPr fontId="8" type="noConversion"/>
  </si>
  <si>
    <t>杭州之江专修学院</t>
    <phoneticPr fontId="8" type="noConversion"/>
  </si>
  <si>
    <t>浙江建设职业技术学院</t>
    <phoneticPr fontId="8" type="noConversion"/>
  </si>
  <si>
    <t>江西卫生职业学院</t>
  </si>
  <si>
    <t>温州医科大学</t>
    <phoneticPr fontId="1" type="noConversion"/>
  </si>
  <si>
    <t>常州机电职业技术学院</t>
    <phoneticPr fontId="1" type="noConversion"/>
  </si>
  <si>
    <t>浙江师范大学附属中学</t>
    <phoneticPr fontId="1" type="noConversion"/>
  </si>
  <si>
    <t>滁州学院琅琊校区</t>
    <phoneticPr fontId="1" type="noConversion"/>
  </si>
  <si>
    <t>山东农业大学</t>
    <phoneticPr fontId="1" type="noConversion"/>
  </si>
  <si>
    <t>浙江工业职业技术学院</t>
    <phoneticPr fontId="1" type="noConversion"/>
  </si>
  <si>
    <t>浙江传媒学院下沙校区</t>
    <phoneticPr fontId="8" type="noConversion"/>
  </si>
  <si>
    <t>滁州学院会峰校区</t>
    <phoneticPr fontId="1" type="noConversion"/>
  </si>
  <si>
    <t>常州工程职业技术学院</t>
    <phoneticPr fontId="1" type="noConversion"/>
  </si>
  <si>
    <t>阜阳师范学院</t>
    <phoneticPr fontId="1" type="noConversion"/>
  </si>
  <si>
    <t>郑州航空工业管理学院</t>
    <phoneticPr fontId="8" type="noConversion"/>
  </si>
  <si>
    <t>山东理工大学</t>
    <phoneticPr fontId="8" type="noConversion"/>
  </si>
  <si>
    <t>安徽职业技术学院</t>
    <phoneticPr fontId="8" type="noConversion"/>
  </si>
  <si>
    <t>舒城师范学校</t>
    <phoneticPr fontId="8" type="noConversion"/>
  </si>
  <si>
    <t>江苏大学</t>
    <phoneticPr fontId="8" type="noConversion"/>
  </si>
  <si>
    <t>齐鲁工业大学</t>
    <phoneticPr fontId="9" type="noConversion"/>
  </si>
  <si>
    <t>淮阴师范学院</t>
    <phoneticPr fontId="9" type="noConversion"/>
  </si>
  <si>
    <t>河南工学院</t>
    <phoneticPr fontId="9" type="noConversion"/>
  </si>
  <si>
    <t>温州医科大学</t>
  </si>
  <si>
    <t>维护费</t>
    <phoneticPr fontId="1" type="noConversion"/>
  </si>
  <si>
    <t>大维修</t>
    <phoneticPr fontId="1" type="noConversion"/>
  </si>
  <si>
    <t>其他</t>
    <phoneticPr fontId="1" type="noConversion"/>
  </si>
  <si>
    <t>丽水市职业高级中学</t>
  </si>
  <si>
    <t>嘉兴学院</t>
    <phoneticPr fontId="10" type="noConversion"/>
  </si>
  <si>
    <t>嘉兴学院平湖校区</t>
  </si>
  <si>
    <t>浙江师范大学附属中学</t>
  </si>
  <si>
    <t>义乌工商职业技术学院</t>
  </si>
  <si>
    <t>常州机电职业技术学院</t>
  </si>
  <si>
    <t>常州工程职业技术学院</t>
  </si>
  <si>
    <t>滁州学院琅琊校区</t>
  </si>
  <si>
    <t>滁州学院会峰校区</t>
  </si>
  <si>
    <t>浙江传媒学院下沙校区</t>
  </si>
  <si>
    <t>浙江工业职业技术学院</t>
  </si>
  <si>
    <t>山东农业大学</t>
  </si>
  <si>
    <t>阜阳师范学院</t>
  </si>
  <si>
    <t>嘉兴学院梁林校区</t>
  </si>
  <si>
    <t>郑州航空工业管理学院</t>
  </si>
  <si>
    <t>安徽工商职业学院</t>
  </si>
  <si>
    <t>山东理工大学</t>
  </si>
  <si>
    <t>齐鲁工业大学</t>
  </si>
  <si>
    <t>安徽职业技术学院</t>
  </si>
  <si>
    <t>淮阴师范学院</t>
  </si>
  <si>
    <t>江苏大学</t>
  </si>
  <si>
    <t>舒城师范学院</t>
  </si>
  <si>
    <t>河南工学院</t>
  </si>
  <si>
    <t>嘉兴学院梁林校区</t>
    <phoneticPr fontId="9" type="noConversion"/>
  </si>
  <si>
    <t>维护费</t>
    <phoneticPr fontId="1" type="noConversion"/>
  </si>
  <si>
    <t>大维修</t>
    <phoneticPr fontId="1" type="noConversion"/>
  </si>
  <si>
    <t>其他</t>
    <phoneticPr fontId="1" type="noConversion"/>
  </si>
  <si>
    <t>充值金额</t>
    <phoneticPr fontId="1" type="noConversion"/>
  </si>
  <si>
    <t>学校管理费</t>
    <phoneticPr fontId="1" type="noConversion"/>
  </si>
  <si>
    <t>水电成本</t>
    <phoneticPr fontId="1" type="noConversion"/>
  </si>
  <si>
    <t>贫困生补助</t>
    <phoneticPr fontId="1" type="noConversion"/>
  </si>
  <si>
    <t>胡柱宁</t>
    <phoneticPr fontId="1" type="noConversion"/>
  </si>
  <si>
    <t>叶涛</t>
    <phoneticPr fontId="1" type="noConversion"/>
  </si>
  <si>
    <t>普贝贝</t>
    <phoneticPr fontId="1" type="noConversion"/>
  </si>
  <si>
    <t>浙江大学西溪校区</t>
  </si>
  <si>
    <t>黄英豪</t>
  </si>
  <si>
    <t>皖西学院</t>
    <phoneticPr fontId="9" type="noConversion"/>
  </si>
  <si>
    <t>助学金</t>
    <phoneticPr fontId="1" type="noConversion"/>
  </si>
  <si>
    <t>学校管理费</t>
    <phoneticPr fontId="1" type="noConversion"/>
  </si>
  <si>
    <t>18年毛利润指标</t>
    <phoneticPr fontId="1" type="noConversion"/>
  </si>
  <si>
    <t>实际毛利润</t>
    <phoneticPr fontId="1" type="noConversion"/>
  </si>
  <si>
    <t>备注</t>
    <phoneticPr fontId="1" type="noConversion"/>
  </si>
  <si>
    <t>指标完成占比</t>
    <phoneticPr fontId="1" type="noConversion"/>
  </si>
  <si>
    <t>蚌埠医学院</t>
    <phoneticPr fontId="9" type="noConversion"/>
  </si>
  <si>
    <t>河南林业职业学院</t>
    <phoneticPr fontId="9" type="noConversion"/>
  </si>
  <si>
    <t>淮阴工学院</t>
    <phoneticPr fontId="9" type="noConversion"/>
  </si>
  <si>
    <t>浙江交通技师学院</t>
    <phoneticPr fontId="9" type="noConversion"/>
  </si>
  <si>
    <t>宁波大学新购校区</t>
    <phoneticPr fontId="1" type="noConversion"/>
  </si>
  <si>
    <t>水电费暂估</t>
    <phoneticPr fontId="1" type="noConversion"/>
  </si>
  <si>
    <t>田运吉</t>
    <phoneticPr fontId="1" type="noConversion"/>
  </si>
  <si>
    <t>彭海军</t>
    <phoneticPr fontId="1" type="noConversion"/>
  </si>
  <si>
    <t>王张兴</t>
    <phoneticPr fontId="1" type="noConversion"/>
  </si>
  <si>
    <t>胡涛</t>
    <phoneticPr fontId="1" type="noConversion"/>
  </si>
  <si>
    <t>刘方海</t>
    <phoneticPr fontId="1" type="noConversion"/>
  </si>
  <si>
    <t>戚守学</t>
    <phoneticPr fontId="1" type="noConversion"/>
  </si>
  <si>
    <t>费贤艮</t>
    <phoneticPr fontId="1" type="noConversion"/>
  </si>
  <si>
    <t>韩天涛，宋洪荣</t>
    <phoneticPr fontId="1" type="noConversion"/>
  </si>
  <si>
    <t>王庆龙</t>
    <phoneticPr fontId="1" type="noConversion"/>
  </si>
  <si>
    <t>不包含山东理工新增项目饮水机</t>
  </si>
  <si>
    <t>新增饮水机营业额298363.88</t>
  </si>
  <si>
    <t>新增饮水机水电费101217.30</t>
  </si>
  <si>
    <t>新增饮水机管理费14918.20</t>
  </si>
  <si>
    <t>王玉波</t>
    <phoneticPr fontId="1" type="noConversion"/>
  </si>
  <si>
    <t>王玉震</t>
    <phoneticPr fontId="1" type="noConversion"/>
  </si>
  <si>
    <t>汪永远</t>
    <phoneticPr fontId="1" type="noConversion"/>
  </si>
  <si>
    <t>陈洪亮</t>
    <phoneticPr fontId="1" type="noConversion"/>
  </si>
  <si>
    <t>王林华</t>
    <phoneticPr fontId="1" type="noConversion"/>
  </si>
  <si>
    <t>夏开涛</t>
    <phoneticPr fontId="1" type="noConversion"/>
  </si>
  <si>
    <t>陈余丰</t>
    <phoneticPr fontId="1" type="noConversion"/>
  </si>
  <si>
    <t>李圣海</t>
    <phoneticPr fontId="1" type="noConversion"/>
  </si>
  <si>
    <t>于国峰</t>
    <phoneticPr fontId="1" type="noConversion"/>
  </si>
  <si>
    <t>冯豆豆</t>
    <phoneticPr fontId="1" type="noConversion"/>
  </si>
  <si>
    <t>畅俊杰</t>
    <phoneticPr fontId="1" type="noConversion"/>
  </si>
  <si>
    <t>林远进</t>
    <phoneticPr fontId="1" type="noConversion"/>
  </si>
  <si>
    <t>黎德超</t>
    <phoneticPr fontId="1" type="noConversion"/>
  </si>
  <si>
    <t>汪培靑</t>
    <phoneticPr fontId="1" type="noConversion"/>
  </si>
  <si>
    <t>柴江湖</t>
    <phoneticPr fontId="1" type="noConversion"/>
  </si>
  <si>
    <t>吴冬祥</t>
    <phoneticPr fontId="1" type="noConversion"/>
  </si>
  <si>
    <t>魏友国</t>
    <phoneticPr fontId="1" type="noConversion"/>
  </si>
  <si>
    <t>应奇华</t>
    <phoneticPr fontId="1" type="noConversion"/>
  </si>
  <si>
    <t>帅敏</t>
    <phoneticPr fontId="1" type="noConversion"/>
  </si>
  <si>
    <t>马浚冯，王锦伟</t>
    <phoneticPr fontId="1" type="noConversion"/>
  </si>
  <si>
    <t>祝俊华，包胜，何文杰</t>
    <phoneticPr fontId="1" type="noConversion"/>
  </si>
  <si>
    <t>胡建</t>
    <phoneticPr fontId="1" type="noConversion"/>
  </si>
  <si>
    <t>赵海涛</t>
    <phoneticPr fontId="1" type="noConversion"/>
  </si>
  <si>
    <t>任继伦</t>
    <phoneticPr fontId="1" type="noConversion"/>
  </si>
  <si>
    <t>王锡镪</t>
    <phoneticPr fontId="1" type="noConversion"/>
  </si>
  <si>
    <t>祝庄槐</t>
    <phoneticPr fontId="1" type="noConversion"/>
  </si>
  <si>
    <t>武华强，祝胜</t>
    <phoneticPr fontId="1" type="noConversion"/>
  </si>
  <si>
    <t>许剑波</t>
    <phoneticPr fontId="1" type="noConversion"/>
  </si>
  <si>
    <t>钱龙</t>
    <phoneticPr fontId="1" type="noConversion"/>
  </si>
  <si>
    <t>罗超，胡家富，王守健</t>
    <phoneticPr fontId="1" type="noConversion"/>
  </si>
  <si>
    <t>赵全</t>
    <phoneticPr fontId="1" type="noConversion"/>
  </si>
  <si>
    <t>毛炳俊，诸秀良</t>
    <phoneticPr fontId="1" type="noConversion"/>
  </si>
  <si>
    <t>2018年</t>
    <phoneticPr fontId="1" type="noConversion"/>
  </si>
  <si>
    <t>2017年</t>
    <phoneticPr fontId="1" type="noConversion"/>
  </si>
  <si>
    <t>2017年充值差额收入成本比</t>
    <phoneticPr fontId="1" type="noConversion"/>
  </si>
  <si>
    <t>於国强</t>
    <phoneticPr fontId="1" type="noConversion"/>
  </si>
  <si>
    <t>黄英豪</t>
    <phoneticPr fontId="1" type="noConversion"/>
  </si>
  <si>
    <t>奖金</t>
    <phoneticPr fontId="1" type="noConversion"/>
  </si>
  <si>
    <t>超出金额</t>
    <phoneticPr fontId="1" type="noConversion"/>
  </si>
  <si>
    <t>黄英豪</t>
    <phoneticPr fontId="1" type="noConversion"/>
  </si>
  <si>
    <t>合计</t>
    <phoneticPr fontId="1" type="noConversion"/>
  </si>
  <si>
    <t>胡柱宁</t>
    <phoneticPr fontId="1" type="noConversion"/>
  </si>
  <si>
    <t>胡柱宁</t>
    <phoneticPr fontId="1" type="noConversion"/>
  </si>
  <si>
    <t>叶涛</t>
    <phoneticPr fontId="1" type="noConversion"/>
  </si>
  <si>
    <t>叶涛</t>
    <phoneticPr fontId="1" type="noConversion"/>
  </si>
  <si>
    <t>普贝贝</t>
    <phoneticPr fontId="1" type="noConversion"/>
  </si>
  <si>
    <t>总计</t>
    <phoneticPr fontId="1" type="noConversion"/>
  </si>
  <si>
    <t>常州机电9-12月电费按100%暂估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</si>
</sst>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#,##0.00_ "/>
    <numFmt numFmtId="179" formatCode="#,##0.000_ "/>
    <numFmt numFmtId="180" formatCode="0_);[Red]\(0\)"/>
  </numFmts>
  <fonts count="2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8"/>
      <color indexed="8"/>
      <name val="Arial Unicode MS"/>
      <family val="2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4"/>
      <name val="宋体"/>
      <family val="3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Arial Unicode MS"/>
      <family val="2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6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15" fillId="0" borderId="1" xfId="0" applyFont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0" fontId="0" fillId="0" borderId="1" xfId="0" applyNumberFormat="1" applyBorder="1" applyAlignment="1">
      <alignment horizontal="center"/>
    </xf>
    <xf numFmtId="10" fontId="2" fillId="2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vertical="center"/>
    </xf>
    <xf numFmtId="180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7">
    <cellStyle name="差_2018年收入" xfId="4"/>
    <cellStyle name="常规" xfId="0" builtinId="0"/>
    <cellStyle name="常规 2" xfId="2"/>
    <cellStyle name="常规 3" xfId="1"/>
    <cellStyle name="常规 3 2" xfId="3"/>
    <cellStyle name="常规 3_2018年收入" xfId="5"/>
    <cellStyle name="好_2018年收入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993;&#27743;&#27491;&#34013;&#33410;&#33021;&#31185;&#25216;&#32929;&#20221;&#26377;&#38480;&#20844;&#21496;2018&#24180;&#23398;&#26657;&#25351;&#26631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丽水职业技术学院</v>
          </cell>
          <cell r="C3">
            <v>0</v>
          </cell>
          <cell r="D3">
            <v>0</v>
          </cell>
          <cell r="E3">
            <v>79</v>
          </cell>
        </row>
        <row r="4">
          <cell r="B4" t="str">
            <v>丽水中学</v>
          </cell>
          <cell r="C4">
            <v>0</v>
          </cell>
          <cell r="D4">
            <v>0</v>
          </cell>
          <cell r="E4">
            <v>30</v>
          </cell>
        </row>
        <row r="5">
          <cell r="B5" t="str">
            <v>丽水市职业高级中学</v>
          </cell>
          <cell r="C5">
            <v>0</v>
          </cell>
          <cell r="D5">
            <v>0</v>
          </cell>
          <cell r="E5">
            <v>14</v>
          </cell>
        </row>
        <row r="6">
          <cell r="B6" t="str">
            <v>浙江工业职业技术学院</v>
          </cell>
          <cell r="C6">
            <v>0</v>
          </cell>
          <cell r="D6">
            <v>0</v>
          </cell>
          <cell r="E6">
            <v>140</v>
          </cell>
        </row>
        <row r="7">
          <cell r="B7" t="str">
            <v>杭州之江专修学院</v>
          </cell>
          <cell r="C7">
            <v>0</v>
          </cell>
          <cell r="D7">
            <v>0</v>
          </cell>
          <cell r="E7">
            <v>13</v>
          </cell>
        </row>
        <row r="8">
          <cell r="B8" t="str">
            <v>滁州学院琅琊校区</v>
          </cell>
          <cell r="C8">
            <v>0</v>
          </cell>
          <cell r="D8">
            <v>0</v>
          </cell>
          <cell r="E8">
            <v>46</v>
          </cell>
        </row>
        <row r="9">
          <cell r="B9" t="str">
            <v>滁州学院会峰校区</v>
          </cell>
          <cell r="C9">
            <v>0</v>
          </cell>
          <cell r="D9">
            <v>0</v>
          </cell>
          <cell r="E9">
            <v>247</v>
          </cell>
        </row>
        <row r="10">
          <cell r="B10" t="str">
            <v>阜阳师范学院</v>
          </cell>
          <cell r="C10">
            <v>0</v>
          </cell>
          <cell r="D10">
            <v>0</v>
          </cell>
          <cell r="E10">
            <v>117</v>
          </cell>
        </row>
        <row r="11">
          <cell r="B11" t="str">
            <v>安徽工商职业学院</v>
          </cell>
          <cell r="C11">
            <v>0</v>
          </cell>
          <cell r="D11">
            <v>0</v>
          </cell>
          <cell r="E11">
            <v>128</v>
          </cell>
        </row>
        <row r="12">
          <cell r="B12" t="str">
            <v>安徽商贸职业技术学院</v>
          </cell>
          <cell r="C12">
            <v>0</v>
          </cell>
          <cell r="D12">
            <v>0</v>
          </cell>
          <cell r="E12">
            <v>120</v>
          </cell>
        </row>
        <row r="13">
          <cell r="B13" t="str">
            <v>安徽职业技术学院</v>
          </cell>
          <cell r="C13">
            <v>0</v>
          </cell>
          <cell r="D13">
            <v>0</v>
          </cell>
          <cell r="E13">
            <v>53</v>
          </cell>
        </row>
        <row r="14">
          <cell r="B14" t="str">
            <v>舒城师范学院</v>
          </cell>
          <cell r="C14">
            <v>0</v>
          </cell>
          <cell r="D14">
            <v>0</v>
          </cell>
          <cell r="E14">
            <v>36</v>
          </cell>
        </row>
        <row r="15">
          <cell r="B15" t="str">
            <v>山东农业大学</v>
          </cell>
          <cell r="C15">
            <v>0</v>
          </cell>
          <cell r="D15">
            <v>0</v>
          </cell>
          <cell r="E15">
            <v>192</v>
          </cell>
        </row>
        <row r="16">
          <cell r="B16" t="str">
            <v>临沂职业学院</v>
          </cell>
          <cell r="C16">
            <v>0</v>
          </cell>
          <cell r="D16">
            <v>0</v>
          </cell>
          <cell r="E16">
            <v>55</v>
          </cell>
        </row>
        <row r="17">
          <cell r="B17" t="str">
            <v>山东理工大学</v>
          </cell>
          <cell r="C17">
            <v>0</v>
          </cell>
          <cell r="D17">
            <v>0</v>
          </cell>
          <cell r="E17">
            <v>20</v>
          </cell>
        </row>
        <row r="18">
          <cell r="B18" t="str">
            <v>齐鲁工业大学</v>
          </cell>
          <cell r="C18">
            <v>0</v>
          </cell>
          <cell r="D18">
            <v>0</v>
          </cell>
          <cell r="E18">
            <v>287</v>
          </cell>
        </row>
        <row r="19">
          <cell r="B19" t="str">
            <v>嘉兴学院平湖校区</v>
          </cell>
          <cell r="C19">
            <v>0</v>
          </cell>
          <cell r="D19">
            <v>0</v>
          </cell>
          <cell r="E19">
            <v>43</v>
          </cell>
        </row>
        <row r="20">
          <cell r="B20" t="str">
            <v>嘉兴学院</v>
          </cell>
          <cell r="C20">
            <v>0</v>
          </cell>
          <cell r="D20">
            <v>0</v>
          </cell>
          <cell r="E20">
            <v>73</v>
          </cell>
        </row>
        <row r="21">
          <cell r="B21" t="str">
            <v>嘉兴学院梁林校区</v>
          </cell>
          <cell r="C21">
            <v>0</v>
          </cell>
          <cell r="D21">
            <v>0</v>
          </cell>
          <cell r="E21">
            <v>164</v>
          </cell>
        </row>
        <row r="22">
          <cell r="B22" t="str">
            <v>台州学院</v>
          </cell>
          <cell r="C22">
            <v>0</v>
          </cell>
          <cell r="D22">
            <v>0</v>
          </cell>
          <cell r="E22">
            <v>58</v>
          </cell>
        </row>
        <row r="23">
          <cell r="B23" t="str">
            <v>浙江建设职业技术学院</v>
          </cell>
          <cell r="C23">
            <v>0</v>
          </cell>
          <cell r="D23">
            <v>0</v>
          </cell>
          <cell r="E23">
            <v>103</v>
          </cell>
        </row>
        <row r="24">
          <cell r="B24" t="str">
            <v>浙江农林大学</v>
          </cell>
          <cell r="C24">
            <v>0</v>
          </cell>
          <cell r="D24">
            <v>0</v>
          </cell>
          <cell r="E24">
            <v>174</v>
          </cell>
        </row>
        <row r="25">
          <cell r="B25" t="str">
            <v>浙江师范大学萧山校区</v>
          </cell>
          <cell r="C25">
            <v>0</v>
          </cell>
          <cell r="D25">
            <v>0</v>
          </cell>
          <cell r="E25">
            <v>35</v>
          </cell>
        </row>
        <row r="26">
          <cell r="B26" t="str">
            <v>浙江传媒学院桐乡校区</v>
          </cell>
          <cell r="C26">
            <v>0</v>
          </cell>
          <cell r="D26">
            <v>0</v>
          </cell>
          <cell r="E26">
            <v>137</v>
          </cell>
        </row>
        <row r="27">
          <cell r="B27" t="str">
            <v>常州机电职业技术学院</v>
          </cell>
          <cell r="C27">
            <v>0</v>
          </cell>
          <cell r="D27">
            <v>0</v>
          </cell>
          <cell r="E27">
            <v>151</v>
          </cell>
        </row>
        <row r="28">
          <cell r="B28" t="str">
            <v>常州工程职业技术学院</v>
          </cell>
          <cell r="C28">
            <v>0</v>
          </cell>
          <cell r="D28">
            <v>0</v>
          </cell>
          <cell r="E28">
            <v>182</v>
          </cell>
        </row>
        <row r="29">
          <cell r="B29" t="str">
            <v>常州工学院</v>
          </cell>
          <cell r="C29">
            <v>0</v>
          </cell>
          <cell r="D29">
            <v>0</v>
          </cell>
          <cell r="E29">
            <v>110</v>
          </cell>
        </row>
        <row r="30">
          <cell r="B30" t="str">
            <v>江苏大学</v>
          </cell>
          <cell r="C30">
            <v>0</v>
          </cell>
          <cell r="D30">
            <v>0</v>
          </cell>
          <cell r="E30">
            <v>284</v>
          </cell>
        </row>
        <row r="31">
          <cell r="B31" t="str">
            <v>宁波城市职业技术学院</v>
          </cell>
          <cell r="C31">
            <v>0</v>
          </cell>
          <cell r="D31">
            <v>0</v>
          </cell>
          <cell r="E31">
            <v>111</v>
          </cell>
        </row>
        <row r="32">
          <cell r="B32" t="str">
            <v>浙江工商职业技术学院</v>
          </cell>
          <cell r="C32">
            <v>0</v>
          </cell>
          <cell r="D32">
            <v>0</v>
          </cell>
          <cell r="E32">
            <v>87</v>
          </cell>
        </row>
        <row r="33">
          <cell r="B33" t="str">
            <v>宁波大学</v>
          </cell>
          <cell r="C33">
            <v>0</v>
          </cell>
          <cell r="D33">
            <v>0</v>
          </cell>
          <cell r="E33">
            <v>191</v>
          </cell>
        </row>
        <row r="34">
          <cell r="B34" t="str">
            <v>浙江商业技师学院</v>
          </cell>
          <cell r="C34">
            <v>0</v>
          </cell>
          <cell r="D34">
            <v>0</v>
          </cell>
          <cell r="E34">
            <v>21</v>
          </cell>
        </row>
        <row r="35">
          <cell r="B35" t="str">
            <v>温州医科大学</v>
          </cell>
          <cell r="C35">
            <v>0</v>
          </cell>
          <cell r="D35">
            <v>0</v>
          </cell>
          <cell r="E35">
            <v>310</v>
          </cell>
        </row>
        <row r="36">
          <cell r="B36" t="str">
            <v>浙江理工大学下沙校区</v>
          </cell>
          <cell r="C36">
            <v>0</v>
          </cell>
          <cell r="D36">
            <v>0</v>
          </cell>
          <cell r="E36">
            <v>221</v>
          </cell>
        </row>
        <row r="37">
          <cell r="B37" t="str">
            <v>浙江传媒学院下沙校区</v>
          </cell>
          <cell r="C37">
            <v>0</v>
          </cell>
          <cell r="D37">
            <v>0</v>
          </cell>
          <cell r="E37">
            <v>231</v>
          </cell>
        </row>
        <row r="38">
          <cell r="B38" t="str">
            <v>杭州职业技术学院</v>
          </cell>
          <cell r="C38">
            <v>0</v>
          </cell>
          <cell r="D38">
            <v>0</v>
          </cell>
          <cell r="E38">
            <v>169</v>
          </cell>
        </row>
        <row r="39">
          <cell r="B39" t="str">
            <v>金山职业技术学院</v>
          </cell>
          <cell r="C39">
            <v>0</v>
          </cell>
          <cell r="D39">
            <v>0</v>
          </cell>
          <cell r="E39">
            <v>34</v>
          </cell>
        </row>
        <row r="40">
          <cell r="B40" t="str">
            <v>南京三江学院</v>
          </cell>
          <cell r="C40">
            <v>0</v>
          </cell>
          <cell r="D40">
            <v>0</v>
          </cell>
          <cell r="E40">
            <v>207</v>
          </cell>
        </row>
        <row r="41">
          <cell r="B41" t="str">
            <v>衢州学院</v>
          </cell>
          <cell r="C41">
            <v>0</v>
          </cell>
          <cell r="D41">
            <v>0</v>
          </cell>
          <cell r="E41">
            <v>134</v>
          </cell>
        </row>
        <row r="42">
          <cell r="B42" t="str">
            <v>衢州职业技术学院</v>
          </cell>
          <cell r="C42">
            <v>0</v>
          </cell>
          <cell r="D42">
            <v>0</v>
          </cell>
          <cell r="E42">
            <v>62</v>
          </cell>
        </row>
        <row r="43">
          <cell r="B43" t="str">
            <v>江山实验中学</v>
          </cell>
          <cell r="C43">
            <v>0</v>
          </cell>
          <cell r="D43">
            <v>0</v>
          </cell>
          <cell r="E43">
            <v>11</v>
          </cell>
        </row>
        <row r="44">
          <cell r="B44" t="str">
            <v>浙江师范大学</v>
          </cell>
          <cell r="C44">
            <v>0</v>
          </cell>
          <cell r="D44">
            <v>0</v>
          </cell>
          <cell r="E44">
            <v>100</v>
          </cell>
        </row>
        <row r="45">
          <cell r="B45" t="str">
            <v>浙江师范大学附属中学</v>
          </cell>
          <cell r="C45">
            <v>0</v>
          </cell>
          <cell r="D45">
            <v>0</v>
          </cell>
          <cell r="E45">
            <v>61</v>
          </cell>
        </row>
        <row r="46">
          <cell r="B46" t="str">
            <v>金华职业技术学院</v>
          </cell>
          <cell r="C46">
            <v>0</v>
          </cell>
          <cell r="D46">
            <v>0</v>
          </cell>
          <cell r="E46">
            <v>312</v>
          </cell>
        </row>
        <row r="47">
          <cell r="B47" t="str">
            <v>义乌工商职业技术学院</v>
          </cell>
          <cell r="C47">
            <v>0</v>
          </cell>
          <cell r="D47">
            <v>0</v>
          </cell>
          <cell r="E47">
            <v>95</v>
          </cell>
        </row>
        <row r="48">
          <cell r="B48" t="str">
            <v>浙大西溪校区</v>
          </cell>
          <cell r="C48">
            <v>0</v>
          </cell>
          <cell r="D48">
            <v>0</v>
          </cell>
          <cell r="E48">
            <v>8</v>
          </cell>
        </row>
        <row r="49">
          <cell r="B49" t="str">
            <v>华东交通大学理工学院</v>
          </cell>
          <cell r="C49">
            <v>0</v>
          </cell>
          <cell r="D49">
            <v>0</v>
          </cell>
          <cell r="E49">
            <v>102</v>
          </cell>
        </row>
        <row r="50">
          <cell r="B50" t="str">
            <v>江西卫生职业学院</v>
          </cell>
          <cell r="C50">
            <v>0</v>
          </cell>
          <cell r="D50">
            <v>0</v>
          </cell>
          <cell r="E50">
            <v>136</v>
          </cell>
        </row>
        <row r="51">
          <cell r="B51" t="str">
            <v>郑州航空工业管理学院</v>
          </cell>
          <cell r="C51">
            <v>0</v>
          </cell>
          <cell r="D51">
            <v>0</v>
          </cell>
          <cell r="E51">
            <v>425</v>
          </cell>
        </row>
        <row r="52">
          <cell r="B52" t="str">
            <v>淮阴师范学院</v>
          </cell>
          <cell r="C52">
            <v>0</v>
          </cell>
          <cell r="D52">
            <v>0</v>
          </cell>
          <cell r="E52">
            <v>82</v>
          </cell>
        </row>
        <row r="53">
          <cell r="B53" t="str">
            <v>河南工学院</v>
          </cell>
          <cell r="C53">
            <v>0</v>
          </cell>
          <cell r="D53">
            <v>0</v>
          </cell>
          <cell r="E53">
            <v>41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8"/>
  <sheetViews>
    <sheetView tabSelected="1" zoomScaleNormal="100" workbookViewId="0">
      <pane xSplit="3" ySplit="3" topLeftCell="J184" activePane="bottomRight" state="frozen"/>
      <selection pane="topRight" activeCell="D1" sqref="D1"/>
      <selection pane="bottomLeft" activeCell="A4" sqref="A4"/>
      <selection pane="bottomRight" activeCell="W195" sqref="W195"/>
    </sheetView>
  </sheetViews>
  <sheetFormatPr defaultColWidth="11.5" defaultRowHeight="13.5" x14ac:dyDescent="0.15"/>
  <cols>
    <col min="1" max="1" width="7.125" style="3" customWidth="1"/>
    <col min="2" max="2" width="17.625" style="3" customWidth="1"/>
    <col min="3" max="3" width="11.5" style="3" customWidth="1"/>
    <col min="4" max="13" width="11.5" style="9" customWidth="1"/>
    <col min="14" max="14" width="11.5" style="16" customWidth="1"/>
    <col min="15" max="15" width="13.375" style="16" hidden="1" customWidth="1"/>
    <col min="16" max="16" width="13.75" style="16" hidden="1" customWidth="1"/>
    <col min="17" max="17" width="13.625" style="19" customWidth="1"/>
    <col min="18" max="18" width="11.5" style="16"/>
    <col min="19" max="19" width="11.375" style="16" customWidth="1"/>
    <col min="20" max="20" width="11" style="19" customWidth="1"/>
    <col min="21" max="21" width="11.375" style="69" customWidth="1"/>
    <col min="22" max="22" width="13.75" style="6" customWidth="1"/>
    <col min="23" max="23" width="14.625" style="16" customWidth="1"/>
    <col min="24" max="24" width="10.875" style="1" customWidth="1"/>
    <col min="25" max="16384" width="11.5" style="1"/>
  </cols>
  <sheetData>
    <row r="1" spans="1:24" ht="27" x14ac:dyDescent="0.15">
      <c r="A1" s="74" t="s">
        <v>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64"/>
      <c r="U1" s="65"/>
    </row>
    <row r="2" spans="1:24" ht="15.75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64"/>
      <c r="U2" s="65"/>
    </row>
    <row r="3" spans="1:24" s="3" customFormat="1" ht="24.75" customHeight="1" x14ac:dyDescent="0.15">
      <c r="A3" s="2" t="s">
        <v>33</v>
      </c>
      <c r="B3" s="11" t="s">
        <v>34</v>
      </c>
      <c r="C3" s="4"/>
      <c r="D3" s="7" t="s">
        <v>35</v>
      </c>
      <c r="E3" s="5" t="s">
        <v>36</v>
      </c>
      <c r="F3" s="5" t="s">
        <v>37</v>
      </c>
      <c r="G3" s="5" t="s">
        <v>19</v>
      </c>
      <c r="H3" s="31" t="s">
        <v>20</v>
      </c>
      <c r="I3" s="5" t="s">
        <v>38</v>
      </c>
      <c r="J3" s="5" t="s">
        <v>39</v>
      </c>
      <c r="K3" s="5" t="s">
        <v>40</v>
      </c>
      <c r="L3" s="5" t="s">
        <v>41</v>
      </c>
      <c r="M3" s="8" t="s">
        <v>42</v>
      </c>
      <c r="N3" s="14" t="s">
        <v>165</v>
      </c>
      <c r="O3" s="14" t="s">
        <v>166</v>
      </c>
      <c r="P3" s="52" t="s">
        <v>167</v>
      </c>
      <c r="Q3" s="17" t="s">
        <v>110</v>
      </c>
      <c r="R3" s="14" t="s">
        <v>111</v>
      </c>
      <c r="S3" s="14" t="s">
        <v>113</v>
      </c>
      <c r="T3" s="17" t="s">
        <v>171</v>
      </c>
      <c r="U3" s="66" t="s">
        <v>170</v>
      </c>
      <c r="V3" s="43" t="s">
        <v>112</v>
      </c>
      <c r="W3" s="50"/>
    </row>
    <row r="4" spans="1:24" ht="20.100000000000001" customHeight="1" x14ac:dyDescent="0.15">
      <c r="A4" s="76" t="s">
        <v>106</v>
      </c>
      <c r="B4" s="13" t="s">
        <v>4</v>
      </c>
      <c r="C4" s="23" t="s">
        <v>98</v>
      </c>
      <c r="D4" s="36">
        <v>65030.2</v>
      </c>
      <c r="E4" s="36">
        <v>151040</v>
      </c>
      <c r="F4" s="36">
        <v>88840</v>
      </c>
      <c r="G4" s="36">
        <v>120040</v>
      </c>
      <c r="H4" s="36">
        <v>39370</v>
      </c>
      <c r="I4" s="36">
        <v>205770</v>
      </c>
      <c r="J4" s="36">
        <v>135288</v>
      </c>
      <c r="K4" s="36">
        <v>160445</v>
      </c>
      <c r="L4" s="22">
        <v>141002</v>
      </c>
      <c r="M4" s="48">
        <f>SUM(D4:L4)</f>
        <v>1106825.2</v>
      </c>
      <c r="N4" s="21">
        <f>ROUND(M4/10000,2)</f>
        <v>110.68</v>
      </c>
      <c r="O4" s="21">
        <v>1031590</v>
      </c>
      <c r="P4" s="21">
        <f>M4-O4</f>
        <v>75235.199999999953</v>
      </c>
      <c r="Q4" s="21">
        <f>VLOOKUP(B4,[1]Sheet1!$B$3:$E$53,4,0)</f>
        <v>79</v>
      </c>
      <c r="R4" s="21">
        <f>(M4-M5-M6-M7-M8-M9)/10000</f>
        <v>76.221615999999997</v>
      </c>
      <c r="S4" s="15">
        <f>R4/Q4</f>
        <v>0.96483058227848095</v>
      </c>
      <c r="T4" s="18">
        <f>R4-Q4</f>
        <v>-2.7783840000000026</v>
      </c>
      <c r="U4" s="67">
        <f>IF((T4+T10+T16)&gt;0,2000+(T4+T10+T16)*0.05*10000,0)</f>
        <v>0</v>
      </c>
      <c r="V4" s="70" t="s">
        <v>168</v>
      </c>
      <c r="W4" s="50"/>
      <c r="X4" s="61"/>
    </row>
    <row r="5" spans="1:24" ht="20.100000000000001" customHeight="1" x14ac:dyDescent="0.15">
      <c r="A5" s="77"/>
      <c r="B5" s="13" t="s">
        <v>4</v>
      </c>
      <c r="C5" s="23" t="s">
        <v>99</v>
      </c>
      <c r="D5" s="36">
        <v>2601.21</v>
      </c>
      <c r="E5" s="36">
        <v>6041.6</v>
      </c>
      <c r="F5" s="36">
        <f>F4*0.04</f>
        <v>3553.6</v>
      </c>
      <c r="G5" s="36">
        <f>G4*0.04</f>
        <v>4801.6000000000004</v>
      </c>
      <c r="H5" s="36">
        <v>1574.8</v>
      </c>
      <c r="I5" s="22">
        <f>I4*0.04</f>
        <v>8230.7999999999993</v>
      </c>
      <c r="J5" s="22">
        <f>J4*0.04</f>
        <v>5411.52</v>
      </c>
      <c r="K5" s="22">
        <f>K4*0.04</f>
        <v>6417.8</v>
      </c>
      <c r="L5" s="22">
        <f>L4*0.04</f>
        <v>5640.08</v>
      </c>
      <c r="M5" s="48">
        <f>SUM(D5:L5)</f>
        <v>44273.01</v>
      </c>
      <c r="N5" s="15">
        <f>M5/M4</f>
        <v>4.0000001806970067E-2</v>
      </c>
      <c r="O5" s="44">
        <v>41263.599999999999</v>
      </c>
      <c r="P5" s="50">
        <f>O5/O4</f>
        <v>0.04</v>
      </c>
      <c r="Q5" s="18"/>
      <c r="R5" s="15"/>
      <c r="S5" s="15"/>
      <c r="T5" s="18"/>
      <c r="U5" s="67"/>
      <c r="V5" s="71"/>
      <c r="W5" s="50"/>
      <c r="X5" s="61"/>
    </row>
    <row r="6" spans="1:24" ht="20.100000000000001" customHeight="1" x14ac:dyDescent="0.15">
      <c r="A6" s="77"/>
      <c r="B6" s="13" t="s">
        <v>4</v>
      </c>
      <c r="C6" s="23" t="s">
        <v>100</v>
      </c>
      <c r="D6" s="36">
        <v>0</v>
      </c>
      <c r="E6" s="36">
        <v>55850.9</v>
      </c>
      <c r="F6" s="36">
        <v>21435.599999999999</v>
      </c>
      <c r="G6" s="36">
        <v>18557.7</v>
      </c>
      <c r="H6" s="36">
        <v>16734.8</v>
      </c>
      <c r="I6" s="36">
        <v>17870.2</v>
      </c>
      <c r="J6" s="36">
        <v>27293.8</v>
      </c>
      <c r="K6" s="36">
        <v>27834.1</v>
      </c>
      <c r="L6" s="36">
        <v>48766.6</v>
      </c>
      <c r="M6" s="48">
        <f>SUM(D6:L6)</f>
        <v>234343.7</v>
      </c>
      <c r="N6" s="15">
        <f>M6/M4</f>
        <v>0.21172602503087209</v>
      </c>
      <c r="O6" s="44">
        <v>247196.6</v>
      </c>
      <c r="P6" s="50">
        <f>O6/O4</f>
        <v>0.23962678971296736</v>
      </c>
      <c r="Q6" s="18"/>
      <c r="R6" s="15"/>
      <c r="S6" s="15"/>
      <c r="T6" s="18"/>
      <c r="U6" s="67"/>
      <c r="V6" s="71"/>
      <c r="W6" s="50"/>
    </row>
    <row r="7" spans="1:24" s="12" customFormat="1" ht="20.100000000000001" customHeight="1" x14ac:dyDescent="0.15">
      <c r="A7" s="77"/>
      <c r="B7" s="13" t="s">
        <v>4</v>
      </c>
      <c r="C7" s="23" t="s">
        <v>95</v>
      </c>
      <c r="D7" s="24">
        <v>4697.62</v>
      </c>
      <c r="E7" s="22">
        <v>290</v>
      </c>
      <c r="F7" s="24">
        <v>6377.08</v>
      </c>
      <c r="G7" s="24">
        <v>5063.62</v>
      </c>
      <c r="H7" s="33">
        <v>21416.86</v>
      </c>
      <c r="I7" s="22">
        <v>4829.8900000000003</v>
      </c>
      <c r="J7" s="22">
        <v>917.5</v>
      </c>
      <c r="K7" s="24">
        <v>3899.61</v>
      </c>
      <c r="L7" s="24">
        <v>18500.150000000001</v>
      </c>
      <c r="M7" s="36">
        <f t="shared" ref="M7:M9" si="0">D7+E7+F7+G7+H7+I7+J7+K7+L7</f>
        <v>65992.33</v>
      </c>
      <c r="N7" s="15">
        <f>M7/M4</f>
        <v>5.9623082307847713E-2</v>
      </c>
      <c r="O7" s="44">
        <v>18789.41</v>
      </c>
      <c r="P7" s="50">
        <f>O7/O4</f>
        <v>1.8214028829282951E-2</v>
      </c>
      <c r="Q7" s="18"/>
      <c r="R7" s="15"/>
      <c r="S7" s="15"/>
      <c r="T7" s="18"/>
      <c r="U7" s="67"/>
      <c r="V7" s="71"/>
      <c r="W7" s="62"/>
    </row>
    <row r="8" spans="1:24" s="12" customFormat="1" ht="20.100000000000001" customHeight="1" x14ac:dyDescent="0.15">
      <c r="A8" s="77"/>
      <c r="B8" s="13" t="s">
        <v>4</v>
      </c>
      <c r="C8" s="23" t="s">
        <v>96</v>
      </c>
      <c r="D8" s="22"/>
      <c r="E8" s="22"/>
      <c r="F8" s="22"/>
      <c r="G8" s="22"/>
      <c r="H8" s="31"/>
      <c r="I8" s="54"/>
      <c r="J8" s="54"/>
      <c r="K8" s="22"/>
      <c r="L8" s="22"/>
      <c r="M8" s="48">
        <f t="shared" si="0"/>
        <v>0</v>
      </c>
      <c r="N8" s="15">
        <f>M8/M4</f>
        <v>0</v>
      </c>
      <c r="O8" s="44">
        <v>0</v>
      </c>
      <c r="P8" s="50">
        <f>O8/O4</f>
        <v>0</v>
      </c>
      <c r="Q8" s="18"/>
      <c r="R8" s="15"/>
      <c r="S8" s="15"/>
      <c r="T8" s="18"/>
      <c r="U8" s="67"/>
      <c r="V8" s="71"/>
      <c r="W8" s="62"/>
    </row>
    <row r="9" spans="1:24" s="12" customFormat="1" ht="20.100000000000001" customHeight="1" x14ac:dyDescent="0.15">
      <c r="A9" s="77"/>
      <c r="B9" s="13" t="s">
        <v>4</v>
      </c>
      <c r="C9" s="23" t="s">
        <v>97</v>
      </c>
      <c r="D9" s="22"/>
      <c r="E9" s="22"/>
      <c r="F9" s="22"/>
      <c r="G9" s="22"/>
      <c r="H9" s="31"/>
      <c r="I9" s="22"/>
      <c r="J9" s="22"/>
      <c r="K9" s="22"/>
      <c r="L9" s="22"/>
      <c r="M9" s="48">
        <f t="shared" si="0"/>
        <v>0</v>
      </c>
      <c r="N9" s="15">
        <f>M9/M4</f>
        <v>0</v>
      </c>
      <c r="O9" s="44">
        <v>0</v>
      </c>
      <c r="P9" s="50">
        <f>O9/O4</f>
        <v>0</v>
      </c>
      <c r="Q9" s="18"/>
      <c r="R9" s="15"/>
      <c r="S9" s="15"/>
      <c r="T9" s="18"/>
      <c r="U9" s="67"/>
      <c r="V9" s="71"/>
      <c r="W9" s="62"/>
    </row>
    <row r="10" spans="1:24" ht="20.100000000000001" customHeight="1" x14ac:dyDescent="0.15">
      <c r="A10" s="77"/>
      <c r="B10" s="13" t="s">
        <v>5</v>
      </c>
      <c r="C10" s="23" t="s">
        <v>98</v>
      </c>
      <c r="D10" s="36">
        <v>36500</v>
      </c>
      <c r="E10" s="36">
        <v>45880</v>
      </c>
      <c r="F10" s="36">
        <v>26920</v>
      </c>
      <c r="G10" s="36">
        <v>32180</v>
      </c>
      <c r="H10" s="36">
        <v>17740</v>
      </c>
      <c r="I10" s="36">
        <v>51940</v>
      </c>
      <c r="J10" s="36">
        <v>28020</v>
      </c>
      <c r="K10" s="36">
        <v>27820</v>
      </c>
      <c r="L10" s="36">
        <v>34880</v>
      </c>
      <c r="M10" s="48">
        <f>SUM(D10:L10)</f>
        <v>301880</v>
      </c>
      <c r="N10" s="21">
        <f>ROUND(M10/10000,2)</f>
        <v>30.19</v>
      </c>
      <c r="O10" s="21">
        <v>299320</v>
      </c>
      <c r="P10" s="21">
        <f>M10-O10</f>
        <v>2560</v>
      </c>
      <c r="Q10" s="21">
        <f>VLOOKUP(B10,[1]Sheet1!$B$3:$E$53,4,0)</f>
        <v>30</v>
      </c>
      <c r="R10" s="21">
        <f>(M10-M11-M12-M13-M14-M15)/10000</f>
        <v>27.656192999999998</v>
      </c>
      <c r="S10" s="15">
        <f>R10/Q10</f>
        <v>0.92187309999999989</v>
      </c>
      <c r="T10" s="18">
        <f>R10-Q10</f>
        <v>-2.3438070000000018</v>
      </c>
      <c r="U10" s="67"/>
      <c r="V10" s="71"/>
      <c r="W10" s="50"/>
    </row>
    <row r="11" spans="1:24" ht="20.100000000000001" customHeight="1" x14ac:dyDescent="0.15">
      <c r="A11" s="77"/>
      <c r="B11" s="13" t="s">
        <v>5</v>
      </c>
      <c r="C11" s="23" t="s">
        <v>99</v>
      </c>
      <c r="D11" s="36">
        <f>D10*0.04</f>
        <v>1460</v>
      </c>
      <c r="E11" s="36">
        <f>E10*0.04</f>
        <v>1835.2</v>
      </c>
      <c r="F11" s="36">
        <v>1076.8</v>
      </c>
      <c r="G11" s="36">
        <f>G10*0.04</f>
        <v>1287.2</v>
      </c>
      <c r="H11" s="36">
        <v>709.6</v>
      </c>
      <c r="I11" s="36">
        <f>I10*0.04</f>
        <v>2077.6</v>
      </c>
      <c r="J11" s="36">
        <f>J10*0.04</f>
        <v>1120.8</v>
      </c>
      <c r="K11" s="36">
        <f>K10*0.04</f>
        <v>1112.8</v>
      </c>
      <c r="L11" s="36">
        <v>1395.2</v>
      </c>
      <c r="M11" s="48">
        <f>SUM(D11:L11)</f>
        <v>12075.199999999999</v>
      </c>
      <c r="N11" s="15">
        <f>M11/M10</f>
        <v>3.9999999999999994E-2</v>
      </c>
      <c r="O11" s="44">
        <v>11972.8</v>
      </c>
      <c r="P11" s="50">
        <f>O11/O10</f>
        <v>0.04</v>
      </c>
      <c r="Q11" s="18"/>
      <c r="R11" s="15"/>
      <c r="S11" s="15"/>
      <c r="T11" s="18"/>
      <c r="U11" s="67"/>
      <c r="V11" s="71"/>
      <c r="W11" s="50"/>
    </row>
    <row r="12" spans="1:24" ht="20.100000000000001" customHeight="1" x14ac:dyDescent="0.15">
      <c r="A12" s="77"/>
      <c r="B12" s="13" t="s">
        <v>5</v>
      </c>
      <c r="C12" s="23" t="s">
        <v>100</v>
      </c>
      <c r="D12" s="36">
        <v>1060.2</v>
      </c>
      <c r="E12" s="36">
        <v>1470.6</v>
      </c>
      <c r="F12" s="36">
        <v>903.45</v>
      </c>
      <c r="G12" s="36">
        <v>1151.4000000000001</v>
      </c>
      <c r="H12" s="36">
        <v>738.15</v>
      </c>
      <c r="I12" s="36">
        <v>1744.2</v>
      </c>
      <c r="J12" s="36">
        <v>974.7</v>
      </c>
      <c r="K12" s="36">
        <v>863.55</v>
      </c>
      <c r="L12" s="36">
        <v>1063.05</v>
      </c>
      <c r="M12" s="48">
        <f>SUM(D12:L12)</f>
        <v>9969.2999999999975</v>
      </c>
      <c r="N12" s="15">
        <f>M12/M10</f>
        <v>3.3024049291109039E-2</v>
      </c>
      <c r="O12" s="44">
        <v>9620.5</v>
      </c>
      <c r="P12" s="50">
        <f>O12/O10</f>
        <v>3.2141186689830285E-2</v>
      </c>
      <c r="Q12" s="18"/>
      <c r="R12" s="15"/>
      <c r="S12" s="15"/>
      <c r="T12" s="18"/>
      <c r="U12" s="67"/>
      <c r="V12" s="71"/>
      <c r="W12" s="50"/>
    </row>
    <row r="13" spans="1:24" s="12" customFormat="1" ht="20.100000000000001" customHeight="1" x14ac:dyDescent="0.15">
      <c r="A13" s="77"/>
      <c r="B13" s="13" t="s">
        <v>5</v>
      </c>
      <c r="C13" s="23" t="s">
        <v>95</v>
      </c>
      <c r="D13" s="22">
        <v>250</v>
      </c>
      <c r="E13" s="22">
        <v>300</v>
      </c>
      <c r="F13" s="22">
        <v>260</v>
      </c>
      <c r="G13" s="22">
        <v>756.3</v>
      </c>
      <c r="H13" s="31">
        <v>632.27</v>
      </c>
      <c r="I13" s="22">
        <v>408</v>
      </c>
      <c r="J13" s="22">
        <v>667</v>
      </c>
      <c r="K13" s="22">
        <v>0</v>
      </c>
      <c r="L13" s="22">
        <v>0</v>
      </c>
      <c r="M13" s="36">
        <f t="shared" ref="M13:M15" si="1">D13+E13+F13+G13+H13+I13+J13+K13+L13</f>
        <v>3273.5699999999997</v>
      </c>
      <c r="N13" s="15">
        <f>M13/M10</f>
        <v>1.0843944613753808E-2</v>
      </c>
      <c r="O13" s="44">
        <v>4645</v>
      </c>
      <c r="P13" s="50">
        <f>O13/O10</f>
        <v>1.5518508619537619E-2</v>
      </c>
      <c r="Q13" s="18"/>
      <c r="R13" s="15"/>
      <c r="S13" s="15"/>
      <c r="T13" s="18"/>
      <c r="U13" s="67"/>
      <c r="V13" s="71"/>
      <c r="W13" s="62"/>
    </row>
    <row r="14" spans="1:24" s="12" customFormat="1" ht="20.100000000000001" customHeight="1" x14ac:dyDescent="0.15">
      <c r="A14" s="77"/>
      <c r="B14" s="13" t="s">
        <v>5</v>
      </c>
      <c r="C14" s="23" t="s">
        <v>96</v>
      </c>
      <c r="D14" s="22"/>
      <c r="E14" s="22"/>
      <c r="F14" s="22"/>
      <c r="G14" s="22"/>
      <c r="H14" s="22"/>
      <c r="I14" s="22"/>
      <c r="J14" s="22"/>
      <c r="K14" s="22"/>
      <c r="L14" s="22"/>
      <c r="M14" s="48">
        <f t="shared" si="1"/>
        <v>0</v>
      </c>
      <c r="N14" s="15">
        <f>M14/M10</f>
        <v>0</v>
      </c>
      <c r="O14" s="44">
        <v>0</v>
      </c>
      <c r="P14" s="50">
        <f>O14/O10</f>
        <v>0</v>
      </c>
      <c r="Q14" s="18"/>
      <c r="R14" s="15"/>
      <c r="S14" s="15"/>
      <c r="T14" s="18"/>
      <c r="U14" s="67"/>
      <c r="V14" s="71"/>
      <c r="W14" s="62"/>
    </row>
    <row r="15" spans="1:24" s="12" customFormat="1" ht="20.100000000000001" customHeight="1" x14ac:dyDescent="0.15">
      <c r="A15" s="77"/>
      <c r="B15" s="13" t="s">
        <v>5</v>
      </c>
      <c r="C15" s="23" t="s">
        <v>97</v>
      </c>
      <c r="D15" s="22"/>
      <c r="E15" s="22"/>
      <c r="F15" s="22"/>
      <c r="G15" s="22"/>
      <c r="H15" s="31"/>
      <c r="I15" s="22"/>
      <c r="J15" s="22"/>
      <c r="K15" s="22"/>
      <c r="L15" s="22"/>
      <c r="M15" s="48">
        <f t="shared" si="1"/>
        <v>0</v>
      </c>
      <c r="N15" s="15">
        <f>M15/M10</f>
        <v>0</v>
      </c>
      <c r="O15" s="44">
        <v>0</v>
      </c>
      <c r="P15" s="50">
        <f>O15/O10</f>
        <v>0</v>
      </c>
      <c r="Q15" s="18"/>
      <c r="R15" s="15"/>
      <c r="S15" s="15"/>
      <c r="T15" s="18"/>
      <c r="U15" s="67"/>
      <c r="V15" s="71"/>
      <c r="W15" s="62"/>
    </row>
    <row r="16" spans="1:24" s="6" customFormat="1" ht="20.100000000000001" customHeight="1" x14ac:dyDescent="0.15">
      <c r="A16" s="77"/>
      <c r="B16" s="13" t="s">
        <v>71</v>
      </c>
      <c r="C16" s="23" t="s">
        <v>21</v>
      </c>
      <c r="D16" s="36">
        <v>15660</v>
      </c>
      <c r="E16" s="36">
        <v>18840</v>
      </c>
      <c r="F16" s="36">
        <v>14240</v>
      </c>
      <c r="G16" s="36">
        <v>11040</v>
      </c>
      <c r="H16" s="36">
        <v>0</v>
      </c>
      <c r="I16" s="36">
        <v>20620</v>
      </c>
      <c r="J16" s="36">
        <v>14420</v>
      </c>
      <c r="K16" s="36">
        <v>17620</v>
      </c>
      <c r="L16" s="36">
        <v>19180</v>
      </c>
      <c r="M16" s="48">
        <f>SUM(D16:L16)</f>
        <v>131620</v>
      </c>
      <c r="N16" s="21">
        <f>ROUND(M16/10000,2)</f>
        <v>13.16</v>
      </c>
      <c r="O16" s="44">
        <v>129800</v>
      </c>
      <c r="P16" s="51">
        <f>M16-O16</f>
        <v>1820</v>
      </c>
      <c r="Q16" s="21">
        <f>VLOOKUP(B16,[1]Sheet1!$B$3:$E$53,4,0)</f>
        <v>14</v>
      </c>
      <c r="R16" s="21">
        <f>(M16-M17-M18-M19-M20-M21)/10000</f>
        <v>12.47138</v>
      </c>
      <c r="S16" s="15">
        <f>R16/Q16</f>
        <v>0.89081285714285718</v>
      </c>
      <c r="T16" s="18">
        <f>R16-Q16</f>
        <v>-1.5286200000000001</v>
      </c>
      <c r="U16" s="67"/>
      <c r="V16" s="71"/>
      <c r="W16" s="63"/>
    </row>
    <row r="17" spans="1:23" s="6" customFormat="1" ht="20.100000000000001" customHeight="1" x14ac:dyDescent="0.15">
      <c r="A17" s="77"/>
      <c r="B17" s="13" t="s">
        <v>71</v>
      </c>
      <c r="C17" s="23" t="s">
        <v>22</v>
      </c>
      <c r="D17" s="36">
        <f>D16*0.04</f>
        <v>626.4</v>
      </c>
      <c r="E17" s="36">
        <f>E16*0.04</f>
        <v>753.6</v>
      </c>
      <c r="F17" s="36">
        <f>F16*0.04</f>
        <v>569.6</v>
      </c>
      <c r="G17" s="36">
        <f>G16*0.04</f>
        <v>441.6</v>
      </c>
      <c r="H17" s="36">
        <v>0</v>
      </c>
      <c r="I17" s="36">
        <f>I16*0.04</f>
        <v>824.80000000000007</v>
      </c>
      <c r="J17" s="36">
        <f>J16*0.04</f>
        <v>576.80000000000007</v>
      </c>
      <c r="K17" s="36">
        <f>K16*0.04</f>
        <v>704.80000000000007</v>
      </c>
      <c r="L17" s="36">
        <f>L16*0.04</f>
        <v>767.2</v>
      </c>
      <c r="M17" s="48">
        <f>SUM(D17:L17)</f>
        <v>5264.8</v>
      </c>
      <c r="N17" s="15">
        <f>M17/M16</f>
        <v>0.04</v>
      </c>
      <c r="O17" s="44">
        <v>5192</v>
      </c>
      <c r="P17" s="50">
        <f>O17/O16</f>
        <v>0.04</v>
      </c>
      <c r="Q17" s="18"/>
      <c r="R17" s="15"/>
      <c r="S17" s="15"/>
      <c r="T17" s="18"/>
      <c r="U17" s="67"/>
      <c r="V17" s="71"/>
      <c r="W17" s="63"/>
    </row>
    <row r="18" spans="1:23" s="6" customFormat="1" ht="20.100000000000001" customHeight="1" x14ac:dyDescent="0.15">
      <c r="A18" s="77"/>
      <c r="B18" s="13" t="s">
        <v>71</v>
      </c>
      <c r="C18" s="23" t="s">
        <v>23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48">
        <f>SUM(D18:L18)</f>
        <v>0</v>
      </c>
      <c r="N18" s="15">
        <f>M18/M16</f>
        <v>0</v>
      </c>
      <c r="O18" s="44">
        <v>0</v>
      </c>
      <c r="P18" s="50">
        <f>O18/O16</f>
        <v>0</v>
      </c>
      <c r="Q18" s="18"/>
      <c r="R18" s="15"/>
      <c r="S18" s="15"/>
      <c r="T18" s="18"/>
      <c r="U18" s="67"/>
      <c r="V18" s="71"/>
      <c r="W18" s="63"/>
    </row>
    <row r="19" spans="1:23" s="12" customFormat="1" ht="20.100000000000001" customHeight="1" x14ac:dyDescent="0.15">
      <c r="A19" s="77"/>
      <c r="B19" s="13" t="s">
        <v>71</v>
      </c>
      <c r="C19" s="23" t="s">
        <v>68</v>
      </c>
      <c r="D19" s="22">
        <v>0</v>
      </c>
      <c r="E19" s="22">
        <v>0</v>
      </c>
      <c r="F19" s="22">
        <v>260</v>
      </c>
      <c r="G19" s="24">
        <v>1381.4</v>
      </c>
      <c r="H19" s="31">
        <v>0</v>
      </c>
      <c r="I19" s="22">
        <v>0</v>
      </c>
      <c r="J19" s="22">
        <v>0</v>
      </c>
      <c r="K19" s="22">
        <v>0</v>
      </c>
      <c r="L19" s="22">
        <v>0</v>
      </c>
      <c r="M19" s="36">
        <f t="shared" ref="M19:M21" si="2">D19+E19+F19+G19+H19+I19+J19+K19+L19</f>
        <v>1641.4</v>
      </c>
      <c r="N19" s="15">
        <f>M19/M16</f>
        <v>1.2470749126272603E-2</v>
      </c>
      <c r="O19" s="44">
        <v>0</v>
      </c>
      <c r="P19" s="50">
        <f>O19/O16</f>
        <v>0</v>
      </c>
      <c r="Q19" s="18"/>
      <c r="R19" s="15"/>
      <c r="S19" s="15"/>
      <c r="T19" s="18"/>
      <c r="U19" s="67"/>
      <c r="V19" s="71"/>
      <c r="W19" s="62"/>
    </row>
    <row r="20" spans="1:23" s="12" customFormat="1" ht="20.100000000000001" customHeight="1" x14ac:dyDescent="0.15">
      <c r="A20" s="77"/>
      <c r="B20" s="13" t="s">
        <v>71</v>
      </c>
      <c r="C20" s="23" t="s">
        <v>69</v>
      </c>
      <c r="D20" s="22"/>
      <c r="E20" s="22"/>
      <c r="F20" s="22"/>
      <c r="G20" s="22"/>
      <c r="H20" s="31"/>
      <c r="I20" s="22"/>
      <c r="J20" s="22"/>
      <c r="K20" s="22"/>
      <c r="L20" s="22"/>
      <c r="M20" s="48">
        <f t="shared" si="2"/>
        <v>0</v>
      </c>
      <c r="N20" s="15">
        <f>M20/M16</f>
        <v>0</v>
      </c>
      <c r="O20" s="44">
        <v>0</v>
      </c>
      <c r="P20" s="50">
        <f>O20/O16</f>
        <v>0</v>
      </c>
      <c r="Q20" s="18"/>
      <c r="R20" s="15"/>
      <c r="S20" s="15"/>
      <c r="T20" s="18"/>
      <c r="U20" s="67"/>
      <c r="V20" s="71"/>
      <c r="W20" s="62"/>
    </row>
    <row r="21" spans="1:23" s="12" customFormat="1" ht="20.100000000000001" customHeight="1" x14ac:dyDescent="0.15">
      <c r="A21" s="77"/>
      <c r="B21" s="13" t="s">
        <v>71</v>
      </c>
      <c r="C21" s="23" t="s">
        <v>70</v>
      </c>
      <c r="D21" s="22"/>
      <c r="E21" s="22"/>
      <c r="F21" s="22"/>
      <c r="G21" s="22"/>
      <c r="H21" s="31"/>
      <c r="I21" s="22"/>
      <c r="J21" s="22"/>
      <c r="K21" s="22"/>
      <c r="L21" s="22"/>
      <c r="M21" s="48">
        <f t="shared" si="2"/>
        <v>0</v>
      </c>
      <c r="N21" s="15">
        <f>M21/M16</f>
        <v>0</v>
      </c>
      <c r="O21" s="44">
        <v>0</v>
      </c>
      <c r="P21" s="50">
        <f>O21/O16</f>
        <v>0</v>
      </c>
      <c r="Q21" s="18"/>
      <c r="R21" s="15"/>
      <c r="S21" s="15"/>
      <c r="T21" s="18"/>
      <c r="U21" s="67"/>
      <c r="V21" s="72"/>
      <c r="W21" s="62"/>
    </row>
    <row r="22" spans="1:23" s="28" customFormat="1" ht="20.100000000000001" customHeight="1" x14ac:dyDescent="0.15">
      <c r="A22" s="77"/>
      <c r="B22" s="13" t="s">
        <v>46</v>
      </c>
      <c r="C22" s="23" t="s">
        <v>21</v>
      </c>
      <c r="D22" s="36">
        <v>20306.55</v>
      </c>
      <c r="E22" s="36">
        <v>76315.8</v>
      </c>
      <c r="F22" s="36">
        <v>36214.199999999997</v>
      </c>
      <c r="G22" s="36">
        <v>32480.25</v>
      </c>
      <c r="H22" s="36">
        <v>36265.35</v>
      </c>
      <c r="I22" s="36">
        <v>58669.05</v>
      </c>
      <c r="J22" s="36">
        <v>22864.05</v>
      </c>
      <c r="K22" s="36">
        <v>41226.9</v>
      </c>
      <c r="L22" s="36">
        <v>28439.4</v>
      </c>
      <c r="M22" s="48">
        <f>SUM(D22:L22)</f>
        <v>352781.55000000005</v>
      </c>
      <c r="N22" s="21">
        <f>ROUND(M22/10000,2)</f>
        <v>35.28</v>
      </c>
      <c r="O22" s="44">
        <v>136519.35</v>
      </c>
      <c r="P22" s="51">
        <f>M22-O22</f>
        <v>216262.20000000004</v>
      </c>
      <c r="Q22" s="21">
        <f>VLOOKUP(B22,[1]Sheet1!$B$3:$E$53,4,0)</f>
        <v>13</v>
      </c>
      <c r="R22" s="21">
        <f>(M22-M23-M24-M25-M26-M27)/10000</f>
        <v>22.804940000000006</v>
      </c>
      <c r="S22" s="15">
        <f>R22/Q22</f>
        <v>1.7542261538461543</v>
      </c>
      <c r="T22" s="18">
        <f>R22-Q22</f>
        <v>9.8049400000000055</v>
      </c>
      <c r="U22" s="67"/>
      <c r="V22" s="70"/>
      <c r="W22" s="50"/>
    </row>
    <row r="23" spans="1:23" s="28" customFormat="1" ht="20.100000000000001" customHeight="1" x14ac:dyDescent="0.15">
      <c r="A23" s="77"/>
      <c r="B23" s="13" t="s">
        <v>11</v>
      </c>
      <c r="C23" s="23" t="s">
        <v>22</v>
      </c>
      <c r="D23" s="36">
        <v>812.26</v>
      </c>
      <c r="E23" s="36">
        <v>3052.63</v>
      </c>
      <c r="F23" s="36">
        <v>1448.57</v>
      </c>
      <c r="G23" s="36">
        <v>1299.21</v>
      </c>
      <c r="H23" s="36">
        <v>1450.61</v>
      </c>
      <c r="I23" s="36">
        <v>2346.7600000000002</v>
      </c>
      <c r="J23" s="36">
        <v>914.56</v>
      </c>
      <c r="K23" s="36">
        <v>1649.08</v>
      </c>
      <c r="L23" s="36">
        <v>1137.58</v>
      </c>
      <c r="M23" s="48">
        <f>SUM(D23:L23)</f>
        <v>14111.26</v>
      </c>
      <c r="N23" s="15">
        <f>M23/M22</f>
        <v>3.9999994330769277E-2</v>
      </c>
      <c r="O23" s="44">
        <v>5460.77</v>
      </c>
      <c r="P23" s="50">
        <f>O23/O22</f>
        <v>3.9999970700124197E-2</v>
      </c>
      <c r="Q23" s="29"/>
      <c r="R23" s="27"/>
      <c r="S23" s="27"/>
      <c r="T23" s="29"/>
      <c r="U23" s="68"/>
      <c r="V23" s="71"/>
      <c r="W23" s="50"/>
    </row>
    <row r="24" spans="1:23" s="28" customFormat="1" ht="20.100000000000001" customHeight="1" x14ac:dyDescent="0.15">
      <c r="A24" s="77"/>
      <c r="B24" s="13" t="s">
        <v>11</v>
      </c>
      <c r="C24" s="23" t="s">
        <v>23</v>
      </c>
      <c r="D24" s="36">
        <v>7453.4</v>
      </c>
      <c r="E24" s="36">
        <v>28460.28</v>
      </c>
      <c r="F24" s="36">
        <v>10897.28</v>
      </c>
      <c r="G24" s="36">
        <v>6572.5</v>
      </c>
      <c r="H24" s="36">
        <v>7489.8</v>
      </c>
      <c r="I24" s="36">
        <v>14518.88</v>
      </c>
      <c r="J24" s="36">
        <v>7133.08</v>
      </c>
      <c r="K24" s="36">
        <v>13166.46</v>
      </c>
      <c r="L24" s="36">
        <v>11261.96</v>
      </c>
      <c r="M24" s="48">
        <f>SUM(D24:L24)</f>
        <v>106953.63999999998</v>
      </c>
      <c r="N24" s="15">
        <f>M24/M22</f>
        <v>0.30317243064440297</v>
      </c>
      <c r="O24" s="44">
        <v>53539.82</v>
      </c>
      <c r="P24" s="50">
        <f>O24/O22</f>
        <v>0.39217751915754068</v>
      </c>
      <c r="Q24" s="29"/>
      <c r="R24" s="27"/>
      <c r="S24" s="27"/>
      <c r="T24" s="29"/>
      <c r="U24" s="68"/>
      <c r="V24" s="71"/>
      <c r="W24" s="50"/>
    </row>
    <row r="25" spans="1:23" s="12" customFormat="1" ht="20.100000000000001" customHeight="1" x14ac:dyDescent="0.15">
      <c r="A25" s="77"/>
      <c r="B25" s="13" t="s">
        <v>11</v>
      </c>
      <c r="C25" s="23" t="s">
        <v>68</v>
      </c>
      <c r="D25" s="22">
        <v>882</v>
      </c>
      <c r="E25" s="22">
        <v>4.87</v>
      </c>
      <c r="F25" s="22">
        <v>20.03</v>
      </c>
      <c r="G25" s="22">
        <v>705.07</v>
      </c>
      <c r="H25" s="31">
        <v>0</v>
      </c>
      <c r="I25" s="22">
        <v>1237.6099999999999</v>
      </c>
      <c r="J25" s="22">
        <v>2.1800000000000002</v>
      </c>
      <c r="K25" s="22">
        <v>639.30999999999995</v>
      </c>
      <c r="L25" s="22">
        <v>176.18</v>
      </c>
      <c r="M25" s="36">
        <f t="shared" ref="M25:M27" si="3">D25+E25+F25+G25+H25+I25+J25+K25+L25</f>
        <v>3667.2499999999995</v>
      </c>
      <c r="N25" s="15">
        <f>M25/M22</f>
        <v>1.0395243175273761E-2</v>
      </c>
      <c r="O25" s="44">
        <v>1728.43</v>
      </c>
      <c r="P25" s="50">
        <f>O25/O22</f>
        <v>1.2660696084474472E-2</v>
      </c>
      <c r="Q25" s="18"/>
      <c r="R25" s="27"/>
      <c r="S25" s="27"/>
      <c r="T25" s="29"/>
      <c r="U25" s="68"/>
      <c r="V25" s="71"/>
      <c r="W25" s="62"/>
    </row>
    <row r="26" spans="1:23" s="12" customFormat="1" ht="20.100000000000001" customHeight="1" x14ac:dyDescent="0.15">
      <c r="A26" s="77"/>
      <c r="B26" s="13" t="s">
        <v>11</v>
      </c>
      <c r="C26" s="23" t="s">
        <v>69</v>
      </c>
      <c r="D26" s="25"/>
      <c r="E26" s="25"/>
      <c r="F26" s="25"/>
      <c r="G26" s="25"/>
      <c r="H26" s="25"/>
      <c r="I26" s="25"/>
      <c r="J26" s="25"/>
      <c r="K26" s="25"/>
      <c r="L26" s="25"/>
      <c r="M26" s="48">
        <f t="shared" si="3"/>
        <v>0</v>
      </c>
      <c r="N26" s="15">
        <f>M26/M22</f>
        <v>0</v>
      </c>
      <c r="O26" s="44">
        <v>0</v>
      </c>
      <c r="P26" s="50">
        <f>O26/O22</f>
        <v>0</v>
      </c>
      <c r="Q26" s="29"/>
      <c r="R26" s="27"/>
      <c r="S26" s="27"/>
      <c r="T26" s="29"/>
      <c r="U26" s="68"/>
      <c r="V26" s="71"/>
      <c r="W26" s="62"/>
    </row>
    <row r="27" spans="1:23" s="12" customFormat="1" ht="20.100000000000001" customHeight="1" x14ac:dyDescent="0.15">
      <c r="A27" s="77"/>
      <c r="B27" s="13" t="s">
        <v>11</v>
      </c>
      <c r="C27" s="23" t="s">
        <v>70</v>
      </c>
      <c r="D27" s="25"/>
      <c r="E27" s="25"/>
      <c r="F27" s="25"/>
      <c r="G27" s="25"/>
      <c r="H27" s="26"/>
      <c r="I27" s="25"/>
      <c r="J27" s="25"/>
      <c r="K27" s="25"/>
      <c r="L27" s="25"/>
      <c r="M27" s="48">
        <f t="shared" si="3"/>
        <v>0</v>
      </c>
      <c r="N27" s="15">
        <f>M27/M22</f>
        <v>0</v>
      </c>
      <c r="O27" s="44">
        <v>0</v>
      </c>
      <c r="P27" s="50">
        <f>O27/O22</f>
        <v>0</v>
      </c>
      <c r="Q27" s="29"/>
      <c r="R27" s="27"/>
      <c r="S27" s="27"/>
      <c r="T27" s="29"/>
      <c r="U27" s="68"/>
      <c r="V27" s="72"/>
      <c r="W27" s="62"/>
    </row>
    <row r="28" spans="1:23" s="6" customFormat="1" ht="20.100000000000001" customHeight="1" x14ac:dyDescent="0.15">
      <c r="A28" s="77"/>
      <c r="B28" s="13" t="s">
        <v>25</v>
      </c>
      <c r="C28" s="23" t="s">
        <v>21</v>
      </c>
      <c r="D28" s="36">
        <v>98274.84</v>
      </c>
      <c r="E28" s="36">
        <v>181713.51</v>
      </c>
      <c r="F28" s="36">
        <v>162589.74</v>
      </c>
      <c r="G28" s="36">
        <v>171157.26</v>
      </c>
      <c r="H28" s="36">
        <v>154442.37</v>
      </c>
      <c r="I28" s="36">
        <v>188028.81</v>
      </c>
      <c r="J28" s="36">
        <v>220164.36</v>
      </c>
      <c r="K28" s="36">
        <v>201416.94</v>
      </c>
      <c r="L28" s="22">
        <v>231142.47</v>
      </c>
      <c r="M28" s="48">
        <f>SUM(D28:L28)</f>
        <v>1608930.3</v>
      </c>
      <c r="N28" s="21">
        <f>ROUND(M28/10000,2)</f>
        <v>160.88999999999999</v>
      </c>
      <c r="O28" s="44">
        <v>1387948.66</v>
      </c>
      <c r="P28" s="51">
        <f>M28-O28</f>
        <v>220981.64000000013</v>
      </c>
      <c r="Q28" s="21">
        <f>VLOOKUP(B28,[1]Sheet1!$B$3:$E$53,4,0)</f>
        <v>120</v>
      </c>
      <c r="R28" s="21">
        <f>(M28-M29-M30-M31-M32-M33)/10000</f>
        <v>120.08481699999999</v>
      </c>
      <c r="S28" s="15">
        <f>R28/Q28</f>
        <v>1.0007068083333333</v>
      </c>
      <c r="T28" s="18">
        <f>R28-Q28</f>
        <v>8.481699999998682E-2</v>
      </c>
      <c r="U28" s="67">
        <f>IF((T28)&gt;0,2000+(T28)*0.05*10000,0)</f>
        <v>2042.4084999999934</v>
      </c>
      <c r="V28" s="70" t="s">
        <v>120</v>
      </c>
      <c r="W28" s="63"/>
    </row>
    <row r="29" spans="1:23" s="6" customFormat="1" ht="20.100000000000001" customHeight="1" x14ac:dyDescent="0.15">
      <c r="A29" s="77"/>
      <c r="B29" s="13" t="s">
        <v>25</v>
      </c>
      <c r="C29" s="23" t="s">
        <v>22</v>
      </c>
      <c r="D29" s="36">
        <v>11792.98</v>
      </c>
      <c r="E29" s="36">
        <v>21805.62</v>
      </c>
      <c r="F29" s="36">
        <v>19510.77</v>
      </c>
      <c r="G29" s="36">
        <v>20538.87</v>
      </c>
      <c r="H29" s="36">
        <v>18533.080000000002</v>
      </c>
      <c r="I29" s="36">
        <v>22563.46</v>
      </c>
      <c r="J29" s="36">
        <v>26419.72</v>
      </c>
      <c r="K29" s="36">
        <v>24170.03</v>
      </c>
      <c r="L29" s="22">
        <v>27737.1</v>
      </c>
      <c r="M29" s="48">
        <f>SUM(D29:L29)</f>
        <v>193071.63</v>
      </c>
      <c r="N29" s="15">
        <f>M29/M28</f>
        <v>0.11999999627081422</v>
      </c>
      <c r="O29" s="44">
        <v>166553.84</v>
      </c>
      <c r="P29" s="50">
        <f>O29/O28</f>
        <v>0.1200000005763902</v>
      </c>
      <c r="Q29" s="18"/>
      <c r="R29" s="15"/>
      <c r="S29" s="15"/>
      <c r="T29" s="18"/>
      <c r="U29" s="67"/>
      <c r="V29" s="71"/>
      <c r="W29" s="63"/>
    </row>
    <row r="30" spans="1:23" s="6" customFormat="1" ht="20.100000000000001" customHeight="1" x14ac:dyDescent="0.15">
      <c r="A30" s="77"/>
      <c r="B30" s="13" t="s">
        <v>25</v>
      </c>
      <c r="C30" s="23" t="s">
        <v>23</v>
      </c>
      <c r="D30" s="36">
        <v>11933.4</v>
      </c>
      <c r="E30" s="36">
        <v>35420.720000000001</v>
      </c>
      <c r="F30" s="36">
        <v>15410.98</v>
      </c>
      <c r="G30" s="36">
        <v>17596.580000000002</v>
      </c>
      <c r="H30" s="36">
        <v>10035.64</v>
      </c>
      <c r="I30" s="36">
        <v>15650.54</v>
      </c>
      <c r="J30" s="36">
        <v>19514.62</v>
      </c>
      <c r="K30" s="36">
        <v>27506.74</v>
      </c>
      <c r="L30" s="22">
        <v>35238.839999999997</v>
      </c>
      <c r="M30" s="48">
        <f>SUM(D30:L30)</f>
        <v>188308.06</v>
      </c>
      <c r="N30" s="15">
        <f>M30/M28</f>
        <v>0.1170392900177217</v>
      </c>
      <c r="O30" s="44">
        <v>224264.02</v>
      </c>
      <c r="P30" s="50">
        <f>O30/O28</f>
        <v>0.16157947801902126</v>
      </c>
      <c r="Q30" s="18"/>
      <c r="R30" s="15"/>
      <c r="S30" s="15"/>
      <c r="T30" s="18"/>
      <c r="U30" s="67"/>
      <c r="V30" s="71"/>
      <c r="W30" s="63"/>
    </row>
    <row r="31" spans="1:23" s="12" customFormat="1" ht="20.100000000000001" customHeight="1" x14ac:dyDescent="0.15">
      <c r="A31" s="77"/>
      <c r="B31" s="13" t="s">
        <v>25</v>
      </c>
      <c r="C31" s="23" t="s">
        <v>68</v>
      </c>
      <c r="D31" s="24">
        <v>6518.55</v>
      </c>
      <c r="E31" s="22">
        <v>714.21</v>
      </c>
      <c r="F31" s="22">
        <v>5224.8999999999996</v>
      </c>
      <c r="G31" s="24">
        <v>1482.33</v>
      </c>
      <c r="H31" s="33">
        <v>2689.99</v>
      </c>
      <c r="I31" s="22">
        <f>643.35+850</f>
        <v>1493.35</v>
      </c>
      <c r="J31" s="22">
        <v>317.2</v>
      </c>
      <c r="K31" s="24">
        <v>1617.52</v>
      </c>
      <c r="L31" s="24">
        <v>6644.39</v>
      </c>
      <c r="M31" s="36">
        <f t="shared" ref="M31:M33" si="4">D31+E31+F31+G31+H31+I31+J31+K31+L31</f>
        <v>26702.44</v>
      </c>
      <c r="N31" s="15">
        <f>M31/M28</f>
        <v>1.6596393268247852E-2</v>
      </c>
      <c r="O31" s="36">
        <v>14507.94</v>
      </c>
      <c r="P31" s="50">
        <f>O31/O28</f>
        <v>1.0452792972904345E-2</v>
      </c>
      <c r="Q31" s="18"/>
      <c r="R31" s="15"/>
      <c r="S31" s="15"/>
      <c r="T31" s="18"/>
      <c r="U31" s="67"/>
      <c r="V31" s="71"/>
      <c r="W31" s="62"/>
    </row>
    <row r="32" spans="1:23" s="12" customFormat="1" ht="20.100000000000001" customHeight="1" x14ac:dyDescent="0.15">
      <c r="A32" s="77"/>
      <c r="B32" s="13" t="s">
        <v>25</v>
      </c>
      <c r="C32" s="23" t="s">
        <v>69</v>
      </c>
      <c r="D32" s="22"/>
      <c r="E32" s="22"/>
      <c r="F32" s="22"/>
      <c r="G32" s="22"/>
      <c r="H32" s="22"/>
      <c r="I32" s="22"/>
      <c r="J32" s="22"/>
      <c r="K32" s="22"/>
      <c r="L32" s="22"/>
      <c r="M32" s="48">
        <f t="shared" si="4"/>
        <v>0</v>
      </c>
      <c r="N32" s="15">
        <f>M32/M28</f>
        <v>0</v>
      </c>
      <c r="O32" s="44">
        <v>13193.8</v>
      </c>
      <c r="P32" s="50">
        <f>O32/O28</f>
        <v>9.5059712078975605E-3</v>
      </c>
      <c r="Q32" s="18"/>
      <c r="R32" s="15"/>
      <c r="S32" s="15"/>
      <c r="T32" s="18"/>
      <c r="U32" s="67"/>
      <c r="V32" s="71"/>
      <c r="W32" s="62"/>
    </row>
    <row r="33" spans="1:23" s="12" customFormat="1" ht="20.100000000000001" customHeight="1" x14ac:dyDescent="0.15">
      <c r="A33" s="77"/>
      <c r="B33" s="13" t="s">
        <v>25</v>
      </c>
      <c r="C33" s="23" t="s">
        <v>70</v>
      </c>
      <c r="D33" s="22"/>
      <c r="E33" s="22"/>
      <c r="F33" s="22"/>
      <c r="G33" s="22"/>
      <c r="H33" s="31"/>
      <c r="I33" s="22"/>
      <c r="J33" s="22"/>
      <c r="K33" s="22"/>
      <c r="L33" s="22"/>
      <c r="M33" s="48">
        <f t="shared" si="4"/>
        <v>0</v>
      </c>
      <c r="N33" s="15">
        <f>M33/M28</f>
        <v>0</v>
      </c>
      <c r="O33" s="44">
        <v>0</v>
      </c>
      <c r="P33" s="50">
        <f>O33/O28</f>
        <v>0</v>
      </c>
      <c r="Q33" s="18"/>
      <c r="R33" s="15"/>
      <c r="S33" s="15"/>
      <c r="T33" s="18"/>
      <c r="U33" s="67"/>
      <c r="V33" s="72"/>
      <c r="W33" s="62"/>
    </row>
    <row r="34" spans="1:23" s="6" customFormat="1" ht="20.100000000000001" customHeight="1" x14ac:dyDescent="0.15">
      <c r="A34" s="77"/>
      <c r="B34" s="13" t="s">
        <v>52</v>
      </c>
      <c r="C34" s="23" t="s">
        <v>21</v>
      </c>
      <c r="D34" s="36">
        <f>32390.52+192.37</f>
        <v>32582.89</v>
      </c>
      <c r="E34" s="36">
        <f>61594.59+1455</f>
        <v>63049.59</v>
      </c>
      <c r="F34" s="36">
        <v>57930.11</v>
      </c>
      <c r="G34" s="36">
        <v>61168.82</v>
      </c>
      <c r="H34" s="36">
        <v>55910.78</v>
      </c>
      <c r="I34" s="36">
        <v>105569.48</v>
      </c>
      <c r="J34" s="36">
        <v>58135.92</v>
      </c>
      <c r="K34" s="36">
        <v>65788.37</v>
      </c>
      <c r="L34" s="22">
        <v>71797.490000000005</v>
      </c>
      <c r="M34" s="48">
        <f>SUM(D34:L34)</f>
        <v>571933.44999999995</v>
      </c>
      <c r="N34" s="21">
        <f>ROUND(M34/10000,2)</f>
        <v>57.19</v>
      </c>
      <c r="O34" s="44">
        <v>528730.36</v>
      </c>
      <c r="P34" s="51">
        <f>M34-O34</f>
        <v>43203.089999999967</v>
      </c>
      <c r="Q34" s="21">
        <f>VLOOKUP(B34,[1]Sheet1!$B$3:$E$53,4,0)</f>
        <v>46</v>
      </c>
      <c r="R34" s="21">
        <f>(M34-M35-M36-M37-M38-M39)/10000</f>
        <v>43.302433999999991</v>
      </c>
      <c r="S34" s="15">
        <f>R34/Q34</f>
        <v>0.94135726086956506</v>
      </c>
      <c r="T34" s="18">
        <f>R34-Q34</f>
        <v>-2.697566000000009</v>
      </c>
      <c r="U34" s="67">
        <f>IF((T34)&gt;0,2000+(T34)*0.05*10000,0)</f>
        <v>0</v>
      </c>
      <c r="V34" s="70" t="s">
        <v>121</v>
      </c>
      <c r="W34" s="63"/>
    </row>
    <row r="35" spans="1:23" s="6" customFormat="1" ht="20.100000000000001" customHeight="1" x14ac:dyDescent="0.15">
      <c r="A35" s="77"/>
      <c r="B35" s="13" t="s">
        <v>52</v>
      </c>
      <c r="C35" s="23" t="s">
        <v>22</v>
      </c>
      <c r="D35" s="36">
        <v>2606.6299999999997</v>
      </c>
      <c r="E35" s="36">
        <v>4927.57</v>
      </c>
      <c r="F35" s="36">
        <v>4634.41</v>
      </c>
      <c r="G35" s="36">
        <v>4893.5</v>
      </c>
      <c r="H35" s="36">
        <v>4472.87</v>
      </c>
      <c r="I35" s="36">
        <v>8445.56</v>
      </c>
      <c r="J35" s="36">
        <v>4650.87</v>
      </c>
      <c r="K35" s="36">
        <v>5263.07</v>
      </c>
      <c r="L35" s="22">
        <v>5743.8</v>
      </c>
      <c r="M35" s="48">
        <f>SUM(D35:L35)</f>
        <v>45638.280000000006</v>
      </c>
      <c r="N35" s="15">
        <f>M35/M34</f>
        <v>7.9796486811533771E-2</v>
      </c>
      <c r="O35" s="44">
        <v>42151.18</v>
      </c>
      <c r="P35" s="50">
        <f>O35/O34</f>
        <v>7.9721504927388706E-2</v>
      </c>
      <c r="Q35" s="18"/>
      <c r="R35" s="15"/>
      <c r="S35" s="15"/>
      <c r="T35" s="18"/>
      <c r="U35" s="67"/>
      <c r="V35" s="71"/>
      <c r="W35" s="63"/>
    </row>
    <row r="36" spans="1:23" s="6" customFormat="1" ht="20.100000000000001" customHeight="1" x14ac:dyDescent="0.15">
      <c r="A36" s="77"/>
      <c r="B36" s="13" t="s">
        <v>52</v>
      </c>
      <c r="C36" s="23" t="s">
        <v>23</v>
      </c>
      <c r="D36" s="36">
        <v>9409</v>
      </c>
      <c r="E36" s="36">
        <v>10619</v>
      </c>
      <c r="F36" s="36">
        <v>8548.08</v>
      </c>
      <c r="G36" s="36">
        <v>5944</v>
      </c>
      <c r="H36" s="36">
        <v>4577</v>
      </c>
      <c r="I36" s="36">
        <v>9259</v>
      </c>
      <c r="J36" s="36">
        <v>7405</v>
      </c>
      <c r="K36" s="36">
        <v>11291</v>
      </c>
      <c r="L36" s="22">
        <v>15673</v>
      </c>
      <c r="M36" s="48">
        <f>SUM(D36:L36)</f>
        <v>82725.08</v>
      </c>
      <c r="N36" s="15">
        <f>M36/M34</f>
        <v>0.14464109416926044</v>
      </c>
      <c r="O36" s="44">
        <v>82925</v>
      </c>
      <c r="P36" s="50">
        <f>O36/O34</f>
        <v>0.15683797692267945</v>
      </c>
      <c r="Q36" s="18"/>
      <c r="R36" s="15"/>
      <c r="S36" s="15"/>
      <c r="T36" s="18"/>
      <c r="U36" s="67"/>
      <c r="V36" s="71"/>
      <c r="W36" s="63"/>
    </row>
    <row r="37" spans="1:23" s="12" customFormat="1" ht="20.100000000000001" customHeight="1" x14ac:dyDescent="0.15">
      <c r="A37" s="77"/>
      <c r="B37" s="13" t="s">
        <v>78</v>
      </c>
      <c r="C37" s="23" t="s">
        <v>68</v>
      </c>
      <c r="D37" s="24">
        <v>2274.2199999999998</v>
      </c>
      <c r="E37" s="22">
        <v>324.5</v>
      </c>
      <c r="F37" s="22">
        <v>232.76</v>
      </c>
      <c r="G37" s="22">
        <v>32.659999999999997</v>
      </c>
      <c r="H37" s="31">
        <v>461.65</v>
      </c>
      <c r="I37" s="22">
        <v>1847.94</v>
      </c>
      <c r="J37" s="24">
        <v>4415.92</v>
      </c>
      <c r="K37" s="22">
        <v>0</v>
      </c>
      <c r="L37" s="22">
        <v>956.1</v>
      </c>
      <c r="M37" s="36">
        <f t="shared" ref="M37:M39" si="5">D37+E37+F37+G37+H37+I37+J37+K37+L37</f>
        <v>10545.75</v>
      </c>
      <c r="N37" s="15">
        <f>M37/M34</f>
        <v>1.8438771154231318E-2</v>
      </c>
      <c r="O37" s="44">
        <v>7651.77</v>
      </c>
      <c r="P37" s="50">
        <f>O37/O34</f>
        <v>1.4471970173984336E-2</v>
      </c>
      <c r="Q37" s="18"/>
      <c r="R37" s="15"/>
      <c r="S37" s="15"/>
      <c r="T37" s="18"/>
      <c r="U37" s="67"/>
      <c r="V37" s="71"/>
      <c r="W37" s="62"/>
    </row>
    <row r="38" spans="1:23" s="12" customFormat="1" ht="20.100000000000001" customHeight="1" x14ac:dyDescent="0.15">
      <c r="A38" s="77"/>
      <c r="B38" s="13" t="s">
        <v>78</v>
      </c>
      <c r="C38" s="23" t="s">
        <v>69</v>
      </c>
      <c r="D38" s="22"/>
      <c r="E38" s="22"/>
      <c r="F38" s="22"/>
      <c r="G38" s="22"/>
      <c r="H38" s="22"/>
      <c r="I38" s="22"/>
      <c r="J38" s="22"/>
      <c r="K38" s="22"/>
      <c r="L38" s="22"/>
      <c r="M38" s="48">
        <f t="shared" si="5"/>
        <v>0</v>
      </c>
      <c r="N38" s="15">
        <f>M38/M34</f>
        <v>0</v>
      </c>
      <c r="O38" s="44">
        <v>0</v>
      </c>
      <c r="P38" s="50">
        <f>O38/O34</f>
        <v>0</v>
      </c>
      <c r="Q38" s="18"/>
      <c r="R38" s="15"/>
      <c r="S38" s="15"/>
      <c r="T38" s="18"/>
      <c r="U38" s="67"/>
      <c r="V38" s="71"/>
      <c r="W38" s="62"/>
    </row>
    <row r="39" spans="1:23" s="12" customFormat="1" ht="20.100000000000001" customHeight="1" x14ac:dyDescent="0.15">
      <c r="A39" s="77"/>
      <c r="B39" s="13" t="s">
        <v>78</v>
      </c>
      <c r="C39" s="23" t="s">
        <v>70</v>
      </c>
      <c r="D39" s="22"/>
      <c r="E39" s="22"/>
      <c r="F39" s="22"/>
      <c r="G39" s="22"/>
      <c r="H39" s="22"/>
      <c r="I39" s="22"/>
      <c r="J39" s="22"/>
      <c r="K39" s="22"/>
      <c r="L39" s="22"/>
      <c r="M39" s="48">
        <f t="shared" si="5"/>
        <v>0</v>
      </c>
      <c r="N39" s="15">
        <f>M39/M34</f>
        <v>0</v>
      </c>
      <c r="O39" s="44">
        <v>0</v>
      </c>
      <c r="P39" s="50">
        <f>O39/O34</f>
        <v>0</v>
      </c>
      <c r="Q39" s="18"/>
      <c r="R39" s="15"/>
      <c r="S39" s="15"/>
      <c r="T39" s="18"/>
      <c r="U39" s="67"/>
      <c r="V39" s="72"/>
      <c r="W39" s="62"/>
    </row>
    <row r="40" spans="1:23" s="6" customFormat="1" ht="20.100000000000001" customHeight="1" x14ac:dyDescent="0.15">
      <c r="A40" s="77"/>
      <c r="B40" s="13" t="s">
        <v>54</v>
      </c>
      <c r="C40" s="23" t="s">
        <v>21</v>
      </c>
      <c r="D40" s="36">
        <v>114100.9</v>
      </c>
      <c r="E40" s="36">
        <v>209610</v>
      </c>
      <c r="F40" s="36">
        <v>173560</v>
      </c>
      <c r="G40" s="36">
        <v>196150</v>
      </c>
      <c r="H40" s="36">
        <v>148381.6</v>
      </c>
      <c r="I40" s="36">
        <v>224318.8</v>
      </c>
      <c r="J40" s="36">
        <v>236040</v>
      </c>
      <c r="K40" s="36">
        <v>268360</v>
      </c>
      <c r="L40" s="22">
        <v>265119.45</v>
      </c>
      <c r="M40" s="48">
        <f>SUM(D40:L40)</f>
        <v>1835640.75</v>
      </c>
      <c r="N40" s="21">
        <f>ROUND(M40/10000,2)</f>
        <v>183.56</v>
      </c>
      <c r="O40" s="44">
        <v>1637394.65</v>
      </c>
      <c r="P40" s="51">
        <f>M40-O40</f>
        <v>198246.10000000009</v>
      </c>
      <c r="Q40" s="21">
        <f>VLOOKUP(B40,[1]Sheet1!$B$3:$E$53,4,0)</f>
        <v>140</v>
      </c>
      <c r="R40" s="21">
        <f>(M40-M41-M42-M43-M44-M45)/10000</f>
        <v>132.16976699999998</v>
      </c>
      <c r="S40" s="15">
        <f>R40/Q40</f>
        <v>0.9440697642857141</v>
      </c>
      <c r="T40" s="18">
        <f>R40-Q40</f>
        <v>-7.8302330000000211</v>
      </c>
      <c r="U40" s="67">
        <f>IF((T40)&gt;0,2000+(T40)*0.05*10000,0)</f>
        <v>0</v>
      </c>
      <c r="V40" s="70" t="s">
        <v>122</v>
      </c>
      <c r="W40" s="63"/>
    </row>
    <row r="41" spans="1:23" s="6" customFormat="1" ht="20.100000000000001" customHeight="1" x14ac:dyDescent="0.15">
      <c r="A41" s="77"/>
      <c r="B41" s="13" t="s">
        <v>54</v>
      </c>
      <c r="C41" s="23" t="s">
        <v>22</v>
      </c>
      <c r="D41" s="36">
        <v>6846.1</v>
      </c>
      <c r="E41" s="36">
        <v>12576.6</v>
      </c>
      <c r="F41" s="36">
        <v>10413.6</v>
      </c>
      <c r="G41" s="36">
        <v>11769</v>
      </c>
      <c r="H41" s="36">
        <v>8902.9</v>
      </c>
      <c r="I41" s="36">
        <v>13459.13</v>
      </c>
      <c r="J41" s="36">
        <v>14162.4</v>
      </c>
      <c r="K41" s="36">
        <v>16101.6</v>
      </c>
      <c r="L41" s="22">
        <v>15907.17</v>
      </c>
      <c r="M41" s="48">
        <f>SUM(D41:L41)</f>
        <v>110138.5</v>
      </c>
      <c r="N41" s="15">
        <f>M41/M40</f>
        <v>6.0000029962289737E-2</v>
      </c>
      <c r="O41" s="44">
        <v>98243.69</v>
      </c>
      <c r="P41" s="50">
        <f>O41/O40</f>
        <v>6.0000006717989461E-2</v>
      </c>
      <c r="Q41" s="18"/>
      <c r="R41" s="15"/>
      <c r="S41" s="15"/>
      <c r="T41" s="18"/>
      <c r="U41" s="67"/>
      <c r="V41" s="71"/>
      <c r="W41" s="63"/>
    </row>
    <row r="42" spans="1:23" s="6" customFormat="1" ht="20.100000000000001" customHeight="1" x14ac:dyDescent="0.15">
      <c r="A42" s="77"/>
      <c r="B42" s="13" t="s">
        <v>54</v>
      </c>
      <c r="C42" s="23" t="s">
        <v>23</v>
      </c>
      <c r="D42" s="36">
        <v>0</v>
      </c>
      <c r="E42" s="36">
        <v>92046.59</v>
      </c>
      <c r="F42" s="36">
        <v>47182.06</v>
      </c>
      <c r="G42" s="36">
        <v>32654</v>
      </c>
      <c r="H42" s="36">
        <v>28820.12</v>
      </c>
      <c r="I42" s="36">
        <v>24059.68</v>
      </c>
      <c r="J42" s="36">
        <v>34785.5</v>
      </c>
      <c r="K42" s="36">
        <v>52952.68</v>
      </c>
      <c r="L42" s="22">
        <v>64041.42</v>
      </c>
      <c r="M42" s="48">
        <f>SUM(D42:L42)</f>
        <v>376542.05</v>
      </c>
      <c r="N42" s="15">
        <f>M42/M40</f>
        <v>0.20512839998785165</v>
      </c>
      <c r="O42" s="44">
        <v>331909.71999999997</v>
      </c>
      <c r="P42" s="50">
        <f>O42/O40</f>
        <v>0.202706000047087</v>
      </c>
      <c r="Q42" s="18"/>
      <c r="R42" s="15"/>
      <c r="S42" s="15"/>
      <c r="T42" s="18"/>
      <c r="U42" s="67"/>
      <c r="V42" s="71"/>
      <c r="W42" s="63"/>
    </row>
    <row r="43" spans="1:23" s="12" customFormat="1" ht="20.100000000000001" customHeight="1" x14ac:dyDescent="0.15">
      <c r="A43" s="77"/>
      <c r="B43" s="13" t="s">
        <v>81</v>
      </c>
      <c r="C43" s="23" t="s">
        <v>68</v>
      </c>
      <c r="D43" s="24">
        <v>3065.01</v>
      </c>
      <c r="E43" s="24">
        <v>427.46</v>
      </c>
      <c r="F43" s="24">
        <v>1513.85</v>
      </c>
      <c r="G43" s="22">
        <v>166.67</v>
      </c>
      <c r="H43" s="31">
        <v>74.94</v>
      </c>
      <c r="I43" s="22">
        <v>3431.09</v>
      </c>
      <c r="J43" s="22">
        <v>0</v>
      </c>
      <c r="K43" s="24">
        <v>1271.56</v>
      </c>
      <c r="L43" s="24">
        <v>17311.95</v>
      </c>
      <c r="M43" s="36">
        <f t="shared" ref="M43:M45" si="6">D43+E43+F43+G43+H43+I43+J43+K43+L43</f>
        <v>27262.53</v>
      </c>
      <c r="N43" s="15">
        <f>M43/M40</f>
        <v>1.4851778595566698E-2</v>
      </c>
      <c r="O43" s="44">
        <v>6544.63</v>
      </c>
      <c r="P43" s="50">
        <f>O43/O40</f>
        <v>3.996977759759995E-3</v>
      </c>
      <c r="Q43" s="18"/>
      <c r="R43" s="15"/>
      <c r="S43" s="15"/>
      <c r="T43" s="18"/>
      <c r="U43" s="67"/>
      <c r="V43" s="71"/>
      <c r="W43" s="62"/>
    </row>
    <row r="44" spans="1:23" s="12" customFormat="1" ht="20.100000000000001" customHeight="1" x14ac:dyDescent="0.15">
      <c r="A44" s="77"/>
      <c r="B44" s="13" t="s">
        <v>81</v>
      </c>
      <c r="C44" s="23" t="s">
        <v>69</v>
      </c>
      <c r="D44" s="22"/>
      <c r="E44" s="22"/>
      <c r="F44" s="22"/>
      <c r="G44" s="22"/>
      <c r="H44" s="31"/>
      <c r="I44" s="53"/>
      <c r="J44" s="53"/>
      <c r="K44" s="53"/>
      <c r="L44" s="22"/>
      <c r="M44" s="48">
        <f t="shared" si="6"/>
        <v>0</v>
      </c>
      <c r="N44" s="15">
        <f>M44/M40</f>
        <v>0</v>
      </c>
      <c r="O44" s="44">
        <v>5128.21</v>
      </c>
      <c r="P44" s="50">
        <f>O44/O40</f>
        <v>3.1319327933555909E-3</v>
      </c>
      <c r="Q44" s="18"/>
      <c r="R44" s="15"/>
      <c r="S44" s="15"/>
      <c r="T44" s="18"/>
      <c r="U44" s="67"/>
      <c r="V44" s="71"/>
      <c r="W44" s="62"/>
    </row>
    <row r="45" spans="1:23" s="12" customFormat="1" ht="20.100000000000001" customHeight="1" x14ac:dyDescent="0.15">
      <c r="A45" s="77"/>
      <c r="B45" s="13" t="s">
        <v>81</v>
      </c>
      <c r="C45" s="23" t="s">
        <v>70</v>
      </c>
      <c r="D45" s="22"/>
      <c r="E45" s="22"/>
      <c r="F45" s="22"/>
      <c r="G45" s="22"/>
      <c r="H45" s="31"/>
      <c r="I45" s="22"/>
      <c r="J45" s="22"/>
      <c r="K45" s="22"/>
      <c r="L45" s="22"/>
      <c r="M45" s="48">
        <f t="shared" si="6"/>
        <v>0</v>
      </c>
      <c r="N45" s="15">
        <f>M45/M40</f>
        <v>0</v>
      </c>
      <c r="O45" s="44">
        <v>0</v>
      </c>
      <c r="P45" s="50">
        <f>O45/O40</f>
        <v>0</v>
      </c>
      <c r="Q45" s="18"/>
      <c r="R45" s="15"/>
      <c r="S45" s="15"/>
      <c r="T45" s="18"/>
      <c r="U45" s="67"/>
      <c r="V45" s="72"/>
      <c r="W45" s="62"/>
    </row>
    <row r="46" spans="1:23" s="6" customFormat="1" ht="20.100000000000001" customHeight="1" x14ac:dyDescent="0.15">
      <c r="A46" s="77"/>
      <c r="B46" s="13" t="s">
        <v>56</v>
      </c>
      <c r="C46" s="23" t="s">
        <v>21</v>
      </c>
      <c r="D46" s="36">
        <v>173983.04</v>
      </c>
      <c r="E46" s="36">
        <v>274702.51</v>
      </c>
      <c r="F46" s="36">
        <v>305231.5</v>
      </c>
      <c r="G46" s="36">
        <v>340368.85</v>
      </c>
      <c r="H46" s="36">
        <v>337864.92</v>
      </c>
      <c r="I46" s="36">
        <v>660011.79</v>
      </c>
      <c r="J46" s="36">
        <v>356357.39</v>
      </c>
      <c r="K46" s="36">
        <v>427642.2</v>
      </c>
      <c r="L46" s="22">
        <v>436506.34</v>
      </c>
      <c r="M46" s="48">
        <f>SUM(D46:L46)</f>
        <v>3312668.54</v>
      </c>
      <c r="N46" s="21">
        <f>ROUND(M46/10000,2)</f>
        <v>331.27</v>
      </c>
      <c r="O46" s="44">
        <v>2859543.23</v>
      </c>
      <c r="P46" s="51">
        <f>M46-O46</f>
        <v>453125.31000000006</v>
      </c>
      <c r="Q46" s="21">
        <f>VLOOKUP(B46,[1]Sheet1!$B$3:$E$53,4,0)</f>
        <v>247</v>
      </c>
      <c r="R46" s="21">
        <f>(M46-M47-M48-M49-M50-M51)/10000</f>
        <v>257.51606600000002</v>
      </c>
      <c r="S46" s="15">
        <f>R46/Q46</f>
        <v>1.0425751659919029</v>
      </c>
      <c r="T46" s="18">
        <f>R46-Q46</f>
        <v>10.516066000000023</v>
      </c>
      <c r="U46" s="67">
        <f>IF((T46)&gt;0,2000+(T46)*0.05*10000,0)</f>
        <v>7258.0330000000122</v>
      </c>
      <c r="V46" s="70" t="s">
        <v>123</v>
      </c>
      <c r="W46" s="63"/>
    </row>
    <row r="47" spans="1:23" s="6" customFormat="1" ht="20.100000000000001" customHeight="1" x14ac:dyDescent="0.15">
      <c r="A47" s="77"/>
      <c r="B47" s="13" t="s">
        <v>56</v>
      </c>
      <c r="C47" s="23" t="s">
        <v>22</v>
      </c>
      <c r="D47" s="36">
        <v>13918.64</v>
      </c>
      <c r="E47" s="36">
        <v>21976.2</v>
      </c>
      <c r="F47" s="36">
        <v>24418.52</v>
      </c>
      <c r="G47" s="36">
        <v>27229.51</v>
      </c>
      <c r="H47" s="36">
        <v>27029.19</v>
      </c>
      <c r="I47" s="36">
        <v>52800.94</v>
      </c>
      <c r="J47" s="36">
        <v>28508.59</v>
      </c>
      <c r="K47" s="36">
        <v>34211.379999999997</v>
      </c>
      <c r="L47" s="22">
        <v>34920.51</v>
      </c>
      <c r="M47" s="48">
        <f>SUM(D47:L47)</f>
        <v>265013.48</v>
      </c>
      <c r="N47" s="15">
        <f>M47/M46</f>
        <v>7.9999999034011407E-2</v>
      </c>
      <c r="O47" s="44">
        <v>228763.51999999999</v>
      </c>
      <c r="P47" s="50">
        <f>O47/O46</f>
        <v>8.0000021541901986E-2</v>
      </c>
      <c r="Q47" s="18"/>
      <c r="R47" s="15"/>
      <c r="S47" s="15"/>
      <c r="T47" s="18"/>
      <c r="U47" s="67"/>
      <c r="V47" s="71"/>
      <c r="W47" s="63"/>
    </row>
    <row r="48" spans="1:23" s="6" customFormat="1" ht="21" customHeight="1" x14ac:dyDescent="0.15">
      <c r="A48" s="77"/>
      <c r="B48" s="13" t="s">
        <v>56</v>
      </c>
      <c r="C48" s="23" t="s">
        <v>23</v>
      </c>
      <c r="D48" s="36">
        <v>71113</v>
      </c>
      <c r="E48" s="36">
        <v>48089</v>
      </c>
      <c r="F48" s="36">
        <v>30806.92</v>
      </c>
      <c r="G48" s="36">
        <v>33739</v>
      </c>
      <c r="H48" s="36">
        <v>22957</v>
      </c>
      <c r="I48" s="36">
        <v>59772</v>
      </c>
      <c r="J48" s="36">
        <v>37306</v>
      </c>
      <c r="K48" s="36">
        <v>59379</v>
      </c>
      <c r="L48" s="22">
        <v>69100</v>
      </c>
      <c r="M48" s="48">
        <f>SUM(D48:L48)</f>
        <v>432261.92</v>
      </c>
      <c r="N48" s="15">
        <f>M48/M46</f>
        <v>0.13048752532301344</v>
      </c>
      <c r="O48" s="44">
        <v>395878</v>
      </c>
      <c r="P48" s="50">
        <f>O48/O46</f>
        <v>0.13844099150059011</v>
      </c>
      <c r="Q48" s="18"/>
      <c r="R48" s="15"/>
      <c r="S48" s="15"/>
      <c r="T48" s="18"/>
      <c r="U48" s="67"/>
      <c r="V48" s="71"/>
      <c r="W48" s="63"/>
    </row>
    <row r="49" spans="1:23" s="12" customFormat="1" ht="20.100000000000001" customHeight="1" x14ac:dyDescent="0.15">
      <c r="A49" s="77"/>
      <c r="B49" s="13" t="s">
        <v>79</v>
      </c>
      <c r="C49" s="23" t="s">
        <v>68</v>
      </c>
      <c r="D49" s="22">
        <v>7924.18</v>
      </c>
      <c r="E49" s="22">
        <v>1448.5</v>
      </c>
      <c r="F49" s="22">
        <v>3522.25</v>
      </c>
      <c r="G49" s="24">
        <v>8711.91</v>
      </c>
      <c r="H49" s="33">
        <v>3642.81</v>
      </c>
      <c r="I49" s="22">
        <v>-973.77</v>
      </c>
      <c r="J49" s="24">
        <v>1540.83</v>
      </c>
      <c r="K49" s="24">
        <v>2093.61</v>
      </c>
      <c r="L49" s="24">
        <v>8186</v>
      </c>
      <c r="M49" s="36">
        <f t="shared" ref="M49:M51" si="7">D49+E49+F49+G49+H49+I49+J49+K49+L49</f>
        <v>36096.32</v>
      </c>
      <c r="N49" s="15">
        <f>M49/M46</f>
        <v>1.0896447852884189E-2</v>
      </c>
      <c r="O49" s="44">
        <v>40759.26</v>
      </c>
      <c r="P49" s="50">
        <f>O49/O46</f>
        <v>1.4253765976463311E-2</v>
      </c>
      <c r="Q49" s="18"/>
      <c r="R49" s="15"/>
      <c r="S49" s="15"/>
      <c r="T49" s="18"/>
      <c r="U49" s="67"/>
      <c r="V49" s="71"/>
      <c r="W49" s="62"/>
    </row>
    <row r="50" spans="1:23" s="12" customFormat="1" ht="20.100000000000001" customHeight="1" x14ac:dyDescent="0.15">
      <c r="A50" s="77"/>
      <c r="B50" s="13" t="s">
        <v>79</v>
      </c>
      <c r="C50" s="23" t="s">
        <v>69</v>
      </c>
      <c r="D50" s="22"/>
      <c r="E50" s="22"/>
      <c r="F50" s="22"/>
      <c r="G50" s="22"/>
      <c r="H50" s="22"/>
      <c r="I50" s="22"/>
      <c r="J50" s="22"/>
      <c r="K50" s="22"/>
      <c r="L50" s="22"/>
      <c r="M50" s="48">
        <f t="shared" si="7"/>
        <v>0</v>
      </c>
      <c r="N50" s="15">
        <f>M50/M46</f>
        <v>0</v>
      </c>
      <c r="O50" s="44">
        <v>20439.45</v>
      </c>
      <c r="P50" s="50">
        <f>O50/O46</f>
        <v>7.1478024131847104E-3</v>
      </c>
      <c r="Q50" s="18"/>
      <c r="R50" s="15"/>
      <c r="S50" s="15"/>
      <c r="T50" s="18"/>
      <c r="U50" s="67"/>
      <c r="V50" s="71"/>
      <c r="W50" s="62"/>
    </row>
    <row r="51" spans="1:23" s="12" customFormat="1" ht="20.100000000000001" customHeight="1" x14ac:dyDescent="0.15">
      <c r="A51" s="77"/>
      <c r="B51" s="13" t="s">
        <v>79</v>
      </c>
      <c r="C51" s="23" t="s">
        <v>70</v>
      </c>
      <c r="D51" s="22"/>
      <c r="E51" s="22"/>
      <c r="F51" s="22"/>
      <c r="G51" s="22"/>
      <c r="H51" s="31"/>
      <c r="I51" s="22"/>
      <c r="J51" s="22"/>
      <c r="K51" s="22"/>
      <c r="L51" s="24">
        <v>4136.16</v>
      </c>
      <c r="M51" s="48">
        <f t="shared" si="7"/>
        <v>4136.16</v>
      </c>
      <c r="N51" s="15">
        <f>M51/M46</f>
        <v>1.2485885472864121E-3</v>
      </c>
      <c r="O51" s="44">
        <v>0</v>
      </c>
      <c r="P51" s="50">
        <f>O51/O46</f>
        <v>0</v>
      </c>
      <c r="Q51" s="18"/>
      <c r="R51" s="15"/>
      <c r="S51" s="15"/>
      <c r="T51" s="18"/>
      <c r="U51" s="67"/>
      <c r="V51" s="72"/>
      <c r="W51" s="62"/>
    </row>
    <row r="52" spans="1:23" s="6" customFormat="1" ht="20.100000000000001" customHeight="1" x14ac:dyDescent="0.15">
      <c r="A52" s="77"/>
      <c r="B52" s="13" t="s">
        <v>58</v>
      </c>
      <c r="C52" s="23" t="s">
        <v>21</v>
      </c>
      <c r="D52" s="36">
        <v>81184.850000000006</v>
      </c>
      <c r="E52" s="36">
        <v>198016.29</v>
      </c>
      <c r="F52" s="36">
        <f>22169.54+123472.3-200</f>
        <v>145441.84</v>
      </c>
      <c r="G52" s="36">
        <f>21331.15+112830.71</f>
        <v>134161.86000000002</v>
      </c>
      <c r="H52" s="36">
        <v>104845.45</v>
      </c>
      <c r="I52" s="36">
        <f>10384.19+98419.04+3629.52+28918.17</f>
        <v>141350.91999999998</v>
      </c>
      <c r="J52" s="36">
        <f>12571.61+124125.52-200</f>
        <v>136497.13</v>
      </c>
      <c r="K52" s="36">
        <f>17029.15+160428.58</f>
        <v>177457.72999999998</v>
      </c>
      <c r="L52" s="22">
        <v>215981.76</v>
      </c>
      <c r="M52" s="48">
        <f>SUM(D52:L52)</f>
        <v>1334937.8299999998</v>
      </c>
      <c r="N52" s="21">
        <f>ROUND(M52/10000,2)</f>
        <v>133.49</v>
      </c>
      <c r="O52" s="44">
        <v>1361187.41</v>
      </c>
      <c r="P52" s="51">
        <f>M52-O52</f>
        <v>-26249.580000000075</v>
      </c>
      <c r="Q52" s="21">
        <f>VLOOKUP(B52,[1]Sheet1!$B$3:$E$53,4,0)</f>
        <v>117</v>
      </c>
      <c r="R52" s="21">
        <f>(M52-M53-M54-M55-M56-M57)/10000</f>
        <v>105.29584199999996</v>
      </c>
      <c r="S52" s="15">
        <f>R52/Q52</f>
        <v>0.89996446153846121</v>
      </c>
      <c r="T52" s="18">
        <f>R52-Q52</f>
        <v>-11.704158000000035</v>
      </c>
      <c r="U52" s="67">
        <f>IF((T52)&gt;0,2000+(T52)*0.05*10000,0)</f>
        <v>0</v>
      </c>
      <c r="V52" s="70" t="s">
        <v>124</v>
      </c>
      <c r="W52" s="63"/>
    </row>
    <row r="53" spans="1:23" s="6" customFormat="1" ht="20.100000000000001" customHeight="1" x14ac:dyDescent="0.15">
      <c r="A53" s="77"/>
      <c r="B53" s="13" t="s">
        <v>58</v>
      </c>
      <c r="C53" s="23" t="s">
        <v>22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22">
        <v>0</v>
      </c>
      <c r="M53" s="48">
        <f>SUM(D53:L53)</f>
        <v>0</v>
      </c>
      <c r="N53" s="15">
        <f>M53/M52</f>
        <v>0</v>
      </c>
      <c r="O53" s="44">
        <v>0</v>
      </c>
      <c r="P53" s="50">
        <f>O53/O52</f>
        <v>0</v>
      </c>
      <c r="Q53" s="18"/>
      <c r="R53" s="15"/>
      <c r="S53" s="15"/>
      <c r="T53" s="18"/>
      <c r="U53" s="67"/>
      <c r="V53" s="71"/>
      <c r="W53" s="63"/>
    </row>
    <row r="54" spans="1:23" s="6" customFormat="1" ht="21" customHeight="1" x14ac:dyDescent="0.15">
      <c r="A54" s="77"/>
      <c r="B54" s="13" t="s">
        <v>58</v>
      </c>
      <c r="C54" s="23" t="s">
        <v>23</v>
      </c>
      <c r="D54" s="36">
        <v>19155.02</v>
      </c>
      <c r="E54" s="36">
        <v>35541.72</v>
      </c>
      <c r="F54" s="36">
        <v>21772.379999999997</v>
      </c>
      <c r="G54" s="36">
        <v>15053.239999999998</v>
      </c>
      <c r="H54" s="36">
        <v>10930.22</v>
      </c>
      <c r="I54" s="36">
        <v>16929.38</v>
      </c>
      <c r="J54" s="36">
        <v>18628.34</v>
      </c>
      <c r="K54" s="36">
        <v>29921.34</v>
      </c>
      <c r="L54" s="22">
        <v>40444.160000000003</v>
      </c>
      <c r="M54" s="48">
        <f>SUM(D54:L54)</f>
        <v>208375.8</v>
      </c>
      <c r="N54" s="15">
        <f>M54/M52</f>
        <v>0.15609401076003668</v>
      </c>
      <c r="O54" s="44">
        <v>229350.57</v>
      </c>
      <c r="P54" s="50">
        <f>O54/O52</f>
        <v>0.16849301449239823</v>
      </c>
      <c r="Q54" s="18"/>
      <c r="R54" s="15"/>
      <c r="S54" s="15"/>
      <c r="T54" s="18"/>
      <c r="U54" s="67"/>
      <c r="V54" s="71"/>
      <c r="W54" s="63"/>
    </row>
    <row r="55" spans="1:23" s="12" customFormat="1" ht="20.100000000000001" customHeight="1" x14ac:dyDescent="0.15">
      <c r="A55" s="77"/>
      <c r="B55" s="13" t="s">
        <v>83</v>
      </c>
      <c r="C55" s="23" t="s">
        <v>68</v>
      </c>
      <c r="D55" s="24">
        <v>9821.25</v>
      </c>
      <c r="E55" s="24">
        <v>3064</v>
      </c>
      <c r="F55" s="24">
        <v>31299.82</v>
      </c>
      <c r="G55" s="24">
        <v>5065.87</v>
      </c>
      <c r="H55" s="31">
        <v>648.30999999999995</v>
      </c>
      <c r="I55" s="22">
        <v>2513.7800000000002</v>
      </c>
      <c r="J55" s="24">
        <v>3886.82</v>
      </c>
      <c r="K55" s="24">
        <v>7583.18</v>
      </c>
      <c r="L55" s="24">
        <v>9720.58</v>
      </c>
      <c r="M55" s="36">
        <f t="shared" ref="M55:M57" si="8">D55+E55+F55+G55+H55+I55+J55+K55+L55</f>
        <v>73603.61</v>
      </c>
      <c r="N55" s="15">
        <f>M55/M52</f>
        <v>5.5136357923125164E-2</v>
      </c>
      <c r="O55" s="44">
        <v>49448.63</v>
      </c>
      <c r="P55" s="50">
        <f>O55/O52</f>
        <v>3.6327569324197617E-2</v>
      </c>
      <c r="Q55" s="18"/>
      <c r="R55" s="15"/>
      <c r="S55" s="15"/>
      <c r="T55" s="18"/>
      <c r="U55" s="67"/>
      <c r="V55" s="71"/>
      <c r="W55" s="62"/>
    </row>
    <row r="56" spans="1:23" s="12" customFormat="1" ht="20.100000000000001" customHeight="1" x14ac:dyDescent="0.15">
      <c r="A56" s="77"/>
      <c r="B56" s="13" t="s">
        <v>83</v>
      </c>
      <c r="C56" s="23" t="s">
        <v>69</v>
      </c>
      <c r="D56" s="22"/>
      <c r="E56" s="22"/>
      <c r="F56" s="22"/>
      <c r="G56" s="22"/>
      <c r="H56" s="22"/>
      <c r="I56" s="22"/>
      <c r="J56" s="22"/>
      <c r="K56" s="22"/>
      <c r="L56" s="22"/>
      <c r="M56" s="48">
        <f t="shared" si="8"/>
        <v>0</v>
      </c>
      <c r="N56" s="15">
        <f>M56/M52</f>
        <v>0</v>
      </c>
      <c r="O56" s="44">
        <v>0</v>
      </c>
      <c r="P56" s="50">
        <f>O56/O52</f>
        <v>0</v>
      </c>
      <c r="Q56" s="18"/>
      <c r="R56" s="15"/>
      <c r="S56" s="15"/>
      <c r="T56" s="18"/>
      <c r="U56" s="67"/>
      <c r="V56" s="71"/>
      <c r="W56" s="62"/>
    </row>
    <row r="57" spans="1:23" s="12" customFormat="1" ht="20.100000000000001" customHeight="1" x14ac:dyDescent="0.15">
      <c r="A57" s="77"/>
      <c r="B57" s="13" t="s">
        <v>83</v>
      </c>
      <c r="C57" s="23" t="s">
        <v>70</v>
      </c>
      <c r="D57" s="22"/>
      <c r="E57" s="22"/>
      <c r="F57" s="22"/>
      <c r="G57" s="22"/>
      <c r="H57" s="31"/>
      <c r="I57" s="35"/>
      <c r="J57" s="22"/>
      <c r="K57" s="22"/>
      <c r="L57" s="22"/>
      <c r="M57" s="48">
        <f t="shared" si="8"/>
        <v>0</v>
      </c>
      <c r="N57" s="15">
        <f>M57/M52</f>
        <v>0</v>
      </c>
      <c r="O57" s="44">
        <v>0</v>
      </c>
      <c r="P57" s="50">
        <f>O57/O52</f>
        <v>0</v>
      </c>
      <c r="Q57" s="18"/>
      <c r="R57" s="15"/>
      <c r="S57" s="15"/>
      <c r="T57" s="18"/>
      <c r="U57" s="67"/>
      <c r="V57" s="72"/>
      <c r="W57" s="62"/>
    </row>
    <row r="58" spans="1:23" s="6" customFormat="1" ht="21" customHeight="1" x14ac:dyDescent="0.15">
      <c r="A58" s="77"/>
      <c r="B58" s="13" t="s">
        <v>86</v>
      </c>
      <c r="C58" s="23" t="s">
        <v>21</v>
      </c>
      <c r="D58" s="36">
        <v>140218.17000000001</v>
      </c>
      <c r="E58" s="36">
        <v>187396.08</v>
      </c>
      <c r="F58" s="36">
        <v>183546.58</v>
      </c>
      <c r="G58" s="36">
        <v>198635.43</v>
      </c>
      <c r="H58" s="36">
        <v>182235.02000000002</v>
      </c>
      <c r="I58" s="36">
        <v>249327.46</v>
      </c>
      <c r="J58" s="36">
        <v>219438.52</v>
      </c>
      <c r="K58" s="36">
        <v>257151.64</v>
      </c>
      <c r="L58" s="22">
        <v>204071.53</v>
      </c>
      <c r="M58" s="48">
        <f>SUM(D58:L58)</f>
        <v>1822020.43</v>
      </c>
      <c r="N58" s="21">
        <f>ROUND(M58/10000,2)</f>
        <v>182.2</v>
      </c>
      <c r="O58" s="44">
        <v>1739518.68</v>
      </c>
      <c r="P58" s="51">
        <f>M58-O58</f>
        <v>82501.75</v>
      </c>
      <c r="Q58" s="21">
        <f>VLOOKUP(B58,[1]Sheet1!$B$3:$E$53,4,0)</f>
        <v>128</v>
      </c>
      <c r="R58" s="21">
        <f>(M58-M59-M60-M61-M62-M63)/10000</f>
        <v>121.83080599999998</v>
      </c>
      <c r="S58" s="15">
        <f>R58/Q58</f>
        <v>0.95180317187499985</v>
      </c>
      <c r="T58" s="18">
        <f>R58-Q58</f>
        <v>-6.1691940000000187</v>
      </c>
      <c r="U58" s="67">
        <f>IF((T58)&gt;0,2000+(T58)*0.05*10000,0)</f>
        <v>0</v>
      </c>
      <c r="V58" s="70" t="s">
        <v>125</v>
      </c>
      <c r="W58" s="63"/>
    </row>
    <row r="59" spans="1:23" s="6" customFormat="1" ht="21" customHeight="1" x14ac:dyDescent="0.15">
      <c r="A59" s="77"/>
      <c r="B59" s="13" t="s">
        <v>86</v>
      </c>
      <c r="C59" s="23" t="s">
        <v>22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22">
        <v>0</v>
      </c>
      <c r="M59" s="48">
        <f>SUM(D59:L59)</f>
        <v>0</v>
      </c>
      <c r="N59" s="15">
        <f>M59/M58</f>
        <v>0</v>
      </c>
      <c r="O59" s="44">
        <v>0</v>
      </c>
      <c r="P59" s="50">
        <f>O59/O58</f>
        <v>0</v>
      </c>
      <c r="Q59" s="18"/>
      <c r="R59" s="15"/>
      <c r="S59" s="15"/>
      <c r="T59" s="18"/>
      <c r="U59" s="67"/>
      <c r="V59" s="71"/>
      <c r="W59" s="63"/>
    </row>
    <row r="60" spans="1:23" s="6" customFormat="1" ht="21" customHeight="1" x14ac:dyDescent="0.15">
      <c r="A60" s="77"/>
      <c r="B60" s="13" t="s">
        <v>86</v>
      </c>
      <c r="C60" s="23" t="s">
        <v>23</v>
      </c>
      <c r="D60" s="36">
        <v>67574</v>
      </c>
      <c r="E60" s="36">
        <v>62351.999999999993</v>
      </c>
      <c r="F60" s="36">
        <v>50655.4</v>
      </c>
      <c r="G60" s="36">
        <v>42416.800000000003</v>
      </c>
      <c r="H60" s="36">
        <v>34396.199999999997</v>
      </c>
      <c r="I60" s="36">
        <v>46811.8</v>
      </c>
      <c r="J60" s="36">
        <v>53985.2</v>
      </c>
      <c r="K60" s="36">
        <v>80092</v>
      </c>
      <c r="L60" s="22">
        <v>80089.2</v>
      </c>
      <c r="M60" s="48">
        <f>SUM(D60:L60)</f>
        <v>518372.60000000003</v>
      </c>
      <c r="N60" s="15">
        <f>M60/M58</f>
        <v>0.28450427419192004</v>
      </c>
      <c r="O60" s="44">
        <v>503938.4</v>
      </c>
      <c r="P60" s="50">
        <f>O60/O58</f>
        <v>0.28969990710303845</v>
      </c>
      <c r="Q60" s="18"/>
      <c r="R60" s="15"/>
      <c r="S60" s="15"/>
      <c r="T60" s="18"/>
      <c r="U60" s="67"/>
      <c r="V60" s="71"/>
      <c r="W60" s="63"/>
    </row>
    <row r="61" spans="1:23" s="12" customFormat="1" ht="20.100000000000001" customHeight="1" x14ac:dyDescent="0.15">
      <c r="A61" s="77"/>
      <c r="B61" s="13" t="s">
        <v>86</v>
      </c>
      <c r="C61" s="23" t="s">
        <v>68</v>
      </c>
      <c r="D61" s="24">
        <v>14889.09</v>
      </c>
      <c r="E61" s="24">
        <v>5002.79</v>
      </c>
      <c r="F61" s="24">
        <v>1277.27</v>
      </c>
      <c r="G61" s="24">
        <v>35539.300000000003</v>
      </c>
      <c r="H61" s="33">
        <v>2831.74</v>
      </c>
      <c r="I61" s="35">
        <v>13826.25</v>
      </c>
      <c r="J61" s="24">
        <v>1726.52</v>
      </c>
      <c r="K61" s="24">
        <v>1968.75</v>
      </c>
      <c r="L61" s="24">
        <v>8278.06</v>
      </c>
      <c r="M61" s="36">
        <f t="shared" ref="M61:M63" si="9">D61+E61+F61+G61+H61+I61+J61+K61+L61</f>
        <v>85339.77</v>
      </c>
      <c r="N61" s="15">
        <f>M61/M58</f>
        <v>4.6837987431348399E-2</v>
      </c>
      <c r="O61" s="44">
        <v>45890.78</v>
      </c>
      <c r="P61" s="50">
        <f>O61/O58</f>
        <v>2.6381309110172935E-2</v>
      </c>
      <c r="Q61" s="18"/>
      <c r="R61" s="15"/>
      <c r="S61" s="15"/>
      <c r="T61" s="18"/>
      <c r="U61" s="67"/>
      <c r="V61" s="71"/>
      <c r="W61" s="62"/>
    </row>
    <row r="62" spans="1:23" s="12" customFormat="1" ht="20.100000000000001" customHeight="1" x14ac:dyDescent="0.15">
      <c r="A62" s="77"/>
      <c r="B62" s="13" t="s">
        <v>86</v>
      </c>
      <c r="C62" s="23" t="s">
        <v>69</v>
      </c>
      <c r="D62" s="22"/>
      <c r="E62" s="22"/>
      <c r="F62" s="22"/>
      <c r="G62" s="22"/>
      <c r="H62" s="22"/>
      <c r="I62" s="22"/>
      <c r="J62" s="22"/>
      <c r="K62" s="22"/>
      <c r="L62" s="22"/>
      <c r="M62" s="48">
        <f t="shared" si="9"/>
        <v>0</v>
      </c>
      <c r="N62" s="15">
        <f>M62/M58</f>
        <v>0</v>
      </c>
      <c r="O62" s="44">
        <v>0</v>
      </c>
      <c r="P62" s="50">
        <f>O62/O58</f>
        <v>0</v>
      </c>
      <c r="Q62" s="18"/>
      <c r="R62" s="15"/>
      <c r="S62" s="15"/>
      <c r="T62" s="18"/>
      <c r="U62" s="67"/>
      <c r="V62" s="71"/>
      <c r="W62" s="62"/>
    </row>
    <row r="63" spans="1:23" s="12" customFormat="1" ht="20.100000000000001" customHeight="1" x14ac:dyDescent="0.15">
      <c r="A63" s="77"/>
      <c r="B63" s="13" t="s">
        <v>86</v>
      </c>
      <c r="C63" s="23" t="s">
        <v>70</v>
      </c>
      <c r="D63" s="22"/>
      <c r="E63" s="22"/>
      <c r="F63" s="22"/>
      <c r="G63" s="22"/>
      <c r="H63" s="31"/>
      <c r="I63" s="22"/>
      <c r="J63" s="22"/>
      <c r="K63" s="22"/>
      <c r="L63" s="22"/>
      <c r="M63" s="48">
        <f t="shared" si="9"/>
        <v>0</v>
      </c>
      <c r="N63" s="15">
        <f>M63/M58</f>
        <v>0</v>
      </c>
      <c r="O63" s="44">
        <v>6000</v>
      </c>
      <c r="P63" s="50">
        <f>O63/O58</f>
        <v>3.4492299904477024E-3</v>
      </c>
      <c r="Q63" s="18"/>
      <c r="R63" s="15"/>
      <c r="S63" s="15"/>
      <c r="T63" s="18"/>
      <c r="U63" s="67"/>
      <c r="V63" s="72"/>
      <c r="W63" s="62"/>
    </row>
    <row r="64" spans="1:23" s="6" customFormat="1" ht="21" customHeight="1" x14ac:dyDescent="0.15">
      <c r="A64" s="77"/>
      <c r="B64" s="13" t="s">
        <v>61</v>
      </c>
      <c r="C64" s="23" t="s">
        <v>21</v>
      </c>
      <c r="D64" s="36">
        <v>3836.82</v>
      </c>
      <c r="E64" s="36">
        <v>47729.83</v>
      </c>
      <c r="F64" s="36">
        <v>60805.2</v>
      </c>
      <c r="G64" s="36">
        <v>68380.429999999993</v>
      </c>
      <c r="H64" s="42">
        <f>59362.17-200.72</f>
        <v>59161.45</v>
      </c>
      <c r="I64" s="36">
        <f>152.76-65.58+2678.04+91139.98</f>
        <v>93905.2</v>
      </c>
      <c r="J64" s="36">
        <v>66542.210000000006</v>
      </c>
      <c r="K64" s="36">
        <v>71865.899999999994</v>
      </c>
      <c r="L64" s="36">
        <v>56113.98</v>
      </c>
      <c r="M64" s="48">
        <f t="shared" ref="M64:M66" si="10">SUM(D64:L64)</f>
        <v>528341.02</v>
      </c>
      <c r="N64" s="21">
        <f>ROUND(M64/10000,2)</f>
        <v>52.83</v>
      </c>
      <c r="O64" s="44">
        <v>301636.84999999998</v>
      </c>
      <c r="P64" s="51">
        <f>M64-O64</f>
        <v>226704.17000000004</v>
      </c>
      <c r="Q64" s="21">
        <f>VLOOKUP(B64,[1]Sheet1!$B$3:$E$53,4,0)</f>
        <v>53</v>
      </c>
      <c r="R64" s="21">
        <f>(M64-M65-M66-M67-M68-M69)/10000</f>
        <v>38.757458</v>
      </c>
      <c r="S64" s="15">
        <f>R64/Q64</f>
        <v>0.73127279245283017</v>
      </c>
      <c r="T64" s="18">
        <f>R64-Q64</f>
        <v>-14.242542</v>
      </c>
      <c r="U64" s="67">
        <f>IF((T64)&gt;0,2000+(T64)*0.05*10000,0)</f>
        <v>0</v>
      </c>
      <c r="V64" s="70" t="s">
        <v>126</v>
      </c>
      <c r="W64" s="63"/>
    </row>
    <row r="65" spans="1:23" s="6" customFormat="1" ht="21" customHeight="1" x14ac:dyDescent="0.15">
      <c r="A65" s="77"/>
      <c r="B65" s="13" t="s">
        <v>61</v>
      </c>
      <c r="C65" s="23" t="s">
        <v>22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22">
        <v>0</v>
      </c>
      <c r="L65" s="22">
        <v>0</v>
      </c>
      <c r="M65" s="48">
        <f t="shared" si="10"/>
        <v>0</v>
      </c>
      <c r="N65" s="15">
        <f>M65/M64</f>
        <v>0</v>
      </c>
      <c r="O65" s="44">
        <v>0</v>
      </c>
      <c r="P65" s="50">
        <f>O65/O64</f>
        <v>0</v>
      </c>
      <c r="Q65" s="18"/>
      <c r="R65" s="15"/>
      <c r="S65" s="15"/>
      <c r="T65" s="18"/>
      <c r="U65" s="67"/>
      <c r="V65" s="71"/>
      <c r="W65" s="63"/>
    </row>
    <row r="66" spans="1:23" s="6" customFormat="1" ht="21" customHeight="1" x14ac:dyDescent="0.15">
      <c r="A66" s="77"/>
      <c r="B66" s="13" t="s">
        <v>61</v>
      </c>
      <c r="C66" s="23" t="s">
        <v>23</v>
      </c>
      <c r="D66" s="36">
        <v>26398.799999999999</v>
      </c>
      <c r="E66" s="36">
        <v>15142.199999999999</v>
      </c>
      <c r="F66" s="36">
        <v>12787.8</v>
      </c>
      <c r="G66" s="36">
        <v>11266.2</v>
      </c>
      <c r="H66" s="42">
        <v>6988.8</v>
      </c>
      <c r="I66" s="36">
        <v>8328.56</v>
      </c>
      <c r="J66" s="36">
        <v>11908.8</v>
      </c>
      <c r="K66" s="36">
        <v>16742.439999999999</v>
      </c>
      <c r="L66" s="22">
        <v>20617.8</v>
      </c>
      <c r="M66" s="48">
        <f t="shared" si="10"/>
        <v>130181.40000000001</v>
      </c>
      <c r="N66" s="15">
        <f>M66/M64</f>
        <v>0.24639654138533482</v>
      </c>
      <c r="O66" s="44">
        <v>59194.2</v>
      </c>
      <c r="P66" s="50">
        <f>O66/O64</f>
        <v>0.19624326404416437</v>
      </c>
      <c r="Q66" s="18"/>
      <c r="R66" s="15"/>
      <c r="S66" s="15"/>
      <c r="T66" s="18"/>
      <c r="U66" s="67"/>
      <c r="V66" s="71"/>
      <c r="W66" s="63"/>
    </row>
    <row r="67" spans="1:23" s="12" customFormat="1" ht="20.100000000000001" customHeight="1" x14ac:dyDescent="0.15">
      <c r="A67" s="77"/>
      <c r="B67" s="13" t="s">
        <v>89</v>
      </c>
      <c r="C67" s="23" t="s">
        <v>68</v>
      </c>
      <c r="D67" s="22">
        <v>294.20999999999998</v>
      </c>
      <c r="E67" s="22">
        <v>720.33</v>
      </c>
      <c r="F67" s="24">
        <v>7748</v>
      </c>
      <c r="G67" s="24">
        <v>2374.1</v>
      </c>
      <c r="H67" s="33">
        <v>1008.32</v>
      </c>
      <c r="I67" s="22">
        <v>587.39</v>
      </c>
      <c r="J67" s="22">
        <v>546.54999999999995</v>
      </c>
      <c r="K67" s="22">
        <v>261.20999999999998</v>
      </c>
      <c r="L67" s="24">
        <v>-2955.07</v>
      </c>
      <c r="M67" s="36">
        <f t="shared" ref="M67:M69" si="11">D67+E67+F67+G67+H67+I67+J67+K67+L67</f>
        <v>10585.039999999999</v>
      </c>
      <c r="N67" s="15">
        <f>M67/M64</f>
        <v>2.0034484545606544E-2</v>
      </c>
      <c r="O67" s="36">
        <v>897.61</v>
      </c>
      <c r="P67" s="50">
        <f>O67/O64</f>
        <v>2.9757968895378667E-3</v>
      </c>
      <c r="Q67" s="18"/>
      <c r="R67" s="15"/>
      <c r="S67" s="15"/>
      <c r="T67" s="18"/>
      <c r="U67" s="67"/>
      <c r="V67" s="71"/>
      <c r="W67" s="62"/>
    </row>
    <row r="68" spans="1:23" s="12" customFormat="1" ht="20.100000000000001" customHeight="1" x14ac:dyDescent="0.15">
      <c r="A68" s="77"/>
      <c r="B68" s="13" t="s">
        <v>89</v>
      </c>
      <c r="C68" s="23" t="s">
        <v>69</v>
      </c>
      <c r="D68" s="22"/>
      <c r="E68" s="22"/>
      <c r="F68" s="22"/>
      <c r="G68" s="22"/>
      <c r="H68" s="31"/>
      <c r="I68" s="22"/>
      <c r="J68" s="22"/>
      <c r="K68" s="22"/>
      <c r="L68" s="22"/>
      <c r="M68" s="48">
        <f t="shared" si="11"/>
        <v>0</v>
      </c>
      <c r="N68" s="15">
        <f>M68/M64</f>
        <v>0</v>
      </c>
      <c r="O68" s="44">
        <v>0</v>
      </c>
      <c r="P68" s="50">
        <f>O68/O64</f>
        <v>0</v>
      </c>
      <c r="Q68" s="18"/>
      <c r="R68" s="15"/>
      <c r="S68" s="15"/>
      <c r="T68" s="18"/>
      <c r="U68" s="67"/>
      <c r="V68" s="71"/>
      <c r="W68" s="62"/>
    </row>
    <row r="69" spans="1:23" s="12" customFormat="1" ht="20.100000000000001" customHeight="1" x14ac:dyDescent="0.15">
      <c r="A69" s="77"/>
      <c r="B69" s="13" t="s">
        <v>89</v>
      </c>
      <c r="C69" s="23" t="s">
        <v>70</v>
      </c>
      <c r="D69" s="22"/>
      <c r="E69" s="22"/>
      <c r="F69" s="22"/>
      <c r="G69" s="22"/>
      <c r="H69" s="31"/>
      <c r="I69" s="22"/>
      <c r="J69" s="22"/>
      <c r="K69" s="22"/>
      <c r="L69" s="22"/>
      <c r="M69" s="48">
        <f t="shared" si="11"/>
        <v>0</v>
      </c>
      <c r="N69" s="15">
        <f>M69/M64</f>
        <v>0</v>
      </c>
      <c r="O69" s="44">
        <v>0</v>
      </c>
      <c r="P69" s="50">
        <f>O69/O64</f>
        <v>0</v>
      </c>
      <c r="Q69" s="18"/>
      <c r="R69" s="15"/>
      <c r="S69" s="15"/>
      <c r="T69" s="18"/>
      <c r="U69" s="67"/>
      <c r="V69" s="72"/>
      <c r="W69" s="62"/>
    </row>
    <row r="70" spans="1:23" s="6" customFormat="1" ht="21" customHeight="1" x14ac:dyDescent="0.15">
      <c r="A70" s="77"/>
      <c r="B70" s="13" t="s">
        <v>62</v>
      </c>
      <c r="C70" s="23" t="s">
        <v>21</v>
      </c>
      <c r="D70" s="36">
        <f>22271-60</f>
        <v>22211</v>
      </c>
      <c r="E70" s="36">
        <v>64567</v>
      </c>
      <c r="F70" s="36">
        <v>7148</v>
      </c>
      <c r="G70" s="36">
        <v>51886.36</v>
      </c>
      <c r="H70" s="42">
        <v>30047</v>
      </c>
      <c r="I70" s="36">
        <v>99030</v>
      </c>
      <c r="J70" s="36">
        <f>30759+1200</f>
        <v>31959</v>
      </c>
      <c r="K70" s="36">
        <v>41264.86</v>
      </c>
      <c r="L70" s="36">
        <v>38201.449999999997</v>
      </c>
      <c r="M70" s="48">
        <f t="shared" ref="M70:M72" si="12">SUM(D70:L70)</f>
        <v>386314.67</v>
      </c>
      <c r="N70" s="21">
        <f>ROUND(M70/10000,2)</f>
        <v>38.630000000000003</v>
      </c>
      <c r="O70" s="44">
        <v>199209.47</v>
      </c>
      <c r="P70" s="51">
        <f>M70-O70</f>
        <v>187105.19999999998</v>
      </c>
      <c r="Q70" s="21">
        <v>36</v>
      </c>
      <c r="R70" s="21">
        <f>(M70-M71-M72-M73-M74-M75)/10000</f>
        <v>30.725489000000003</v>
      </c>
      <c r="S70" s="15">
        <f>R70/Q70</f>
        <v>0.85348580555555564</v>
      </c>
      <c r="T70" s="18">
        <f>R70-Q70</f>
        <v>-5.2745109999999968</v>
      </c>
      <c r="U70" s="67">
        <f>IF((T70)&gt;0,2000+(T70)*0.05*10000,0)</f>
        <v>0</v>
      </c>
      <c r="V70" s="44"/>
      <c r="W70" s="63"/>
    </row>
    <row r="71" spans="1:23" s="6" customFormat="1" ht="21" customHeight="1" x14ac:dyDescent="0.15">
      <c r="A71" s="77"/>
      <c r="B71" s="13" t="s">
        <v>62</v>
      </c>
      <c r="C71" s="23" t="s">
        <v>22</v>
      </c>
      <c r="D71" s="36">
        <v>890.84</v>
      </c>
      <c r="E71" s="36">
        <v>2582.6799999999998</v>
      </c>
      <c r="F71" s="36">
        <f>F70*0.04</f>
        <v>285.92</v>
      </c>
      <c r="G71" s="36">
        <f>ROUND(G70*0.04,2)</f>
        <v>2075.4499999999998</v>
      </c>
      <c r="H71" s="42">
        <v>1201.8900000000001</v>
      </c>
      <c r="I71" s="36">
        <v>3961.2</v>
      </c>
      <c r="J71" s="36">
        <v>1230.3600000000001</v>
      </c>
      <c r="K71" s="36">
        <v>1650.59</v>
      </c>
      <c r="L71" s="36">
        <v>1528.06</v>
      </c>
      <c r="M71" s="48">
        <f t="shared" si="12"/>
        <v>15406.99</v>
      </c>
      <c r="N71" s="15">
        <f>M71/M70</f>
        <v>3.9881969794209472E-2</v>
      </c>
      <c r="O71" s="44">
        <v>7968.37</v>
      </c>
      <c r="P71" s="50">
        <f>O71/O70</f>
        <v>3.9999955825393237E-2</v>
      </c>
      <c r="Q71" s="18"/>
      <c r="R71" s="15"/>
      <c r="S71" s="15"/>
      <c r="T71" s="18"/>
      <c r="U71" s="67"/>
      <c r="V71" s="30"/>
      <c r="W71" s="63"/>
    </row>
    <row r="72" spans="1:23" s="6" customFormat="1" ht="21" customHeight="1" x14ac:dyDescent="0.15">
      <c r="A72" s="77"/>
      <c r="B72" s="13" t="s">
        <v>62</v>
      </c>
      <c r="C72" s="23" t="s">
        <v>23</v>
      </c>
      <c r="D72" s="36">
        <v>7446.84</v>
      </c>
      <c r="E72" s="36">
        <v>9890.82</v>
      </c>
      <c r="F72" s="36">
        <v>4530.53</v>
      </c>
      <c r="G72" s="36">
        <v>3048</v>
      </c>
      <c r="H72" s="42">
        <v>2143.34</v>
      </c>
      <c r="I72" s="36">
        <v>2280.54</v>
      </c>
      <c r="J72" s="36">
        <v>3918.2</v>
      </c>
      <c r="K72" s="36">
        <v>4231.0600000000004</v>
      </c>
      <c r="L72" s="36">
        <v>8239.98</v>
      </c>
      <c r="M72" s="48">
        <f t="shared" si="12"/>
        <v>45729.31</v>
      </c>
      <c r="N72" s="15">
        <f>M72/M70</f>
        <v>0.1183732163212958</v>
      </c>
      <c r="O72" s="44">
        <v>33742.28</v>
      </c>
      <c r="P72" s="50">
        <f>O72/O70</f>
        <v>0.16938090342793441</v>
      </c>
      <c r="Q72" s="18"/>
      <c r="R72" s="15"/>
      <c r="S72" s="15"/>
      <c r="T72" s="18"/>
      <c r="U72" s="67"/>
      <c r="V72" s="30"/>
      <c r="W72" s="63"/>
    </row>
    <row r="73" spans="1:23" s="12" customFormat="1" ht="20.100000000000001" customHeight="1" x14ac:dyDescent="0.15">
      <c r="A73" s="77"/>
      <c r="B73" s="13" t="s">
        <v>92</v>
      </c>
      <c r="C73" s="23" t="s">
        <v>68</v>
      </c>
      <c r="D73" s="24">
        <v>1797.53</v>
      </c>
      <c r="E73" s="22">
        <v>230</v>
      </c>
      <c r="F73" s="24">
        <v>1647.3</v>
      </c>
      <c r="G73" s="22">
        <v>228.73</v>
      </c>
      <c r="H73" s="31">
        <v>898</v>
      </c>
      <c r="I73" s="22">
        <v>3324.63</v>
      </c>
      <c r="J73" s="24">
        <v>1788.47</v>
      </c>
      <c r="K73" s="22">
        <v>0</v>
      </c>
      <c r="L73" s="24">
        <v>8008.82</v>
      </c>
      <c r="M73" s="36">
        <f t="shared" ref="M73:M75" si="13">D73+E73+F73+G73+H73+I73+J73+K73+L73</f>
        <v>17923.48</v>
      </c>
      <c r="N73" s="15">
        <f>M73/M70</f>
        <v>4.6396063602761967E-2</v>
      </c>
      <c r="O73" s="36">
        <v>16410.14</v>
      </c>
      <c r="P73" s="50">
        <f>O73/O70</f>
        <v>8.2376304700775518E-2</v>
      </c>
      <c r="Q73" s="18"/>
      <c r="R73" s="15"/>
      <c r="S73" s="15"/>
      <c r="T73" s="18"/>
      <c r="U73" s="67"/>
      <c r="V73" s="45"/>
      <c r="W73" s="62"/>
    </row>
    <row r="74" spans="1:23" s="12" customFormat="1" ht="20.100000000000001" customHeight="1" x14ac:dyDescent="0.15">
      <c r="A74" s="77"/>
      <c r="B74" s="13" t="s">
        <v>92</v>
      </c>
      <c r="C74" s="23" t="s">
        <v>69</v>
      </c>
      <c r="D74" s="22"/>
      <c r="E74" s="22"/>
      <c r="F74" s="22"/>
      <c r="G74" s="22"/>
      <c r="H74" s="31"/>
      <c r="I74" s="22"/>
      <c r="J74" s="22"/>
      <c r="K74" s="22"/>
      <c r="L74" s="22"/>
      <c r="M74" s="48">
        <f t="shared" si="13"/>
        <v>0</v>
      </c>
      <c r="N74" s="15">
        <f>M74/M70</f>
        <v>0</v>
      </c>
      <c r="O74" s="44">
        <v>0</v>
      </c>
      <c r="P74" s="50">
        <f>O74/O70</f>
        <v>0</v>
      </c>
      <c r="Q74" s="18"/>
      <c r="R74" s="15"/>
      <c r="S74" s="15"/>
      <c r="T74" s="18"/>
      <c r="U74" s="67"/>
      <c r="V74" s="45"/>
      <c r="W74" s="62"/>
    </row>
    <row r="75" spans="1:23" s="12" customFormat="1" ht="20.100000000000001" customHeight="1" x14ac:dyDescent="0.15">
      <c r="A75" s="77"/>
      <c r="B75" s="13" t="s">
        <v>92</v>
      </c>
      <c r="C75" s="23" t="s">
        <v>70</v>
      </c>
      <c r="D75" s="22"/>
      <c r="E75" s="22"/>
      <c r="F75" s="22"/>
      <c r="G75" s="22"/>
      <c r="H75" s="31"/>
      <c r="I75" s="22"/>
      <c r="J75" s="22"/>
      <c r="K75" s="22"/>
      <c r="L75" s="22"/>
      <c r="M75" s="48">
        <f t="shared" si="13"/>
        <v>0</v>
      </c>
      <c r="N75" s="15">
        <f>M75/M70</f>
        <v>0</v>
      </c>
      <c r="O75" s="44">
        <v>0</v>
      </c>
      <c r="P75" s="50">
        <f>O75/O70</f>
        <v>0</v>
      </c>
      <c r="Q75" s="18"/>
      <c r="R75" s="15"/>
      <c r="S75" s="15"/>
      <c r="T75" s="18"/>
      <c r="U75" s="67"/>
      <c r="V75" s="45"/>
      <c r="W75" s="62"/>
    </row>
    <row r="76" spans="1:23" s="6" customFormat="1" ht="20.100000000000001" customHeight="1" x14ac:dyDescent="0.15">
      <c r="A76" s="77"/>
      <c r="B76" s="13" t="s">
        <v>53</v>
      </c>
      <c r="C76" s="23" t="s">
        <v>21</v>
      </c>
      <c r="D76" s="36">
        <f>61127-335</f>
        <v>60792</v>
      </c>
      <c r="E76" s="36">
        <v>286123.04000000004</v>
      </c>
      <c r="F76" s="36">
        <f>229088.92-40</f>
        <v>229048.92</v>
      </c>
      <c r="G76" s="36">
        <v>279850.3</v>
      </c>
      <c r="H76" s="36">
        <f>185943.94+171250+12900+30000-244.8-1001.85-78110.9-10000+59400.3+32.5-30.32</f>
        <v>370138.87</v>
      </c>
      <c r="I76" s="36">
        <f>85102.6+45258.11+61865.1+82636.82-1965.62-2556.94+119100+219193.19+91833-8728.22</f>
        <v>691738.04</v>
      </c>
      <c r="J76" s="36">
        <f>290544.53-132</f>
        <v>290412.53000000003</v>
      </c>
      <c r="K76" s="36">
        <f>302089.57-1386.75</f>
        <v>300702.82</v>
      </c>
      <c r="L76" s="36">
        <f>407377.94-770</f>
        <v>406607.94</v>
      </c>
      <c r="M76" s="48">
        <f>SUM(D76:L76)</f>
        <v>2915414.46</v>
      </c>
      <c r="N76" s="21">
        <f>ROUND(M76/10000,2)</f>
        <v>291.54000000000002</v>
      </c>
      <c r="O76" s="21">
        <v>1197231.42</v>
      </c>
      <c r="P76" s="51">
        <f>M76-O76</f>
        <v>1718183.04</v>
      </c>
      <c r="Q76" s="21">
        <f>VLOOKUP(B76,[1]Sheet1!$B$3:$E$53,4,0)</f>
        <v>192</v>
      </c>
      <c r="R76" s="21">
        <f>(M76-M77-M78-M79-M80-M81)/10000</f>
        <v>240.89441499999998</v>
      </c>
      <c r="S76" s="15">
        <f>R76/Q76</f>
        <v>1.2546584114583332</v>
      </c>
      <c r="T76" s="18">
        <f>R76-Q76</f>
        <v>48.894414999999981</v>
      </c>
      <c r="U76" s="67">
        <f>IF((T76)&gt;0,2000+(T76)*0.05*10000,0)</f>
        <v>26447.207499999993</v>
      </c>
      <c r="V76" s="70" t="s">
        <v>127</v>
      </c>
      <c r="W76" s="63"/>
    </row>
    <row r="77" spans="1:23" s="6" customFormat="1" ht="20.100000000000001" customHeight="1" x14ac:dyDescent="0.15">
      <c r="A77" s="77"/>
      <c r="B77" s="13" t="s">
        <v>53</v>
      </c>
      <c r="C77" s="23" t="s">
        <v>22</v>
      </c>
      <c r="D77" s="22">
        <v>0</v>
      </c>
      <c r="E77" s="22">
        <v>0</v>
      </c>
      <c r="F77" s="22">
        <v>0</v>
      </c>
      <c r="G77" s="22">
        <v>0</v>
      </c>
      <c r="H77" s="31">
        <v>0</v>
      </c>
      <c r="I77" s="22">
        <v>0</v>
      </c>
      <c r="J77" s="22">
        <v>0</v>
      </c>
      <c r="K77" s="22">
        <v>0</v>
      </c>
      <c r="L77" s="22">
        <v>0</v>
      </c>
      <c r="M77" s="48">
        <f>SUM(D77:L77)</f>
        <v>0</v>
      </c>
      <c r="N77" s="15">
        <f>M77/M76</f>
        <v>0</v>
      </c>
      <c r="O77" s="48">
        <v>0</v>
      </c>
      <c r="P77" s="50">
        <f>O77/O76</f>
        <v>0</v>
      </c>
      <c r="Q77" s="18"/>
      <c r="R77" s="15"/>
      <c r="S77" s="15"/>
      <c r="T77" s="18"/>
      <c r="U77" s="67"/>
      <c r="V77" s="71"/>
      <c r="W77" s="63"/>
    </row>
    <row r="78" spans="1:23" s="6" customFormat="1" ht="20.100000000000001" customHeight="1" x14ac:dyDescent="0.15">
      <c r="A78" s="77"/>
      <c r="B78" s="13" t="s">
        <v>53</v>
      </c>
      <c r="C78" s="23" t="s">
        <v>23</v>
      </c>
      <c r="D78" s="36">
        <v>36724.320000000007</v>
      </c>
      <c r="E78" s="36">
        <v>34861.050000000003</v>
      </c>
      <c r="F78" s="36">
        <v>49028.94</v>
      </c>
      <c r="G78" s="36">
        <v>31051.17</v>
      </c>
      <c r="H78" s="36">
        <v>29829.96</v>
      </c>
      <c r="I78" s="36">
        <v>67713.210000000006</v>
      </c>
      <c r="J78" s="36">
        <v>33922.71</v>
      </c>
      <c r="K78" s="22">
        <v>51036.030000000006</v>
      </c>
      <c r="L78" s="22">
        <v>109618.9</v>
      </c>
      <c r="M78" s="48">
        <f>SUM(D78:L78)</f>
        <v>443786.29000000004</v>
      </c>
      <c r="N78" s="15">
        <f>M78/M76</f>
        <v>0.15222065201666046</v>
      </c>
      <c r="O78" s="48">
        <v>219352.5</v>
      </c>
      <c r="P78" s="50">
        <f>O78/O76</f>
        <v>0.18321645785073032</v>
      </c>
      <c r="Q78" s="18"/>
      <c r="R78" s="15"/>
      <c r="S78" s="15"/>
      <c r="T78" s="18"/>
      <c r="U78" s="67"/>
      <c r="V78" s="71"/>
      <c r="W78" s="63"/>
    </row>
    <row r="79" spans="1:23" s="12" customFormat="1" ht="20.100000000000001" customHeight="1" x14ac:dyDescent="0.15">
      <c r="A79" s="77"/>
      <c r="B79" s="13" t="s">
        <v>82</v>
      </c>
      <c r="C79" s="23" t="s">
        <v>68</v>
      </c>
      <c r="D79" s="24">
        <v>2094.8000000000002</v>
      </c>
      <c r="E79" s="24">
        <v>1929.43</v>
      </c>
      <c r="F79" s="24">
        <v>6467.02</v>
      </c>
      <c r="G79" s="24">
        <v>1552.38</v>
      </c>
      <c r="H79" s="33">
        <v>22243.29</v>
      </c>
      <c r="I79" s="22">
        <v>8651.5499999999993</v>
      </c>
      <c r="J79" s="24">
        <v>5584.23</v>
      </c>
      <c r="K79" s="24">
        <v>6135.37</v>
      </c>
      <c r="L79" s="24">
        <v>7710.95</v>
      </c>
      <c r="M79" s="36">
        <f>D79+E79+F79+G79+H79+I79+J79+K79+L79</f>
        <v>62369.02</v>
      </c>
      <c r="N79" s="15">
        <f>M79/M76</f>
        <v>2.1392848548881793E-2</v>
      </c>
      <c r="O79" s="48">
        <v>51476.44</v>
      </c>
      <c r="P79" s="50">
        <f>O79/O76</f>
        <v>4.2996232090200245E-2</v>
      </c>
      <c r="Q79" s="18"/>
      <c r="R79" s="15"/>
      <c r="S79" s="15"/>
      <c r="T79" s="18"/>
      <c r="U79" s="67"/>
      <c r="V79" s="71"/>
      <c r="W79" s="62"/>
    </row>
    <row r="80" spans="1:23" s="12" customFormat="1" ht="20.100000000000001" customHeight="1" x14ac:dyDescent="0.15">
      <c r="A80" s="77"/>
      <c r="B80" s="13" t="s">
        <v>82</v>
      </c>
      <c r="C80" s="23" t="s">
        <v>69</v>
      </c>
      <c r="D80" s="22"/>
      <c r="E80" s="22"/>
      <c r="F80" s="22"/>
      <c r="G80" s="22"/>
      <c r="H80" s="31"/>
      <c r="I80" s="22"/>
      <c r="J80" s="22"/>
      <c r="K80" s="22"/>
      <c r="L80" s="22"/>
      <c r="M80" s="48">
        <f>D80+E80+F80+G80+H80+I80+J80+K80+L80</f>
        <v>0</v>
      </c>
      <c r="N80" s="15">
        <f>M80/M76</f>
        <v>0</v>
      </c>
      <c r="O80" s="48">
        <v>0</v>
      </c>
      <c r="P80" s="50">
        <f>O80/O76</f>
        <v>0</v>
      </c>
      <c r="Q80" s="18"/>
      <c r="R80" s="15"/>
      <c r="S80" s="15"/>
      <c r="T80" s="18"/>
      <c r="U80" s="67"/>
      <c r="V80" s="71"/>
      <c r="W80" s="62"/>
    </row>
    <row r="81" spans="1:23" s="12" customFormat="1" ht="20.100000000000001" customHeight="1" x14ac:dyDescent="0.15">
      <c r="A81" s="77"/>
      <c r="B81" s="13" t="s">
        <v>82</v>
      </c>
      <c r="C81" s="23" t="s">
        <v>70</v>
      </c>
      <c r="D81" s="22"/>
      <c r="E81" s="22"/>
      <c r="F81" s="22"/>
      <c r="G81" s="22"/>
      <c r="H81" s="31">
        <v>315</v>
      </c>
      <c r="I81" s="22"/>
      <c r="J81" s="22"/>
      <c r="K81" s="22"/>
      <c r="L81" s="22"/>
      <c r="M81" s="48">
        <f>D81+E81+F81+G81+H81+I81+J81+K81+L81</f>
        <v>315</v>
      </c>
      <c r="N81" s="15">
        <f>M81/M76</f>
        <v>1.0804638733938365E-4</v>
      </c>
      <c r="O81" s="48">
        <v>0</v>
      </c>
      <c r="P81" s="50">
        <f>O81/O76</f>
        <v>0</v>
      </c>
      <c r="Q81" s="18"/>
      <c r="R81" s="15"/>
      <c r="S81" s="15"/>
      <c r="T81" s="18"/>
      <c r="U81" s="67"/>
      <c r="V81" s="72"/>
      <c r="W81" s="62"/>
    </row>
    <row r="82" spans="1:23" s="6" customFormat="1" ht="21" customHeight="1" x14ac:dyDescent="0.15">
      <c r="A82" s="77"/>
      <c r="B82" s="13" t="s">
        <v>29</v>
      </c>
      <c r="C82" s="23" t="s">
        <v>21</v>
      </c>
      <c r="D82" s="36">
        <f>7650-2450</f>
        <v>5200</v>
      </c>
      <c r="E82" s="36">
        <v>23562.2</v>
      </c>
      <c r="F82" s="36">
        <f>25289.9-490</f>
        <v>24799.9</v>
      </c>
      <c r="G82" s="36">
        <f>34829-420</f>
        <v>34409</v>
      </c>
      <c r="H82" s="36">
        <v>33304.9</v>
      </c>
      <c r="I82" s="36">
        <v>473596.5</v>
      </c>
      <c r="J82" s="36">
        <v>26053</v>
      </c>
      <c r="K82" s="36">
        <f>19328.4-341</f>
        <v>18987.400000000001</v>
      </c>
      <c r="L82" s="36">
        <v>25672.2</v>
      </c>
      <c r="M82" s="48">
        <f>SUM(D82:L82)</f>
        <v>665585.1</v>
      </c>
      <c r="N82" s="21">
        <f>ROUND(M82/10000,2)</f>
        <v>66.56</v>
      </c>
      <c r="O82" s="48">
        <v>520548</v>
      </c>
      <c r="P82" s="51">
        <f>M82-O82</f>
        <v>145037.09999999998</v>
      </c>
      <c r="Q82" s="21">
        <f>VLOOKUP(B82,[1]Sheet1!$B$3:$E$53,4,0)</f>
        <v>55</v>
      </c>
      <c r="R82" s="21">
        <f>(M82-M83-M84-M85-M86-M87)/10000</f>
        <v>61.284528000000002</v>
      </c>
      <c r="S82" s="15">
        <f>R82/Q82</f>
        <v>1.1142641454545454</v>
      </c>
      <c r="T82" s="18">
        <f>R82-Q82</f>
        <v>6.2845280000000017</v>
      </c>
      <c r="U82" s="67">
        <f>IF((T82)&gt;0,2000+(T82)*0.05*10000,0)</f>
        <v>5142.264000000001</v>
      </c>
      <c r="V82" s="70" t="s">
        <v>128</v>
      </c>
      <c r="W82" s="63"/>
    </row>
    <row r="83" spans="1:23" s="6" customFormat="1" ht="21" customHeight="1" x14ac:dyDescent="0.15">
      <c r="A83" s="77"/>
      <c r="B83" s="13" t="s">
        <v>29</v>
      </c>
      <c r="C83" s="23" t="s">
        <v>22</v>
      </c>
      <c r="D83" s="22">
        <v>0</v>
      </c>
      <c r="E83" s="22">
        <v>0</v>
      </c>
      <c r="F83" s="22">
        <v>0</v>
      </c>
      <c r="G83" s="22">
        <v>0</v>
      </c>
      <c r="H83" s="31">
        <v>0</v>
      </c>
      <c r="I83" s="22">
        <v>0</v>
      </c>
      <c r="J83" s="22">
        <v>0</v>
      </c>
      <c r="K83" s="22">
        <v>0</v>
      </c>
      <c r="L83" s="22">
        <v>0</v>
      </c>
      <c r="M83" s="48">
        <f>SUM(D83:L83)</f>
        <v>0</v>
      </c>
      <c r="N83" s="15">
        <f>M83/M82</f>
        <v>0</v>
      </c>
      <c r="O83" s="48">
        <v>0</v>
      </c>
      <c r="P83" s="50">
        <f>O83/O82</f>
        <v>0</v>
      </c>
      <c r="Q83" s="18"/>
      <c r="R83" s="15"/>
      <c r="S83" s="15"/>
      <c r="T83" s="18"/>
      <c r="U83" s="67"/>
      <c r="V83" s="71"/>
      <c r="W83" s="63"/>
    </row>
    <row r="84" spans="1:23" s="6" customFormat="1" ht="21" customHeight="1" x14ac:dyDescent="0.15">
      <c r="A84" s="77"/>
      <c r="B84" s="13" t="s">
        <v>29</v>
      </c>
      <c r="C84" s="23" t="s">
        <v>23</v>
      </c>
      <c r="D84" s="22">
        <v>7422.05</v>
      </c>
      <c r="E84" s="22">
        <v>4655</v>
      </c>
      <c r="F84" s="22">
        <v>2786.2000000000003</v>
      </c>
      <c r="G84" s="22">
        <v>1644.4</v>
      </c>
      <c r="H84" s="31">
        <v>2440.8500000000004</v>
      </c>
      <c r="I84" s="22">
        <v>5855.7</v>
      </c>
      <c r="J84" s="22">
        <v>4421.25</v>
      </c>
      <c r="K84" s="22">
        <v>7428.5</v>
      </c>
      <c r="L84" s="22">
        <v>-19940.349999999999</v>
      </c>
      <c r="M84" s="48">
        <f>SUM(D84:L84)</f>
        <v>16713.599999999999</v>
      </c>
      <c r="N84" s="15">
        <f>M84/M82</f>
        <v>2.5111139056448229E-2</v>
      </c>
      <c r="O84" s="48">
        <v>55218.5</v>
      </c>
      <c r="P84" s="50">
        <f>O84/O82</f>
        <v>0.10607763357077542</v>
      </c>
      <c r="Q84" s="18"/>
      <c r="R84" s="15"/>
      <c r="S84" s="15"/>
      <c r="T84" s="18"/>
      <c r="U84" s="67"/>
      <c r="V84" s="71"/>
      <c r="W84" s="63"/>
    </row>
    <row r="85" spans="1:23" s="12" customFormat="1" ht="20.100000000000001" customHeight="1" x14ac:dyDescent="0.15">
      <c r="A85" s="77"/>
      <c r="B85" s="13" t="s">
        <v>29</v>
      </c>
      <c r="C85" s="23" t="s">
        <v>68</v>
      </c>
      <c r="D85" s="24">
        <v>6824.08</v>
      </c>
      <c r="E85" s="22">
        <v>0</v>
      </c>
      <c r="F85" s="24">
        <v>5392.22</v>
      </c>
      <c r="G85" s="22">
        <v>10.29</v>
      </c>
      <c r="H85" s="33">
        <v>2728</v>
      </c>
      <c r="I85" s="22">
        <v>1970.02</v>
      </c>
      <c r="J85" s="22">
        <v>286</v>
      </c>
      <c r="K85" s="24">
        <v>1320.61</v>
      </c>
      <c r="L85" s="24">
        <v>15495</v>
      </c>
      <c r="M85" s="36">
        <f>D85+E85+F85+G85+H85+I85+J85+K85+L85</f>
        <v>34026.22</v>
      </c>
      <c r="N85" s="15">
        <f>M85/M82</f>
        <v>5.1122268211833473E-2</v>
      </c>
      <c r="O85" s="48">
        <v>44248.34</v>
      </c>
      <c r="P85" s="50">
        <f>O85/O82</f>
        <v>8.5003381052275673E-2</v>
      </c>
      <c r="Q85" s="18"/>
      <c r="R85" s="15"/>
      <c r="S85" s="15"/>
      <c r="T85" s="18"/>
      <c r="U85" s="67"/>
      <c r="V85" s="71"/>
      <c r="W85" s="62"/>
    </row>
    <row r="86" spans="1:23" s="12" customFormat="1" ht="20.100000000000001" customHeight="1" x14ac:dyDescent="0.15">
      <c r="A86" s="77"/>
      <c r="B86" s="13" t="s">
        <v>29</v>
      </c>
      <c r="C86" s="23" t="s">
        <v>69</v>
      </c>
      <c r="D86" s="22"/>
      <c r="E86" s="22"/>
      <c r="F86" s="22"/>
      <c r="G86" s="22"/>
      <c r="H86" s="31"/>
      <c r="I86" s="22"/>
      <c r="J86" s="22"/>
      <c r="K86" s="22"/>
      <c r="L86" s="22"/>
      <c r="M86" s="48">
        <f>D86+E86+F86+G86+H86+I86+J86+K86+L86</f>
        <v>0</v>
      </c>
      <c r="N86" s="15">
        <f>M86/M82</f>
        <v>0</v>
      </c>
      <c r="O86" s="48">
        <v>0</v>
      </c>
      <c r="P86" s="50">
        <f>O86/O82</f>
        <v>0</v>
      </c>
      <c r="Q86" s="18"/>
      <c r="R86" s="15"/>
      <c r="S86" s="15"/>
      <c r="T86" s="18"/>
      <c r="U86" s="67"/>
      <c r="V86" s="71"/>
      <c r="W86" s="62"/>
    </row>
    <row r="87" spans="1:23" s="12" customFormat="1" ht="20.100000000000001" customHeight="1" x14ac:dyDescent="0.15">
      <c r="A87" s="77"/>
      <c r="B87" s="13" t="s">
        <v>29</v>
      </c>
      <c r="C87" s="23" t="s">
        <v>70</v>
      </c>
      <c r="D87" s="22"/>
      <c r="E87" s="22"/>
      <c r="F87" s="22"/>
      <c r="G87" s="22"/>
      <c r="H87" s="31"/>
      <c r="I87" s="22"/>
      <c r="J87" s="22">
        <v>2000</v>
      </c>
      <c r="K87" s="22"/>
      <c r="L87" s="22"/>
      <c r="M87" s="48">
        <f>D87+E87+F87+G87+H87+I87+J87+K87+L87</f>
        <v>2000</v>
      </c>
      <c r="N87" s="15">
        <f>M87/M82</f>
        <v>3.0048749588895544E-3</v>
      </c>
      <c r="O87" s="48">
        <v>0</v>
      </c>
      <c r="P87" s="50">
        <f>O87/O82</f>
        <v>0</v>
      </c>
      <c r="Q87" s="18"/>
      <c r="R87" s="15"/>
      <c r="S87" s="15"/>
      <c r="T87" s="18"/>
      <c r="U87" s="67"/>
      <c r="V87" s="72"/>
      <c r="W87" s="62"/>
    </row>
    <row r="88" spans="1:23" s="6" customFormat="1" ht="21" customHeight="1" x14ac:dyDescent="0.15">
      <c r="A88" s="77"/>
      <c r="B88" s="13" t="s">
        <v>60</v>
      </c>
      <c r="C88" s="23" t="s">
        <v>21</v>
      </c>
      <c r="D88" s="36">
        <v>24720</v>
      </c>
      <c r="E88" s="36">
        <f>28180.01-420</f>
        <v>27760.01</v>
      </c>
      <c r="F88" s="36">
        <f>18640-253</f>
        <v>18387</v>
      </c>
      <c r="G88" s="36">
        <f>19956-180</f>
        <v>19776</v>
      </c>
      <c r="H88" s="42">
        <f>19800.1</f>
        <v>19800.099999999999</v>
      </c>
      <c r="I88" s="36">
        <f>102425-100-3996.51</f>
        <v>98328.49</v>
      </c>
      <c r="J88" s="36">
        <f>20155-1298.59</f>
        <v>18856.41</v>
      </c>
      <c r="K88" s="36">
        <f>24300-653</f>
        <v>23647</v>
      </c>
      <c r="L88" s="36">
        <f>30496.5-390</f>
        <v>30106.5</v>
      </c>
      <c r="M88" s="48">
        <f>SUM(D88:L88)</f>
        <v>281381.51</v>
      </c>
      <c r="N88" s="21">
        <f>ROUND(M88/10000,2)</f>
        <v>28.14</v>
      </c>
      <c r="O88" s="48">
        <v>246761.02</v>
      </c>
      <c r="P88" s="51">
        <f>M88-O88</f>
        <v>34620.49000000002</v>
      </c>
      <c r="Q88" s="21">
        <f>VLOOKUP(B88,[1]Sheet1!$B$3:$E$53,4,0)</f>
        <v>20</v>
      </c>
      <c r="R88" s="21">
        <f>(M88-M89-M90-M91-M92-M93)/10000</f>
        <v>16.023496000000002</v>
      </c>
      <c r="S88" s="15">
        <f>R88/Q88</f>
        <v>0.80117480000000008</v>
      </c>
      <c r="T88" s="18">
        <f>R88-Q88</f>
        <v>-3.9765039999999985</v>
      </c>
      <c r="U88" s="67">
        <f>IF((T88)&gt;0,2000+(T88)*0.05*10000,0)</f>
        <v>0</v>
      </c>
      <c r="V88" s="70" t="s">
        <v>133</v>
      </c>
      <c r="W88" s="63"/>
    </row>
    <row r="89" spans="1:23" s="6" customFormat="1" ht="21" customHeight="1" x14ac:dyDescent="0.15">
      <c r="A89" s="77"/>
      <c r="B89" s="13" t="s">
        <v>60</v>
      </c>
      <c r="C89" s="23" t="s">
        <v>22</v>
      </c>
      <c r="D89" s="36">
        <v>1412.5</v>
      </c>
      <c r="E89" s="36">
        <v>1289.5</v>
      </c>
      <c r="F89" s="36">
        <f>21480*0.05</f>
        <v>1074</v>
      </c>
      <c r="G89" s="36">
        <f>23050*0.05</f>
        <v>1152.5</v>
      </c>
      <c r="H89" s="42">
        <f>23850*0.05</f>
        <v>1192.5</v>
      </c>
      <c r="I89" s="36">
        <v>3589</v>
      </c>
      <c r="J89" s="36">
        <v>1407.5</v>
      </c>
      <c r="K89" s="36">
        <f>1524.5+1100</f>
        <v>2624.5</v>
      </c>
      <c r="L89" s="22">
        <v>1499.5</v>
      </c>
      <c r="M89" s="48">
        <f>SUM(D89:L89)</f>
        <v>15241.5</v>
      </c>
      <c r="N89" s="15">
        <f>M89/M88</f>
        <v>5.416667214558625E-2</v>
      </c>
      <c r="O89" s="48">
        <v>12452</v>
      </c>
      <c r="P89" s="50">
        <f>O89/O88</f>
        <v>5.0461778768786096E-2</v>
      </c>
      <c r="Q89" s="18" t="s">
        <v>129</v>
      </c>
      <c r="R89" s="15"/>
      <c r="S89" s="15"/>
      <c r="T89" s="18"/>
      <c r="U89" s="67"/>
      <c r="V89" s="71"/>
      <c r="W89" s="63"/>
    </row>
    <row r="90" spans="1:23" s="6" customFormat="1" ht="21" customHeight="1" x14ac:dyDescent="0.15">
      <c r="A90" s="77"/>
      <c r="B90" s="13" t="s">
        <v>60</v>
      </c>
      <c r="C90" s="23" t="s">
        <v>23</v>
      </c>
      <c r="D90" s="36">
        <v>9849.4750000000004</v>
      </c>
      <c r="E90" s="36">
        <v>5506.05</v>
      </c>
      <c r="F90" s="36">
        <v>5174.625</v>
      </c>
      <c r="G90" s="36">
        <v>4801.9000000000005</v>
      </c>
      <c r="H90" s="42">
        <v>3504.68</v>
      </c>
      <c r="I90" s="36">
        <v>8143.2</v>
      </c>
      <c r="J90" s="36">
        <v>5744.05</v>
      </c>
      <c r="K90" s="36">
        <v>9250.85</v>
      </c>
      <c r="L90" s="22">
        <v>9969.6</v>
      </c>
      <c r="M90" s="48">
        <f>SUM(D90:L90)</f>
        <v>61944.43</v>
      </c>
      <c r="N90" s="15">
        <f>M90/M88</f>
        <v>0.22014392487978332</v>
      </c>
      <c r="O90" s="48">
        <v>52692.86</v>
      </c>
      <c r="P90" s="50">
        <f>O90/O88</f>
        <v>0.21353802152382093</v>
      </c>
      <c r="Q90" s="18" t="s">
        <v>130</v>
      </c>
      <c r="R90" s="15"/>
      <c r="S90" s="15"/>
      <c r="T90" s="18"/>
      <c r="U90" s="67"/>
      <c r="V90" s="71"/>
      <c r="W90" s="63"/>
    </row>
    <row r="91" spans="1:23" s="12" customFormat="1" ht="20.100000000000001" customHeight="1" x14ac:dyDescent="0.15">
      <c r="A91" s="77"/>
      <c r="B91" s="13" t="s">
        <v>87</v>
      </c>
      <c r="C91" s="23" t="s">
        <v>68</v>
      </c>
      <c r="D91" s="24">
        <v>2467.09</v>
      </c>
      <c r="E91" s="24">
        <v>2054.58</v>
      </c>
      <c r="F91" s="22">
        <v>410</v>
      </c>
      <c r="G91" s="24">
        <v>1815</v>
      </c>
      <c r="H91" s="33">
        <v>3650.28</v>
      </c>
      <c r="I91" s="24">
        <v>5080.01</v>
      </c>
      <c r="J91" s="22">
        <v>271.41000000000003</v>
      </c>
      <c r="K91" s="24">
        <v>3290</v>
      </c>
      <c r="L91" s="24">
        <v>14082.13</v>
      </c>
      <c r="M91" s="36">
        <f>D91+E91+F91+G91+H91+I91+J91+K91+L91</f>
        <v>33120.5</v>
      </c>
      <c r="N91" s="15">
        <f>M91/M88</f>
        <v>0.11770673915283203</v>
      </c>
      <c r="O91" s="48">
        <v>30261.08</v>
      </c>
      <c r="P91" s="50">
        <f>O91/O88</f>
        <v>0.12263314521880321</v>
      </c>
      <c r="Q91" s="18" t="s">
        <v>131</v>
      </c>
      <c r="R91" s="15"/>
      <c r="S91" s="15"/>
      <c r="T91" s="18"/>
      <c r="U91" s="67"/>
      <c r="V91" s="71"/>
      <c r="W91" s="62"/>
    </row>
    <row r="92" spans="1:23" s="12" customFormat="1" ht="20.100000000000001" customHeight="1" x14ac:dyDescent="0.15">
      <c r="A92" s="77"/>
      <c r="B92" s="13" t="s">
        <v>87</v>
      </c>
      <c r="C92" s="23" t="s">
        <v>69</v>
      </c>
      <c r="D92" s="22"/>
      <c r="E92" s="22"/>
      <c r="F92" s="22"/>
      <c r="G92" s="22"/>
      <c r="H92" s="31"/>
      <c r="I92" s="22"/>
      <c r="J92" s="22"/>
      <c r="K92" s="22"/>
      <c r="L92" s="22"/>
      <c r="M92" s="48">
        <f>D92+E92+F92+G92+H92+I92+J92+K92+L92</f>
        <v>0</v>
      </c>
      <c r="N92" s="15">
        <f>M92/M88</f>
        <v>0</v>
      </c>
      <c r="O92" s="48">
        <v>0</v>
      </c>
      <c r="P92" s="50">
        <f>O92/O88</f>
        <v>0</v>
      </c>
      <c r="Q92" s="18" t="s">
        <v>132</v>
      </c>
      <c r="R92" s="15"/>
      <c r="S92" s="15"/>
      <c r="T92" s="18"/>
      <c r="U92" s="67"/>
      <c r="V92" s="71"/>
      <c r="W92" s="62"/>
    </row>
    <row r="93" spans="1:23" s="12" customFormat="1" ht="20.100000000000001" customHeight="1" x14ac:dyDescent="0.15">
      <c r="A93" s="77"/>
      <c r="B93" s="13" t="s">
        <v>87</v>
      </c>
      <c r="C93" s="23" t="s">
        <v>70</v>
      </c>
      <c r="D93" s="22"/>
      <c r="E93" s="22"/>
      <c r="F93" s="22"/>
      <c r="G93" s="22"/>
      <c r="H93" s="31"/>
      <c r="I93" s="24">
        <v>10840.12</v>
      </c>
      <c r="J93" s="22"/>
      <c r="K93" s="22"/>
      <c r="L93" s="22"/>
      <c r="M93" s="48">
        <f>D93+E93+F93+G93+H93+I93+J93+K93+L93</f>
        <v>10840.12</v>
      </c>
      <c r="N93" s="15">
        <f>M93/M88</f>
        <v>3.8524635111951741E-2</v>
      </c>
      <c r="O93" s="48">
        <v>0</v>
      </c>
      <c r="P93" s="50">
        <f>O93/O88</f>
        <v>0</v>
      </c>
      <c r="Q93" s="18"/>
      <c r="R93" s="15"/>
      <c r="S93" s="15"/>
      <c r="T93" s="18"/>
      <c r="U93" s="67"/>
      <c r="V93" s="72"/>
      <c r="W93" s="62"/>
    </row>
    <row r="94" spans="1:23" s="6" customFormat="1" ht="21" customHeight="1" x14ac:dyDescent="0.15">
      <c r="A94" s="77"/>
      <c r="B94" s="13" t="s">
        <v>64</v>
      </c>
      <c r="C94" s="23" t="s">
        <v>21</v>
      </c>
      <c r="D94" s="36">
        <v>0</v>
      </c>
      <c r="E94" s="36">
        <f>472589+70+85-10-85.65</f>
        <v>472648.35</v>
      </c>
      <c r="F94" s="36">
        <f>419290+1068.71-20-1028.71</f>
        <v>419310</v>
      </c>
      <c r="G94" s="36">
        <f>402551.95+95</f>
        <v>402646.95</v>
      </c>
      <c r="H94" s="42">
        <f>484000+20-23-52.2</f>
        <v>483944.8</v>
      </c>
      <c r="I94" s="36">
        <f>873154-762.15-12.3-27</f>
        <v>872352.54999999993</v>
      </c>
      <c r="J94" s="36">
        <f>419710-30</f>
        <v>419680</v>
      </c>
      <c r="K94" s="36">
        <v>497875</v>
      </c>
      <c r="L94" s="36">
        <v>449090</v>
      </c>
      <c r="M94" s="48">
        <f>SUM(D94:L94)</f>
        <v>4017547.65</v>
      </c>
      <c r="N94" s="21">
        <f>ROUND(M94/10000,2)</f>
        <v>401.75</v>
      </c>
      <c r="O94" s="48">
        <v>1303274.6499999999</v>
      </c>
      <c r="P94" s="51">
        <f>M94-O94</f>
        <v>2714273</v>
      </c>
      <c r="Q94" s="21">
        <f>VLOOKUP(B94,[1]Sheet1!$B$3:$E$53,4,0)</f>
        <v>287</v>
      </c>
      <c r="R94" s="21">
        <f>(M94-M95-M96-M97-M98-M99)/10000</f>
        <v>316.00124199999999</v>
      </c>
      <c r="S94" s="15">
        <f>R94/Q94</f>
        <v>1.1010496236933798</v>
      </c>
      <c r="T94" s="18">
        <f>R94-Q94</f>
        <v>29.001241999999991</v>
      </c>
      <c r="U94" s="67">
        <f>IF((T94)&gt;0,2000+(T94)*0.05*10000,0)</f>
        <v>16500.620999999996</v>
      </c>
      <c r="V94" s="70" t="s">
        <v>134</v>
      </c>
      <c r="W94" s="63"/>
    </row>
    <row r="95" spans="1:23" s="6" customFormat="1" ht="21" customHeight="1" x14ac:dyDescent="0.15">
      <c r="A95" s="77"/>
      <c r="B95" s="13" t="s">
        <v>64</v>
      </c>
      <c r="C95" s="23" t="s">
        <v>22</v>
      </c>
      <c r="D95" s="22">
        <v>0</v>
      </c>
      <c r="E95" s="36">
        <v>39528.589999999997</v>
      </c>
      <c r="F95" s="36">
        <v>37826.53</v>
      </c>
      <c r="G95" s="36">
        <v>36658.769999999997</v>
      </c>
      <c r="H95" s="42">
        <v>44686.39</v>
      </c>
      <c r="I95" s="36">
        <v>80466.94</v>
      </c>
      <c r="J95" s="36">
        <v>37618.120000000003</v>
      </c>
      <c r="K95" s="36">
        <v>43728.05</v>
      </c>
      <c r="L95" s="36">
        <v>37378.949999999997</v>
      </c>
      <c r="M95" s="48">
        <f>SUM(D95:L95)</f>
        <v>357892.33999999997</v>
      </c>
      <c r="N95" s="15">
        <f>M95/M94</f>
        <v>8.9082288793762024E-2</v>
      </c>
      <c r="O95" s="48">
        <v>107360.84</v>
      </c>
      <c r="P95" s="50">
        <f>O95/O94</f>
        <v>8.2377755141634965E-2</v>
      </c>
      <c r="Q95" s="18"/>
      <c r="R95" s="15"/>
      <c r="S95" s="15"/>
      <c r="T95" s="18"/>
      <c r="U95" s="67"/>
      <c r="V95" s="71"/>
      <c r="W95" s="63"/>
    </row>
    <row r="96" spans="1:23" s="6" customFormat="1" ht="21" customHeight="1" x14ac:dyDescent="0.15">
      <c r="A96" s="77"/>
      <c r="B96" s="13" t="s">
        <v>64</v>
      </c>
      <c r="C96" s="23" t="s">
        <v>23</v>
      </c>
      <c r="D96" s="22">
        <v>0</v>
      </c>
      <c r="E96" s="36">
        <v>77303.12</v>
      </c>
      <c r="F96" s="36">
        <v>41024.730000000003</v>
      </c>
      <c r="G96" s="36">
        <v>35964.269999999997</v>
      </c>
      <c r="H96" s="42">
        <v>37136.15</v>
      </c>
      <c r="I96" s="36">
        <v>68484.55</v>
      </c>
      <c r="J96" s="36">
        <v>43528.800000000003</v>
      </c>
      <c r="K96" s="36">
        <v>60594.52</v>
      </c>
      <c r="L96" s="36">
        <v>75300.53</v>
      </c>
      <c r="M96" s="48">
        <f>SUM(D96:L96)</f>
        <v>439336.67000000004</v>
      </c>
      <c r="N96" s="15">
        <f>M96/M94</f>
        <v>0.10935443914398876</v>
      </c>
      <c r="O96" s="48">
        <v>163999.62</v>
      </c>
      <c r="P96" s="50">
        <f>O96/O94</f>
        <v>0.12583657635019602</v>
      </c>
      <c r="Q96" s="18"/>
      <c r="R96" s="15"/>
      <c r="S96" s="15"/>
      <c r="T96" s="18"/>
      <c r="U96" s="67"/>
      <c r="V96" s="71"/>
      <c r="W96" s="63"/>
    </row>
    <row r="97" spans="1:23" s="12" customFormat="1" ht="20.100000000000001" customHeight="1" x14ac:dyDescent="0.15">
      <c r="A97" s="77"/>
      <c r="B97" s="13" t="s">
        <v>88</v>
      </c>
      <c r="C97" s="23" t="s">
        <v>68</v>
      </c>
      <c r="D97" s="22">
        <v>9104.7000000000007</v>
      </c>
      <c r="E97" s="22">
        <v>2370.7199999999998</v>
      </c>
      <c r="F97" s="22">
        <v>488.94</v>
      </c>
      <c r="G97" s="24">
        <v>7592</v>
      </c>
      <c r="H97" s="33">
        <v>15269.06</v>
      </c>
      <c r="I97" s="22">
        <v>9858.7800000000007</v>
      </c>
      <c r="J97" s="24">
        <v>6007.2</v>
      </c>
      <c r="K97" s="24">
        <v>1668.96</v>
      </c>
      <c r="L97" s="24">
        <v>5945.86</v>
      </c>
      <c r="M97" s="36">
        <f>D97+E97+F97+G97+H97+I97+J97+K97+L97</f>
        <v>58306.219999999994</v>
      </c>
      <c r="N97" s="15">
        <f>M97/M94</f>
        <v>1.4512888229216148E-2</v>
      </c>
      <c r="O97" s="48">
        <v>10716.62</v>
      </c>
      <c r="P97" s="50">
        <f>O97/O94</f>
        <v>8.2228408263753175E-3</v>
      </c>
      <c r="Q97" s="18"/>
      <c r="R97" s="15"/>
      <c r="S97" s="15"/>
      <c r="T97" s="18"/>
      <c r="U97" s="67"/>
      <c r="V97" s="71"/>
      <c r="W97" s="62"/>
    </row>
    <row r="98" spans="1:23" s="12" customFormat="1" ht="20.100000000000001" customHeight="1" x14ac:dyDescent="0.15">
      <c r="A98" s="77"/>
      <c r="B98" s="13" t="s">
        <v>88</v>
      </c>
      <c r="C98" s="23" t="s">
        <v>69</v>
      </c>
      <c r="D98" s="22"/>
      <c r="E98" s="22"/>
      <c r="F98" s="22"/>
      <c r="G98" s="22"/>
      <c r="H98" s="31"/>
      <c r="I98" s="22"/>
      <c r="J98" s="22"/>
      <c r="K98" s="22"/>
      <c r="L98" s="22"/>
      <c r="M98" s="48">
        <f>D98+E98+F98+G98+H98+I98+J98+K98+L98</f>
        <v>0</v>
      </c>
      <c r="N98" s="15">
        <f>M98/M94</f>
        <v>0</v>
      </c>
      <c r="O98" s="48">
        <v>0</v>
      </c>
      <c r="P98" s="50">
        <f>O98/O94</f>
        <v>0</v>
      </c>
      <c r="Q98" s="18"/>
      <c r="R98" s="15"/>
      <c r="S98" s="15"/>
      <c r="T98" s="18"/>
      <c r="U98" s="67"/>
      <c r="V98" s="71"/>
      <c r="W98" s="62"/>
    </row>
    <row r="99" spans="1:23" s="12" customFormat="1" ht="20.100000000000001" customHeight="1" x14ac:dyDescent="0.15">
      <c r="A99" s="77"/>
      <c r="B99" s="13" t="s">
        <v>88</v>
      </c>
      <c r="C99" s="23" t="s">
        <v>70</v>
      </c>
      <c r="D99" s="22"/>
      <c r="E99" s="22"/>
      <c r="F99" s="22"/>
      <c r="G99" s="24">
        <v>2000</v>
      </c>
      <c r="H99" s="31"/>
      <c r="I99" s="22"/>
      <c r="J99" s="22"/>
      <c r="K99" s="22"/>
      <c r="L99" s="22"/>
      <c r="M99" s="48">
        <f>D99+E99+F99+G99+H99+I99+J99+K99+L99</f>
        <v>2000</v>
      </c>
      <c r="N99" s="15">
        <f>M99/M94</f>
        <v>4.9781612422194923E-4</v>
      </c>
      <c r="O99" s="48">
        <v>0</v>
      </c>
      <c r="P99" s="50">
        <f>O99/O94</f>
        <v>0</v>
      </c>
      <c r="Q99" s="18"/>
      <c r="R99" s="15"/>
      <c r="S99" s="15"/>
      <c r="T99" s="18"/>
      <c r="U99" s="67"/>
      <c r="V99" s="72"/>
      <c r="W99" s="62"/>
    </row>
    <row r="100" spans="1:23" s="6" customFormat="1" ht="21" customHeight="1" x14ac:dyDescent="0.15">
      <c r="A100" s="77"/>
      <c r="B100" s="13" t="s">
        <v>107</v>
      </c>
      <c r="C100" s="23" t="s">
        <v>21</v>
      </c>
      <c r="D100" s="22"/>
      <c r="E100" s="22"/>
      <c r="F100" s="36">
        <v>665615.26</v>
      </c>
      <c r="G100" s="36">
        <v>0</v>
      </c>
      <c r="H100" s="36">
        <v>551712.34</v>
      </c>
      <c r="I100" s="42">
        <f>404893.87+3720</f>
        <v>408613.87</v>
      </c>
      <c r="J100" s="22">
        <v>0</v>
      </c>
      <c r="K100" s="36">
        <v>685849.66</v>
      </c>
      <c r="L100" s="36">
        <v>363852.58</v>
      </c>
      <c r="M100" s="48">
        <f>SUM(D100:L100)</f>
        <v>2675643.7100000004</v>
      </c>
      <c r="N100" s="21">
        <f>ROUND(M100/10000,2)</f>
        <v>267.56</v>
      </c>
      <c r="O100" s="21"/>
      <c r="P100" s="21"/>
      <c r="Q100" s="21"/>
      <c r="R100" s="21">
        <f>(M100-M101-M102-M103-M104-M105-M106)/10000</f>
        <v>206.06355200000004</v>
      </c>
      <c r="S100" s="15"/>
      <c r="T100" s="18"/>
      <c r="U100" s="67"/>
      <c r="V100" s="70" t="s">
        <v>135</v>
      </c>
      <c r="W100" s="63"/>
    </row>
    <row r="101" spans="1:23" s="6" customFormat="1" ht="21" customHeight="1" x14ac:dyDescent="0.15">
      <c r="A101" s="77"/>
      <c r="B101" s="13" t="s">
        <v>107</v>
      </c>
      <c r="C101" s="23" t="s">
        <v>108</v>
      </c>
      <c r="D101" s="22"/>
      <c r="E101" s="22"/>
      <c r="F101" s="36">
        <f>ROUND(F100*0.11,2)</f>
        <v>73217.679999999993</v>
      </c>
      <c r="G101" s="36">
        <v>0</v>
      </c>
      <c r="H101" s="36">
        <v>60688.36</v>
      </c>
      <c r="I101" s="42">
        <v>44538.33</v>
      </c>
      <c r="J101" s="22">
        <v>0</v>
      </c>
      <c r="K101" s="36">
        <v>75443.460000000006</v>
      </c>
      <c r="L101" s="36">
        <v>40023.78</v>
      </c>
      <c r="M101" s="48">
        <f>SUM(D101:L101)</f>
        <v>293911.61</v>
      </c>
      <c r="N101" s="15">
        <f>M101/M100</f>
        <v>0.10984706554969531</v>
      </c>
      <c r="O101" s="15"/>
      <c r="P101" s="15"/>
      <c r="Q101" s="18"/>
      <c r="R101" s="15"/>
      <c r="S101" s="15"/>
      <c r="T101" s="18"/>
      <c r="U101" s="67"/>
      <c r="V101" s="71"/>
      <c r="W101" s="63"/>
    </row>
    <row r="102" spans="1:23" s="6" customFormat="1" ht="21" customHeight="1" x14ac:dyDescent="0.15">
      <c r="A102" s="77"/>
      <c r="B102" s="13" t="s">
        <v>107</v>
      </c>
      <c r="C102" s="23" t="s">
        <v>109</v>
      </c>
      <c r="D102" s="22"/>
      <c r="E102" s="22"/>
      <c r="F102" s="36">
        <f>ROUND(F100*0.001,2)</f>
        <v>665.62</v>
      </c>
      <c r="G102" s="36">
        <v>0</v>
      </c>
      <c r="H102" s="36">
        <v>551.71</v>
      </c>
      <c r="I102" s="42">
        <v>404.89</v>
      </c>
      <c r="J102" s="22">
        <v>0</v>
      </c>
      <c r="K102" s="36">
        <v>685.85</v>
      </c>
      <c r="L102" s="36">
        <v>363.85</v>
      </c>
      <c r="M102" s="48">
        <f>SUM(D102:L102)</f>
        <v>2671.9199999999996</v>
      </c>
      <c r="N102" s="15"/>
      <c r="O102" s="15"/>
      <c r="P102" s="15"/>
      <c r="Q102" s="18"/>
      <c r="R102" s="15"/>
      <c r="S102" s="15"/>
      <c r="T102" s="18"/>
      <c r="U102" s="67"/>
      <c r="V102" s="71"/>
      <c r="W102" s="63"/>
    </row>
    <row r="103" spans="1:23" s="6" customFormat="1" ht="21" customHeight="1" x14ac:dyDescent="0.15">
      <c r="A103" s="77"/>
      <c r="B103" s="13" t="s">
        <v>107</v>
      </c>
      <c r="C103" s="23" t="s">
        <v>23</v>
      </c>
      <c r="D103" s="22"/>
      <c r="E103" s="22"/>
      <c r="F103" s="36">
        <v>63131.640000000007</v>
      </c>
      <c r="G103" s="36">
        <v>0</v>
      </c>
      <c r="H103" s="36">
        <v>52161.26</v>
      </c>
      <c r="I103" s="42">
        <v>44810.68</v>
      </c>
      <c r="J103" s="22">
        <v>0</v>
      </c>
      <c r="K103" s="36">
        <v>66037.22</v>
      </c>
      <c r="L103" s="36">
        <v>47501.34</v>
      </c>
      <c r="M103" s="48">
        <f>SUM(D103:L103)</f>
        <v>273642.14</v>
      </c>
      <c r="N103" s="15">
        <f>M103/M100</f>
        <v>0.10227151656152304</v>
      </c>
      <c r="O103" s="15"/>
      <c r="P103" s="15"/>
      <c r="Q103" s="18"/>
      <c r="R103" s="15"/>
      <c r="S103" s="15"/>
      <c r="T103" s="18"/>
      <c r="U103" s="67"/>
      <c r="V103" s="71"/>
      <c r="W103" s="63"/>
    </row>
    <row r="104" spans="1:23" s="12" customFormat="1" ht="20.100000000000001" customHeight="1" x14ac:dyDescent="0.15">
      <c r="A104" s="77"/>
      <c r="B104" s="13" t="s">
        <v>107</v>
      </c>
      <c r="C104" s="23" t="s">
        <v>68</v>
      </c>
      <c r="D104" s="22"/>
      <c r="E104" s="22"/>
      <c r="F104" s="22">
        <v>385</v>
      </c>
      <c r="G104" s="24">
        <v>5000</v>
      </c>
      <c r="H104" s="33">
        <v>12279</v>
      </c>
      <c r="I104" s="22">
        <v>-1189</v>
      </c>
      <c r="J104" s="24">
        <v>2040.04</v>
      </c>
      <c r="K104" s="24">
        <v>7005.59</v>
      </c>
      <c r="L104" s="24">
        <v>19261.89</v>
      </c>
      <c r="M104" s="36">
        <f>D104+E104+F104+G104+H104+I104+J104+K104+L104</f>
        <v>44782.520000000004</v>
      </c>
      <c r="N104" s="15">
        <f>M104/M100</f>
        <v>1.6737101368403045E-2</v>
      </c>
      <c r="O104" s="15"/>
      <c r="P104" s="15"/>
      <c r="Q104" s="18"/>
      <c r="R104" s="15"/>
      <c r="S104" s="15"/>
      <c r="T104" s="18"/>
      <c r="U104" s="67"/>
      <c r="V104" s="71"/>
      <c r="W104" s="62"/>
    </row>
    <row r="105" spans="1:23" s="12" customFormat="1" ht="20.100000000000001" customHeight="1" x14ac:dyDescent="0.15">
      <c r="A105" s="77"/>
      <c r="B105" s="13" t="s">
        <v>107</v>
      </c>
      <c r="C105" s="23" t="s">
        <v>69</v>
      </c>
      <c r="D105" s="22"/>
      <c r="E105" s="22"/>
      <c r="F105" s="22"/>
      <c r="G105" s="22"/>
      <c r="H105" s="31"/>
      <c r="I105" s="43"/>
      <c r="J105" s="22"/>
      <c r="K105" s="22"/>
      <c r="L105" s="22"/>
      <c r="M105" s="48">
        <f>D105+E105+F105+G105+H105+I105+J105+K105+L105</f>
        <v>0</v>
      </c>
      <c r="N105" s="15">
        <f>M105/M100</f>
        <v>0</v>
      </c>
      <c r="O105" s="15"/>
      <c r="P105" s="15"/>
      <c r="Q105" s="18"/>
      <c r="R105" s="15"/>
      <c r="S105" s="15"/>
      <c r="T105" s="18"/>
      <c r="U105" s="67"/>
      <c r="V105" s="71"/>
      <c r="W105" s="62"/>
    </row>
    <row r="106" spans="1:23" s="12" customFormat="1" ht="20.100000000000001" customHeight="1" x14ac:dyDescent="0.15">
      <c r="A106" s="77"/>
      <c r="B106" s="13" t="s">
        <v>107</v>
      </c>
      <c r="C106" s="23" t="s">
        <v>70</v>
      </c>
      <c r="D106" s="22"/>
      <c r="E106" s="22"/>
      <c r="F106" s="22"/>
      <c r="G106" s="22"/>
      <c r="H106" s="31"/>
      <c r="I106" s="22"/>
      <c r="J106" s="22"/>
      <c r="K106" s="22"/>
      <c r="L106" s="22"/>
      <c r="M106" s="48">
        <f>D106+E106+F106+G106+H106+I106+J106+K106+L106</f>
        <v>0</v>
      </c>
      <c r="N106" s="15">
        <f>M106/M100</f>
        <v>0</v>
      </c>
      <c r="O106" s="15"/>
      <c r="P106" s="15"/>
      <c r="Q106" s="18"/>
      <c r="R106" s="15"/>
      <c r="S106" s="15"/>
      <c r="T106" s="18"/>
      <c r="U106" s="67"/>
      <c r="V106" s="72"/>
      <c r="W106" s="62"/>
    </row>
    <row r="107" spans="1:23" s="6" customFormat="1" ht="21" customHeight="1" x14ac:dyDescent="0.15">
      <c r="A107" s="77"/>
      <c r="B107" s="13" t="s">
        <v>114</v>
      </c>
      <c r="C107" s="23" t="s">
        <v>21</v>
      </c>
      <c r="D107" s="22"/>
      <c r="E107" s="22"/>
      <c r="F107" s="22"/>
      <c r="G107" s="22"/>
      <c r="H107" s="34"/>
      <c r="I107" s="42">
        <v>230857.60000000001</v>
      </c>
      <c r="J107" s="36">
        <v>108432.20000000001</v>
      </c>
      <c r="K107" s="36">
        <v>142342.47</v>
      </c>
      <c r="L107" s="36">
        <f>131164.52-227.34</f>
        <v>130937.18</v>
      </c>
      <c r="M107" s="48">
        <f>SUM(D107:L107)</f>
        <v>612569.44999999995</v>
      </c>
      <c r="N107" s="21">
        <f>ROUND(M107/10000,2)</f>
        <v>61.26</v>
      </c>
      <c r="O107" s="21"/>
      <c r="P107" s="21"/>
      <c r="Q107" s="21"/>
      <c r="R107" s="21">
        <f>(M107-M108-M109-M110-M111-M112)/10000</f>
        <v>47.164153999999996</v>
      </c>
      <c r="S107" s="15"/>
      <c r="T107" s="18"/>
      <c r="U107" s="67"/>
      <c r="V107" s="70" t="s">
        <v>136</v>
      </c>
      <c r="W107" s="63"/>
    </row>
    <row r="108" spans="1:23" s="6" customFormat="1" ht="21" customHeight="1" x14ac:dyDescent="0.15">
      <c r="A108" s="77"/>
      <c r="B108" s="13" t="s">
        <v>114</v>
      </c>
      <c r="C108" s="23" t="s">
        <v>109</v>
      </c>
      <c r="D108" s="22"/>
      <c r="E108" s="22"/>
      <c r="F108" s="22"/>
      <c r="G108" s="22"/>
      <c r="H108" s="34"/>
      <c r="I108" s="32">
        <v>0</v>
      </c>
      <c r="J108" s="32">
        <v>0</v>
      </c>
      <c r="K108" s="32">
        <v>0</v>
      </c>
      <c r="L108" s="32">
        <v>0</v>
      </c>
      <c r="M108" s="48">
        <f>SUM(D108:L108)</f>
        <v>0</v>
      </c>
      <c r="N108" s="15"/>
      <c r="O108" s="15"/>
      <c r="P108" s="15"/>
      <c r="Q108" s="18"/>
      <c r="R108" s="15"/>
      <c r="S108" s="15"/>
      <c r="T108" s="18"/>
      <c r="U108" s="67"/>
      <c r="V108" s="71"/>
      <c r="W108" s="63"/>
    </row>
    <row r="109" spans="1:23" s="6" customFormat="1" ht="21" customHeight="1" x14ac:dyDescent="0.15">
      <c r="A109" s="77"/>
      <c r="B109" s="13" t="s">
        <v>114</v>
      </c>
      <c r="C109" s="23" t="s">
        <v>23</v>
      </c>
      <c r="D109" s="22"/>
      <c r="E109" s="22"/>
      <c r="F109" s="22"/>
      <c r="G109" s="22"/>
      <c r="H109" s="34"/>
      <c r="I109" s="42">
        <v>20388.32</v>
      </c>
      <c r="J109" s="36">
        <v>20416.8</v>
      </c>
      <c r="K109" s="36">
        <v>21043.200000000001</v>
      </c>
      <c r="L109" s="22">
        <v>36431.839999999997</v>
      </c>
      <c r="M109" s="48">
        <f>SUM(D109:L109)</f>
        <v>98280.159999999989</v>
      </c>
      <c r="N109" s="15">
        <f>M109/M107</f>
        <v>0.16043921223952648</v>
      </c>
      <c r="O109" s="15"/>
      <c r="P109" s="15"/>
      <c r="Q109" s="18"/>
      <c r="R109" s="15"/>
      <c r="S109" s="15"/>
      <c r="T109" s="18"/>
      <c r="U109" s="67"/>
      <c r="V109" s="71"/>
      <c r="W109" s="63"/>
    </row>
    <row r="110" spans="1:23" s="12" customFormat="1" ht="20.100000000000001" customHeight="1" x14ac:dyDescent="0.15">
      <c r="A110" s="77"/>
      <c r="B110" s="13" t="s">
        <v>114</v>
      </c>
      <c r="C110" s="23" t="s">
        <v>68</v>
      </c>
      <c r="D110" s="22"/>
      <c r="E110" s="22"/>
      <c r="F110" s="22"/>
      <c r="G110" s="24"/>
      <c r="H110" s="33"/>
      <c r="I110" s="24">
        <v>3979.26</v>
      </c>
      <c r="J110" s="24">
        <v>3788.81</v>
      </c>
      <c r="K110" s="22">
        <v>106.03</v>
      </c>
      <c r="L110" s="24">
        <v>5463.31</v>
      </c>
      <c r="M110" s="36">
        <f>D110+E110+F110+G110+H110+I110+J110+K110+L110</f>
        <v>13337.41</v>
      </c>
      <c r="N110" s="15">
        <f>M110/M107</f>
        <v>2.1772894485678318E-2</v>
      </c>
      <c r="O110" s="15"/>
      <c r="P110" s="15"/>
      <c r="Q110" s="18"/>
      <c r="R110" s="15"/>
      <c r="S110" s="15"/>
      <c r="T110" s="18"/>
      <c r="U110" s="67"/>
      <c r="V110" s="71"/>
      <c r="W110" s="62"/>
    </row>
    <row r="111" spans="1:23" s="12" customFormat="1" ht="20.100000000000001" customHeight="1" x14ac:dyDescent="0.15">
      <c r="A111" s="77"/>
      <c r="B111" s="13" t="s">
        <v>114</v>
      </c>
      <c r="C111" s="23" t="s">
        <v>69</v>
      </c>
      <c r="D111" s="22"/>
      <c r="E111" s="22"/>
      <c r="F111" s="22"/>
      <c r="G111" s="22"/>
      <c r="H111" s="34"/>
      <c r="I111" s="22"/>
      <c r="J111" s="22"/>
      <c r="K111" s="22"/>
      <c r="L111" s="22"/>
      <c r="M111" s="48">
        <f>D111+E111+F111+G111+H111+I111+J111+K111+L111</f>
        <v>0</v>
      </c>
      <c r="N111" s="15">
        <f>M111/M107</f>
        <v>0</v>
      </c>
      <c r="O111" s="15"/>
      <c r="P111" s="15"/>
      <c r="Q111" s="18"/>
      <c r="R111" s="15"/>
      <c r="S111" s="15"/>
      <c r="T111" s="18"/>
      <c r="U111" s="67"/>
      <c r="V111" s="71"/>
      <c r="W111" s="62"/>
    </row>
    <row r="112" spans="1:23" s="12" customFormat="1" ht="20.100000000000001" customHeight="1" x14ac:dyDescent="0.15">
      <c r="A112" s="78"/>
      <c r="B112" s="13" t="s">
        <v>114</v>
      </c>
      <c r="C112" s="23" t="s">
        <v>70</v>
      </c>
      <c r="D112" s="22"/>
      <c r="E112" s="22"/>
      <c r="F112" s="22"/>
      <c r="G112" s="22"/>
      <c r="H112" s="34"/>
      <c r="I112" s="22">
        <v>29310.34</v>
      </c>
      <c r="J112" s="22"/>
      <c r="K112" s="22"/>
      <c r="L112" s="22"/>
      <c r="M112" s="48">
        <f>D112+E112+F112+G112+H112+I112+J112+K112+L112</f>
        <v>29310.34</v>
      </c>
      <c r="N112" s="15">
        <f>M112/M107</f>
        <v>4.7848190927575647E-2</v>
      </c>
      <c r="O112" s="15"/>
      <c r="P112" s="15"/>
      <c r="Q112" s="18"/>
      <c r="R112" s="15"/>
      <c r="S112" s="15"/>
      <c r="T112" s="18"/>
      <c r="U112" s="67"/>
      <c r="V112" s="72"/>
      <c r="W112" s="62"/>
    </row>
    <row r="113" spans="1:24" s="12" customFormat="1" ht="20.100000000000001" customHeight="1" x14ac:dyDescent="0.15">
      <c r="A113" s="57" t="s">
        <v>172</v>
      </c>
      <c r="B113" s="57" t="s">
        <v>173</v>
      </c>
      <c r="C113" s="23"/>
      <c r="D113" s="22"/>
      <c r="E113" s="22"/>
      <c r="F113" s="22"/>
      <c r="G113" s="22"/>
      <c r="H113" s="56"/>
      <c r="I113" s="22"/>
      <c r="J113" s="22"/>
      <c r="K113" s="22"/>
      <c r="L113" s="22"/>
      <c r="M113" s="56"/>
      <c r="N113" s="50"/>
      <c r="O113" s="50"/>
      <c r="P113" s="50"/>
      <c r="Q113" s="18">
        <f>Q4+Q10+Q16+Q22+Q28+Q34+Q40+Q46+Q52+Q58+Q64+Q70+Q76+Q82+Q88+Q94</f>
        <v>1577</v>
      </c>
      <c r="R113" s="18">
        <f>R4+R10+R16+R22+R28+R34+R40+R46+R52+R58+R64+R70+R76+R82+R88+R94</f>
        <v>1623.040489</v>
      </c>
      <c r="S113" s="50">
        <f>R113/Q113</f>
        <v>1.0291949835129994</v>
      </c>
      <c r="T113" s="18">
        <f>R113-Q113</f>
        <v>46.04048899999998</v>
      </c>
      <c r="U113" s="67">
        <f>IF((T113)&gt;0,2000+(T113)*0.05*10000,0)</f>
        <v>25020.24449999999</v>
      </c>
      <c r="V113" s="55" t="s">
        <v>169</v>
      </c>
      <c r="W113" s="62"/>
    </row>
    <row r="114" spans="1:24" ht="20.100000000000001" customHeight="1" x14ac:dyDescent="0.15">
      <c r="A114" s="76" t="s">
        <v>102</v>
      </c>
      <c r="B114" s="2" t="s">
        <v>45</v>
      </c>
      <c r="C114" s="4" t="s">
        <v>21</v>
      </c>
      <c r="D114" s="36">
        <v>29565</v>
      </c>
      <c r="E114" s="36">
        <v>63180</v>
      </c>
      <c r="F114" s="36">
        <v>52261.599999999999</v>
      </c>
      <c r="G114" s="36">
        <v>59235</v>
      </c>
      <c r="H114" s="42">
        <f>57870-135+550</f>
        <v>58285</v>
      </c>
      <c r="I114" s="36">
        <v>96461</v>
      </c>
      <c r="J114" s="36">
        <v>64470</v>
      </c>
      <c r="K114" s="36">
        <v>72210</v>
      </c>
      <c r="L114" s="36">
        <v>75525</v>
      </c>
      <c r="M114" s="48">
        <f>SUM(D114:L114)</f>
        <v>571192.6</v>
      </c>
      <c r="N114" s="21">
        <f>ROUND(M114/10000,2)</f>
        <v>57.12</v>
      </c>
      <c r="O114" s="44">
        <v>565065</v>
      </c>
      <c r="P114" s="51">
        <f>M114-O114</f>
        <v>6127.5999999999767</v>
      </c>
      <c r="Q114" s="21">
        <f>VLOOKUP(B114,[1]Sheet1!$B$3:$E$53,4,0)</f>
        <v>43</v>
      </c>
      <c r="R114" s="21">
        <f>(M114-M115-M116-M117-M118-M119)/10000</f>
        <v>41.138094000000009</v>
      </c>
      <c r="S114" s="15">
        <f>R114/Q114</f>
        <v>0.95669986046511646</v>
      </c>
      <c r="T114" s="18">
        <f>R114-Q114</f>
        <v>-1.8619059999999905</v>
      </c>
      <c r="U114" s="67">
        <f>IF((T114+T120)&gt;0,2000+(T114+T120)*0.05*10000,0)</f>
        <v>0</v>
      </c>
      <c r="V114" s="70" t="s">
        <v>137</v>
      </c>
      <c r="W114" s="50"/>
      <c r="X114" s="61"/>
    </row>
    <row r="115" spans="1:24" ht="20.100000000000001" customHeight="1" x14ac:dyDescent="0.15">
      <c r="A115" s="77"/>
      <c r="B115" s="2" t="s">
        <v>45</v>
      </c>
      <c r="C115" s="4" t="s">
        <v>22</v>
      </c>
      <c r="D115" s="36">
        <f>D114*0.04</f>
        <v>1182.6000000000001</v>
      </c>
      <c r="E115" s="36">
        <f>E114*0.04</f>
        <v>2527.2000000000003</v>
      </c>
      <c r="F115" s="36">
        <v>2090.46</v>
      </c>
      <c r="G115" s="36">
        <f>G114*0.04</f>
        <v>2369.4</v>
      </c>
      <c r="H115" s="42">
        <v>2314.8000000000002</v>
      </c>
      <c r="I115" s="36">
        <v>3858.54</v>
      </c>
      <c r="J115" s="36">
        <v>2578.8000000000002</v>
      </c>
      <c r="K115" s="36">
        <v>2888.4</v>
      </c>
      <c r="L115" s="36">
        <v>3021</v>
      </c>
      <c r="M115" s="48">
        <f>SUM(D115:L115)</f>
        <v>22831.200000000001</v>
      </c>
      <c r="N115" s="15">
        <f>M115/M114</f>
        <v>3.997110606825089E-2</v>
      </c>
      <c r="O115" s="44">
        <v>22602.6</v>
      </c>
      <c r="P115" s="50">
        <f>O115/O114</f>
        <v>0.04</v>
      </c>
      <c r="Q115" s="18"/>
      <c r="R115" s="15"/>
      <c r="S115" s="15"/>
      <c r="T115" s="18"/>
      <c r="U115" s="67"/>
      <c r="V115" s="71"/>
      <c r="W115" s="50"/>
      <c r="X115" s="61"/>
    </row>
    <row r="116" spans="1:24" ht="20.100000000000001" customHeight="1" x14ac:dyDescent="0.15">
      <c r="A116" s="77"/>
      <c r="B116" s="2" t="s">
        <v>45</v>
      </c>
      <c r="C116" s="4" t="s">
        <v>23</v>
      </c>
      <c r="D116" s="54">
        <v>18644.509999999998</v>
      </c>
      <c r="E116" s="54">
        <v>12502.46</v>
      </c>
      <c r="F116" s="54">
        <v>14352.6</v>
      </c>
      <c r="G116" s="54">
        <v>12738.960000000001</v>
      </c>
      <c r="H116" s="32">
        <v>8572.3700000000008</v>
      </c>
      <c r="I116" s="54">
        <v>12838.95</v>
      </c>
      <c r="J116" s="22">
        <v>13249.69</v>
      </c>
      <c r="K116" s="22">
        <v>14861.68</v>
      </c>
      <c r="L116" s="22">
        <v>19413.009999999998</v>
      </c>
      <c r="M116" s="48">
        <f>SUM(D116:L116)</f>
        <v>127174.23</v>
      </c>
      <c r="N116" s="15">
        <f>M116/M114</f>
        <v>0.22264684451444225</v>
      </c>
      <c r="O116" s="44">
        <v>132782.16</v>
      </c>
      <c r="P116" s="50">
        <f>O116/O114</f>
        <v>0.2349856388203127</v>
      </c>
      <c r="Q116" s="18"/>
      <c r="R116" s="15"/>
      <c r="S116" s="15"/>
      <c r="T116" s="18"/>
      <c r="U116" s="67"/>
      <c r="V116" s="71"/>
      <c r="W116" s="50"/>
    </row>
    <row r="117" spans="1:24" s="12" customFormat="1" ht="20.100000000000001" customHeight="1" x14ac:dyDescent="0.15">
      <c r="A117" s="77"/>
      <c r="B117" s="2" t="s">
        <v>73</v>
      </c>
      <c r="C117" s="4" t="s">
        <v>68</v>
      </c>
      <c r="D117" s="22">
        <v>0</v>
      </c>
      <c r="E117" s="22">
        <v>0</v>
      </c>
      <c r="F117" s="22">
        <v>0</v>
      </c>
      <c r="G117" s="22">
        <v>0</v>
      </c>
      <c r="H117" s="31">
        <v>477.74</v>
      </c>
      <c r="I117" s="22">
        <v>7001.39</v>
      </c>
      <c r="J117" s="22">
        <v>72.5</v>
      </c>
      <c r="K117" s="22">
        <v>474.6</v>
      </c>
      <c r="L117" s="24">
        <v>1780</v>
      </c>
      <c r="M117" s="36">
        <f t="shared" ref="M117:M119" si="14">D117+E117+F117+G117+H117+I117+J117+K117+L117</f>
        <v>9806.23</v>
      </c>
      <c r="N117" s="15">
        <f>M117/M114</f>
        <v>1.7167992022305612E-2</v>
      </c>
      <c r="O117" s="44">
        <v>1099.6500000000001</v>
      </c>
      <c r="P117" s="50">
        <f>O117/O114</f>
        <v>1.9460593029120546E-3</v>
      </c>
      <c r="Q117" s="18"/>
      <c r="R117" s="15"/>
      <c r="S117" s="15"/>
      <c r="T117" s="18"/>
      <c r="U117" s="67"/>
      <c r="V117" s="71"/>
      <c r="W117" s="62"/>
    </row>
    <row r="118" spans="1:24" s="12" customFormat="1" ht="20.100000000000001" customHeight="1" x14ac:dyDescent="0.15">
      <c r="A118" s="77"/>
      <c r="B118" s="2" t="s">
        <v>73</v>
      </c>
      <c r="C118" s="4" t="s">
        <v>69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48">
        <f t="shared" si="14"/>
        <v>0</v>
      </c>
      <c r="N118" s="15">
        <f>M118/M114</f>
        <v>0</v>
      </c>
      <c r="O118" s="44">
        <v>0</v>
      </c>
      <c r="P118" s="50">
        <f>O118/O114</f>
        <v>0</v>
      </c>
      <c r="Q118" s="18"/>
      <c r="R118" s="15"/>
      <c r="S118" s="15"/>
      <c r="T118" s="18"/>
      <c r="U118" s="67"/>
      <c r="V118" s="71"/>
      <c r="W118" s="62"/>
    </row>
    <row r="119" spans="1:24" s="12" customFormat="1" ht="20.100000000000001" customHeight="1" x14ac:dyDescent="0.15">
      <c r="A119" s="77"/>
      <c r="B119" s="2" t="s">
        <v>73</v>
      </c>
      <c r="C119" s="4" t="s">
        <v>70</v>
      </c>
      <c r="D119" s="22"/>
      <c r="E119" s="22"/>
      <c r="F119" s="22"/>
      <c r="G119" s="22"/>
      <c r="H119" s="31"/>
      <c r="I119" s="22"/>
      <c r="J119" s="22"/>
      <c r="K119" s="22"/>
      <c r="L119" s="22"/>
      <c r="M119" s="48">
        <f t="shared" si="14"/>
        <v>0</v>
      </c>
      <c r="N119" s="15">
        <f>M119/M114</f>
        <v>0</v>
      </c>
      <c r="O119" s="44">
        <v>0</v>
      </c>
      <c r="P119" s="50">
        <f>O119/O114</f>
        <v>0</v>
      </c>
      <c r="Q119" s="18"/>
      <c r="R119" s="15"/>
      <c r="S119" s="15"/>
      <c r="T119" s="18"/>
      <c r="U119" s="67"/>
      <c r="V119" s="71"/>
      <c r="W119" s="62"/>
    </row>
    <row r="120" spans="1:24" ht="20.100000000000001" customHeight="1" x14ac:dyDescent="0.15">
      <c r="A120" s="77"/>
      <c r="B120" s="2" t="s">
        <v>9</v>
      </c>
      <c r="C120" s="4" t="s">
        <v>21</v>
      </c>
      <c r="D120" s="36">
        <v>63160</v>
      </c>
      <c r="E120" s="36">
        <v>72545</v>
      </c>
      <c r="F120" s="36">
        <f>87775.3-15</f>
        <v>87760.3</v>
      </c>
      <c r="G120" s="36">
        <v>91035</v>
      </c>
      <c r="H120" s="36">
        <f>93536-30</f>
        <v>93506</v>
      </c>
      <c r="I120" s="36">
        <v>156874.5</v>
      </c>
      <c r="J120" s="36">
        <v>94065</v>
      </c>
      <c r="K120" s="36">
        <f>110780.3+1211.65</f>
        <v>111991.95</v>
      </c>
      <c r="L120" s="22">
        <v>119606</v>
      </c>
      <c r="M120" s="48">
        <f>SUM(D120:L120)</f>
        <v>890543.75</v>
      </c>
      <c r="N120" s="21">
        <f>ROUND(M120/10000,2)</f>
        <v>89.05</v>
      </c>
      <c r="O120" s="44">
        <v>961740</v>
      </c>
      <c r="P120" s="51">
        <f>M120-O120</f>
        <v>-71196.25</v>
      </c>
      <c r="Q120" s="21">
        <f>VLOOKUP(B120,[1]Sheet1!$B$3:$E$53,4,0)</f>
        <v>73</v>
      </c>
      <c r="R120" s="21">
        <f>(M120-M121-M122-M123-M124-M125)/10000</f>
        <v>52.613092999999992</v>
      </c>
      <c r="S120" s="15">
        <f>R120/Q120</f>
        <v>0.72072730136986296</v>
      </c>
      <c r="T120" s="18">
        <f>R120-Q120</f>
        <v>-20.386907000000008</v>
      </c>
      <c r="U120" s="67"/>
      <c r="V120" s="71"/>
      <c r="W120" s="50"/>
    </row>
    <row r="121" spans="1:24" ht="20.100000000000001" customHeight="1" x14ac:dyDescent="0.15">
      <c r="A121" s="77"/>
      <c r="B121" s="2" t="s">
        <v>9</v>
      </c>
      <c r="C121" s="4" t="s">
        <v>22</v>
      </c>
      <c r="D121" s="36">
        <v>5294</v>
      </c>
      <c r="E121" s="36">
        <v>6026.5</v>
      </c>
      <c r="F121" s="36">
        <v>7277.0300000000007</v>
      </c>
      <c r="G121" s="36">
        <v>7450.5</v>
      </c>
      <c r="H121" s="36">
        <v>7739.8</v>
      </c>
      <c r="I121" s="36">
        <v>12820.45</v>
      </c>
      <c r="J121" s="36">
        <v>7935</v>
      </c>
      <c r="K121" s="36">
        <v>9374.52</v>
      </c>
      <c r="L121" s="22">
        <v>11186.1</v>
      </c>
      <c r="M121" s="48">
        <f>SUM(D121:L121)</f>
        <v>75103.900000000009</v>
      </c>
      <c r="N121" s="15">
        <f>M121/M120</f>
        <v>8.4334879673233359E-2</v>
      </c>
      <c r="O121" s="44">
        <v>83355</v>
      </c>
      <c r="P121" s="50">
        <f>O121/O120</f>
        <v>8.6671033751325718E-2</v>
      </c>
      <c r="Q121" s="18"/>
      <c r="R121" s="15"/>
      <c r="S121" s="15"/>
      <c r="T121" s="18"/>
      <c r="U121" s="67"/>
      <c r="V121" s="71"/>
      <c r="W121" s="50"/>
    </row>
    <row r="122" spans="1:24" ht="20.100000000000001" customHeight="1" x14ac:dyDescent="0.15">
      <c r="A122" s="77"/>
      <c r="B122" s="2" t="s">
        <v>9</v>
      </c>
      <c r="C122" s="4" t="s">
        <v>23</v>
      </c>
      <c r="D122" s="36">
        <v>18428.29</v>
      </c>
      <c r="E122" s="36">
        <v>41927.17</v>
      </c>
      <c r="F122" s="36">
        <v>23064.45</v>
      </c>
      <c r="G122" s="36">
        <v>23705.48</v>
      </c>
      <c r="H122" s="36">
        <v>17073.96</v>
      </c>
      <c r="I122" s="36">
        <v>29079.29</v>
      </c>
      <c r="J122" s="36">
        <v>26869.97</v>
      </c>
      <c r="K122" s="36">
        <v>29360.54</v>
      </c>
      <c r="L122" s="22">
        <v>41166.78</v>
      </c>
      <c r="M122" s="48">
        <f>SUM(D122:L122)</f>
        <v>250675.93000000002</v>
      </c>
      <c r="N122" s="15">
        <f>M122/M120</f>
        <v>0.28148637279190386</v>
      </c>
      <c r="O122" s="44">
        <v>256523.11</v>
      </c>
      <c r="P122" s="50">
        <f>O122/O120</f>
        <v>0.26672812818433256</v>
      </c>
      <c r="Q122" s="18"/>
      <c r="R122" s="15"/>
      <c r="S122" s="15"/>
      <c r="T122" s="18"/>
      <c r="U122" s="67"/>
      <c r="V122" s="71"/>
      <c r="W122" s="50"/>
    </row>
    <row r="123" spans="1:24" s="12" customFormat="1" ht="20.100000000000001" customHeight="1" x14ac:dyDescent="0.15">
      <c r="A123" s="77"/>
      <c r="B123" s="2" t="s">
        <v>72</v>
      </c>
      <c r="C123" s="4" t="s">
        <v>68</v>
      </c>
      <c r="D123" s="24">
        <v>10878.4</v>
      </c>
      <c r="E123" s="24">
        <v>2497.81</v>
      </c>
      <c r="F123" s="24">
        <v>3741.77</v>
      </c>
      <c r="G123" s="22">
        <v>628.04</v>
      </c>
      <c r="H123" s="33">
        <v>7008.22</v>
      </c>
      <c r="I123" s="22">
        <f>2927.01+1500</f>
        <v>4427.01</v>
      </c>
      <c r="J123" s="24">
        <v>2001.14</v>
      </c>
      <c r="K123" s="22">
        <v>528.9</v>
      </c>
      <c r="L123" s="22">
        <v>6921.7</v>
      </c>
      <c r="M123" s="36">
        <f t="shared" ref="M123:M131" si="15">D123+E123+F123+G123+H123+I123+J123+K123+L123</f>
        <v>38632.99</v>
      </c>
      <c r="N123" s="15">
        <f>M123/M120</f>
        <v>4.3381349877532685E-2</v>
      </c>
      <c r="O123" s="44">
        <v>19890.79</v>
      </c>
      <c r="P123" s="50">
        <f>O123/O120</f>
        <v>2.068208663464138E-2</v>
      </c>
      <c r="Q123" s="18"/>
      <c r="R123" s="15"/>
      <c r="S123" s="15"/>
      <c r="T123" s="18"/>
      <c r="U123" s="67"/>
      <c r="V123" s="71"/>
      <c r="W123" s="62"/>
    </row>
    <row r="124" spans="1:24" s="12" customFormat="1" ht="20.100000000000001" customHeight="1" x14ac:dyDescent="0.15">
      <c r="A124" s="77"/>
      <c r="B124" s="2" t="s">
        <v>9</v>
      </c>
      <c r="C124" s="4" t="s">
        <v>69</v>
      </c>
      <c r="D124" s="22"/>
      <c r="E124" s="22"/>
      <c r="F124" s="22"/>
      <c r="G124" s="22"/>
      <c r="H124" s="31"/>
      <c r="I124" s="22"/>
      <c r="J124" s="22"/>
      <c r="K124" s="22"/>
      <c r="L124" s="22"/>
      <c r="M124" s="48">
        <f t="shared" si="15"/>
        <v>0</v>
      </c>
      <c r="N124" s="15">
        <f>M124/M120</f>
        <v>0</v>
      </c>
      <c r="O124" s="44">
        <v>0</v>
      </c>
      <c r="P124" s="50">
        <f>O124/O120</f>
        <v>0</v>
      </c>
      <c r="Q124" s="18"/>
      <c r="R124" s="15"/>
      <c r="S124" s="15"/>
      <c r="T124" s="18"/>
      <c r="U124" s="67"/>
      <c r="V124" s="71"/>
      <c r="W124" s="62"/>
    </row>
    <row r="125" spans="1:24" s="12" customFormat="1" ht="20.100000000000001" customHeight="1" x14ac:dyDescent="0.15">
      <c r="A125" s="77"/>
      <c r="B125" s="2" t="s">
        <v>9</v>
      </c>
      <c r="C125" s="4" t="s">
        <v>70</v>
      </c>
      <c r="D125" s="22"/>
      <c r="E125" s="22"/>
      <c r="F125" s="22"/>
      <c r="G125" s="22"/>
      <c r="H125" s="31"/>
      <c r="I125" s="46"/>
      <c r="J125" s="22"/>
      <c r="K125" s="22"/>
      <c r="L125" s="22"/>
      <c r="M125" s="48">
        <f t="shared" si="15"/>
        <v>0</v>
      </c>
      <c r="N125" s="15">
        <f>M125/M120</f>
        <v>0</v>
      </c>
      <c r="O125" s="44">
        <v>0</v>
      </c>
      <c r="P125" s="50">
        <f>O125/O120</f>
        <v>0</v>
      </c>
      <c r="Q125" s="18"/>
      <c r="R125" s="15"/>
      <c r="S125" s="15"/>
      <c r="T125" s="18"/>
      <c r="U125" s="67"/>
      <c r="V125" s="72"/>
      <c r="W125" s="62"/>
    </row>
    <row r="126" spans="1:24" s="12" customFormat="1" ht="20.100000000000001" customHeight="1" x14ac:dyDescent="0.15">
      <c r="A126" s="77"/>
      <c r="B126" s="2" t="s">
        <v>94</v>
      </c>
      <c r="C126" s="4" t="s">
        <v>21</v>
      </c>
      <c r="D126" s="36">
        <v>205030</v>
      </c>
      <c r="E126" s="36">
        <v>222945.15</v>
      </c>
      <c r="F126" s="36">
        <v>255630</v>
      </c>
      <c r="G126" s="36">
        <v>231324.5</v>
      </c>
      <c r="H126" s="36">
        <v>227046.3</v>
      </c>
      <c r="I126" s="36">
        <f>9030+61740+124260+102894+65290+24675-3660.96</f>
        <v>384228.04</v>
      </c>
      <c r="J126" s="36">
        <v>241236.5</v>
      </c>
      <c r="K126" s="36">
        <v>291710</v>
      </c>
      <c r="L126" s="22">
        <v>308613.75</v>
      </c>
      <c r="M126" s="48">
        <f>SUM(D126:L126)</f>
        <v>2367764.2400000002</v>
      </c>
      <c r="N126" s="21">
        <f>ROUND(M126/10000,2)</f>
        <v>236.78</v>
      </c>
      <c r="O126" s="44">
        <v>2153703.34</v>
      </c>
      <c r="P126" s="51">
        <f>M126-O126</f>
        <v>214060.90000000037</v>
      </c>
      <c r="Q126" s="21">
        <f>VLOOKUP(B126,[1]Sheet1!$B$3:$E$53,4,0)</f>
        <v>164</v>
      </c>
      <c r="R126" s="21">
        <f>(M126-M127-M128-M129-M130-M131)/10000</f>
        <v>148.08702400000004</v>
      </c>
      <c r="S126" s="15">
        <f>R126/Q126</f>
        <v>0.90296965853658562</v>
      </c>
      <c r="T126" s="18">
        <f>R126-Q126</f>
        <v>-15.912975999999958</v>
      </c>
      <c r="U126" s="67">
        <f>IF((T126)&gt;0,2000+(T126)*0.05*10000,0)</f>
        <v>0</v>
      </c>
      <c r="V126" s="70" t="s">
        <v>138</v>
      </c>
      <c r="W126" s="62"/>
    </row>
    <row r="127" spans="1:24" s="12" customFormat="1" ht="20.100000000000001" customHeight="1" x14ac:dyDescent="0.15">
      <c r="A127" s="77"/>
      <c r="B127" s="2" t="s">
        <v>94</v>
      </c>
      <c r="C127" s="4" t="s">
        <v>22</v>
      </c>
      <c r="D127" s="36">
        <f>17843.46   +1500</f>
        <v>19343.46</v>
      </c>
      <c r="E127" s="36">
        <v>19467.09</v>
      </c>
      <c r="F127" s="36">
        <v>22311.85</v>
      </c>
      <c r="G127" s="36">
        <v>20216.54</v>
      </c>
      <c r="H127" s="36">
        <v>19715.66</v>
      </c>
      <c r="I127" s="36">
        <v>33678.14</v>
      </c>
      <c r="J127" s="36">
        <v>21022.98</v>
      </c>
      <c r="K127" s="36">
        <v>25407.74</v>
      </c>
      <c r="L127" s="48">
        <v>26821.88</v>
      </c>
      <c r="M127" s="48">
        <f>SUM(D127:L127)</f>
        <v>207985.34</v>
      </c>
      <c r="N127" s="15">
        <f>M127/M126</f>
        <v>8.7840392420150737E-2</v>
      </c>
      <c r="O127" s="44">
        <v>188760.16</v>
      </c>
      <c r="P127" s="50">
        <f>O127/O126</f>
        <v>8.7644457105220452E-2</v>
      </c>
      <c r="Q127" s="18"/>
      <c r="R127" s="15"/>
      <c r="S127" s="15"/>
      <c r="T127" s="18"/>
      <c r="U127" s="67"/>
      <c r="V127" s="71"/>
      <c r="W127" s="62"/>
    </row>
    <row r="128" spans="1:24" s="12" customFormat="1" ht="20.100000000000001" customHeight="1" x14ac:dyDescent="0.15">
      <c r="A128" s="77"/>
      <c r="B128" s="2" t="s">
        <v>94</v>
      </c>
      <c r="C128" s="4" t="s">
        <v>23</v>
      </c>
      <c r="D128" s="36">
        <v>47196.82</v>
      </c>
      <c r="E128" s="36">
        <v>125077.71</v>
      </c>
      <c r="F128" s="36">
        <v>63846.36</v>
      </c>
      <c r="G128" s="36">
        <v>59187.199999999997</v>
      </c>
      <c r="H128" s="36">
        <v>42410.68</v>
      </c>
      <c r="I128" s="36">
        <v>76726.89</v>
      </c>
      <c r="J128" s="36">
        <v>66307.69</v>
      </c>
      <c r="K128" s="36">
        <v>69289.72</v>
      </c>
      <c r="L128" s="22">
        <v>113686.93</v>
      </c>
      <c r="M128" s="48">
        <f>SUM(D128:L128)</f>
        <v>663730</v>
      </c>
      <c r="N128" s="15">
        <f>M128/M126</f>
        <v>0.28031929395132682</v>
      </c>
      <c r="O128" s="44">
        <v>595888.76</v>
      </c>
      <c r="P128" s="50">
        <f>O128/O126</f>
        <v>0.27668098429935112</v>
      </c>
      <c r="Q128" s="18"/>
      <c r="R128" s="15"/>
      <c r="S128" s="15"/>
      <c r="T128" s="18"/>
      <c r="U128" s="67"/>
      <c r="V128" s="71"/>
      <c r="W128" s="62"/>
    </row>
    <row r="129" spans="1:23" s="12" customFormat="1" ht="20.100000000000001" customHeight="1" x14ac:dyDescent="0.15">
      <c r="A129" s="77"/>
      <c r="B129" s="2" t="s">
        <v>84</v>
      </c>
      <c r="C129" s="4" t="s">
        <v>68</v>
      </c>
      <c r="D129" s="22"/>
      <c r="E129" s="22">
        <v>791.68</v>
      </c>
      <c r="F129" s="22">
        <v>629.24</v>
      </c>
      <c r="G129" s="24">
        <v>1642.95</v>
      </c>
      <c r="H129" s="33">
        <v>1087.96</v>
      </c>
      <c r="I129" s="22">
        <v>420.42</v>
      </c>
      <c r="J129" s="22">
        <v>-207.71</v>
      </c>
      <c r="K129" s="22">
        <v>516.37</v>
      </c>
      <c r="L129" s="24">
        <v>10297.75</v>
      </c>
      <c r="M129" s="36">
        <f t="shared" si="15"/>
        <v>15178.66</v>
      </c>
      <c r="N129" s="15">
        <f>M129/M126</f>
        <v>6.4105453336857554E-3</v>
      </c>
      <c r="O129" s="44">
        <v>6932.24</v>
      </c>
      <c r="P129" s="50">
        <f>O129/O126</f>
        <v>3.2187534240440004E-3</v>
      </c>
      <c r="Q129" s="18"/>
      <c r="R129" s="15"/>
      <c r="S129" s="15"/>
      <c r="T129" s="18"/>
      <c r="U129" s="67"/>
      <c r="V129" s="71"/>
      <c r="W129" s="62"/>
    </row>
    <row r="130" spans="1:23" s="12" customFormat="1" ht="20.100000000000001" customHeight="1" x14ac:dyDescent="0.15">
      <c r="A130" s="77"/>
      <c r="B130" s="2" t="s">
        <v>84</v>
      </c>
      <c r="C130" s="4" t="s">
        <v>69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48">
        <f t="shared" si="15"/>
        <v>0</v>
      </c>
      <c r="N130" s="15">
        <f>M130/M126</f>
        <v>0</v>
      </c>
      <c r="O130" s="44">
        <v>0</v>
      </c>
      <c r="P130" s="50">
        <f>O130/O126</f>
        <v>0</v>
      </c>
      <c r="Q130" s="18"/>
      <c r="R130" s="15"/>
      <c r="S130" s="15"/>
      <c r="T130" s="18"/>
      <c r="U130" s="67"/>
      <c r="V130" s="71"/>
      <c r="W130" s="62"/>
    </row>
    <row r="131" spans="1:23" s="12" customFormat="1" ht="20.100000000000001" customHeight="1" x14ac:dyDescent="0.15">
      <c r="A131" s="77"/>
      <c r="B131" s="2" t="s">
        <v>84</v>
      </c>
      <c r="C131" s="4" t="s">
        <v>70</v>
      </c>
      <c r="D131" s="22"/>
      <c r="E131" s="22"/>
      <c r="F131" s="22"/>
      <c r="G131" s="22"/>
      <c r="H131" s="31"/>
      <c r="I131" s="22"/>
      <c r="J131" s="22"/>
      <c r="K131" s="22"/>
      <c r="L131" s="22"/>
      <c r="M131" s="48">
        <f t="shared" si="15"/>
        <v>0</v>
      </c>
      <c r="N131" s="15">
        <f>M131/M126</f>
        <v>0</v>
      </c>
      <c r="O131" s="44">
        <v>0</v>
      </c>
      <c r="P131" s="50">
        <f>O131/O126</f>
        <v>0</v>
      </c>
      <c r="Q131" s="18"/>
      <c r="R131" s="15"/>
      <c r="S131" s="15"/>
      <c r="T131" s="18"/>
      <c r="U131" s="67"/>
      <c r="V131" s="72"/>
      <c r="W131" s="62"/>
    </row>
    <row r="132" spans="1:23" ht="18.75" customHeight="1" x14ac:dyDescent="0.15">
      <c r="A132" s="77"/>
      <c r="B132" s="2" t="s">
        <v>10</v>
      </c>
      <c r="C132" s="4" t="s">
        <v>21</v>
      </c>
      <c r="D132" s="36">
        <v>0</v>
      </c>
      <c r="E132" s="36">
        <f>142295.21-32.5</f>
        <v>142262.71</v>
      </c>
      <c r="F132" s="36">
        <v>63810</v>
      </c>
      <c r="G132" s="36">
        <f>79070-160.75</f>
        <v>78909.25</v>
      </c>
      <c r="H132" s="42">
        <f>65050-2072.65</f>
        <v>62977.35</v>
      </c>
      <c r="I132" s="36">
        <f>121894.7-69.95</f>
        <v>121824.75</v>
      </c>
      <c r="J132" s="36">
        <f>70474-1780+1322.8</f>
        <v>70016.800000000003</v>
      </c>
      <c r="K132" s="36">
        <v>76020</v>
      </c>
      <c r="L132" s="36">
        <f>67020.1-78.2</f>
        <v>66941.900000000009</v>
      </c>
      <c r="M132" s="48">
        <f>SUM(D132:L132)</f>
        <v>682762.76</v>
      </c>
      <c r="N132" s="21">
        <f>ROUND(M132/10000,2)</f>
        <v>68.28</v>
      </c>
      <c r="O132" s="44">
        <v>741553.25</v>
      </c>
      <c r="P132" s="51">
        <f>M132-O132</f>
        <v>-58790.489999999991</v>
      </c>
      <c r="Q132" s="21">
        <f>VLOOKUP(B132,[1]Sheet1!$B$3:$E$53,4,0)</f>
        <v>58</v>
      </c>
      <c r="R132" s="21">
        <f>(M132-M133-M134-M135-M136-M137)/10000</f>
        <v>47.045864999999999</v>
      </c>
      <c r="S132" s="15">
        <f>R132/Q132</f>
        <v>0.81113560344827584</v>
      </c>
      <c r="T132" s="18">
        <f>R132-Q132</f>
        <v>-10.954135000000001</v>
      </c>
      <c r="U132" s="67">
        <f>IF((T132)&gt;0,2000+(T132)*0.05*10000,0)</f>
        <v>0</v>
      </c>
      <c r="V132" s="70" t="s">
        <v>139</v>
      </c>
      <c r="W132" s="50"/>
    </row>
    <row r="133" spans="1:23" ht="18.75" customHeight="1" x14ac:dyDescent="0.15">
      <c r="A133" s="77"/>
      <c r="B133" s="2" t="s">
        <v>10</v>
      </c>
      <c r="C133" s="4" t="s">
        <v>22</v>
      </c>
      <c r="D133" s="22">
        <v>0</v>
      </c>
      <c r="E133" s="36">
        <v>5691.81</v>
      </c>
      <c r="F133" s="36">
        <v>2552.4</v>
      </c>
      <c r="G133" s="36">
        <v>3162.8</v>
      </c>
      <c r="H133" s="42">
        <v>2602</v>
      </c>
      <c r="I133" s="36">
        <v>4875.79</v>
      </c>
      <c r="J133" s="36">
        <v>2818.96</v>
      </c>
      <c r="K133" s="36">
        <v>3040.8</v>
      </c>
      <c r="L133" s="36">
        <v>2680.8</v>
      </c>
      <c r="M133" s="48">
        <f>SUM(D133:L133)</f>
        <v>27425.360000000001</v>
      </c>
      <c r="N133" s="15">
        <f>M133/M132</f>
        <v>4.0168213040793259E-2</v>
      </c>
      <c r="O133" s="44">
        <v>29763.26</v>
      </c>
      <c r="P133" s="50">
        <f>O133/O132</f>
        <v>4.0136375910967956E-2</v>
      </c>
      <c r="Q133" s="18"/>
      <c r="R133" s="15"/>
      <c r="S133" s="15"/>
      <c r="T133" s="18"/>
      <c r="U133" s="67"/>
      <c r="V133" s="71"/>
      <c r="W133" s="50"/>
    </row>
    <row r="134" spans="1:23" ht="18.75" customHeight="1" x14ac:dyDescent="0.15">
      <c r="A134" s="77"/>
      <c r="B134" s="2" t="s">
        <v>10</v>
      </c>
      <c r="C134" s="4" t="s">
        <v>23</v>
      </c>
      <c r="D134" s="22">
        <v>0</v>
      </c>
      <c r="E134" s="36">
        <v>47989.59</v>
      </c>
      <c r="F134" s="36">
        <v>18423.689999999999</v>
      </c>
      <c r="G134" s="36">
        <v>16561.95</v>
      </c>
      <c r="H134" s="42">
        <v>12183.83</v>
      </c>
      <c r="I134" s="36">
        <v>16540.03</v>
      </c>
      <c r="J134" s="36">
        <v>11599.69</v>
      </c>
      <c r="K134" s="36">
        <v>15987.44</v>
      </c>
      <c r="L134" s="36">
        <v>25537.52</v>
      </c>
      <c r="M134" s="48">
        <f>SUM(D134:L134)</f>
        <v>164823.74</v>
      </c>
      <c r="N134" s="15">
        <f>M134/M132</f>
        <v>0.24140704452011996</v>
      </c>
      <c r="O134" s="44">
        <v>166771.66</v>
      </c>
      <c r="P134" s="50">
        <f>O134/O132</f>
        <v>0.22489505642379695</v>
      </c>
      <c r="Q134" s="18"/>
      <c r="R134" s="15"/>
      <c r="S134" s="15"/>
      <c r="T134" s="18"/>
      <c r="U134" s="67"/>
      <c r="V134" s="71"/>
      <c r="W134" s="50"/>
    </row>
    <row r="135" spans="1:23" s="12" customFormat="1" ht="20.100000000000001" customHeight="1" x14ac:dyDescent="0.15">
      <c r="A135" s="77"/>
      <c r="B135" s="2" t="s">
        <v>10</v>
      </c>
      <c r="C135" s="4" t="s">
        <v>68</v>
      </c>
      <c r="D135" s="24">
        <v>2158.75</v>
      </c>
      <c r="E135" s="24">
        <v>1607.09</v>
      </c>
      <c r="F135" s="24">
        <v>8409.83</v>
      </c>
      <c r="G135" s="22">
        <v>526.76</v>
      </c>
      <c r="H135" s="33">
        <v>1566.76</v>
      </c>
      <c r="I135" s="22">
        <v>236</v>
      </c>
      <c r="J135" s="22">
        <v>692.58</v>
      </c>
      <c r="K135" s="24">
        <v>2238.88</v>
      </c>
      <c r="L135" s="24">
        <v>2618.36</v>
      </c>
      <c r="M135" s="36">
        <f t="shared" ref="M135:M137" si="16">D135+E135+F135+G135+H135+I135+J135+K135+L135</f>
        <v>20055.010000000002</v>
      </c>
      <c r="N135" s="15">
        <f>M135/M132</f>
        <v>2.9373321415479662E-2</v>
      </c>
      <c r="O135" s="44">
        <v>12109.77</v>
      </c>
      <c r="P135" s="50">
        <f>O135/O132</f>
        <v>1.6330277023261647E-2</v>
      </c>
      <c r="Q135" s="18"/>
      <c r="R135" s="15"/>
      <c r="S135" s="15"/>
      <c r="T135" s="18"/>
      <c r="U135" s="67"/>
      <c r="V135" s="71"/>
      <c r="W135" s="62"/>
    </row>
    <row r="136" spans="1:23" s="12" customFormat="1" ht="20.100000000000001" customHeight="1" x14ac:dyDescent="0.15">
      <c r="A136" s="77"/>
      <c r="B136" s="2" t="s">
        <v>10</v>
      </c>
      <c r="C136" s="4" t="s">
        <v>69</v>
      </c>
      <c r="D136" s="22"/>
      <c r="E136" s="22"/>
      <c r="F136" s="22"/>
      <c r="G136" s="22"/>
      <c r="H136" s="31"/>
      <c r="I136" s="22"/>
      <c r="J136" s="22"/>
      <c r="K136" s="22"/>
      <c r="L136" s="22"/>
      <c r="M136" s="48">
        <f t="shared" si="16"/>
        <v>0</v>
      </c>
      <c r="N136" s="15">
        <f>M136/M132</f>
        <v>0</v>
      </c>
      <c r="O136" s="44">
        <v>0</v>
      </c>
      <c r="P136" s="50">
        <f>O136/O132</f>
        <v>0</v>
      </c>
      <c r="Q136" s="18"/>
      <c r="R136" s="15"/>
      <c r="S136" s="15"/>
      <c r="T136" s="18"/>
      <c r="U136" s="67"/>
      <c r="V136" s="71"/>
      <c r="W136" s="62"/>
    </row>
    <row r="137" spans="1:23" s="12" customFormat="1" ht="20.100000000000001" customHeight="1" x14ac:dyDescent="0.15">
      <c r="A137" s="77"/>
      <c r="B137" s="2" t="s">
        <v>10</v>
      </c>
      <c r="C137" s="4" t="s">
        <v>70</v>
      </c>
      <c r="D137" s="22"/>
      <c r="E137" s="22"/>
      <c r="F137" s="22"/>
      <c r="G137" s="22"/>
      <c r="H137" s="31"/>
      <c r="I137" s="22"/>
      <c r="J137" s="22"/>
      <c r="K137" s="22"/>
      <c r="L137" s="22"/>
      <c r="M137" s="48">
        <f t="shared" si="16"/>
        <v>0</v>
      </c>
      <c r="N137" s="15">
        <f>M137/M132</f>
        <v>0</v>
      </c>
      <c r="O137" s="44">
        <v>0</v>
      </c>
      <c r="P137" s="50">
        <f>O137/O132</f>
        <v>0</v>
      </c>
      <c r="Q137" s="18"/>
      <c r="R137" s="15"/>
      <c r="S137" s="15"/>
      <c r="T137" s="18"/>
      <c r="U137" s="67"/>
      <c r="V137" s="72"/>
      <c r="W137" s="62"/>
    </row>
    <row r="138" spans="1:23" ht="20.100000000000001" customHeight="1" x14ac:dyDescent="0.15">
      <c r="A138" s="77"/>
      <c r="B138" s="2" t="s">
        <v>47</v>
      </c>
      <c r="C138" s="4" t="s">
        <v>21</v>
      </c>
      <c r="D138" s="36">
        <v>99040</v>
      </c>
      <c r="E138" s="36">
        <v>157530</v>
      </c>
      <c r="F138" s="36">
        <f>147280+10500</f>
        <v>157780</v>
      </c>
      <c r="G138" s="36">
        <v>138420</v>
      </c>
      <c r="H138" s="36">
        <v>123030</v>
      </c>
      <c r="I138" s="36">
        <f>148610+6300</f>
        <v>154910</v>
      </c>
      <c r="J138" s="36">
        <f>137550-30</f>
        <v>137520</v>
      </c>
      <c r="K138" s="36">
        <v>183480</v>
      </c>
      <c r="L138" s="36">
        <v>152340</v>
      </c>
      <c r="M138" s="48">
        <f>SUM(D138:L138)</f>
        <v>1304050</v>
      </c>
      <c r="N138" s="21">
        <f>ROUND(M138/10000,2)</f>
        <v>130.41</v>
      </c>
      <c r="O138" s="44">
        <v>1361725</v>
      </c>
      <c r="P138" s="51">
        <f>M138-O138</f>
        <v>-57675</v>
      </c>
      <c r="Q138" s="21">
        <f>VLOOKUP(B138,[1]Sheet1!$B$3:$E$53,4,0)</f>
        <v>103</v>
      </c>
      <c r="R138" s="21">
        <f>(M138-M139-M140-M141-M142-M143)/10000</f>
        <v>89.306234000000003</v>
      </c>
      <c r="S138" s="15">
        <f>R138/Q138</f>
        <v>0.86705081553398067</v>
      </c>
      <c r="T138" s="18">
        <f>R138-Q138</f>
        <v>-13.693765999999997</v>
      </c>
      <c r="U138" s="67">
        <f>IF((T138+T144)&gt;0,2000+(T138+T144)*0.05*10000,0)</f>
        <v>0</v>
      </c>
      <c r="V138" s="70" t="s">
        <v>140</v>
      </c>
      <c r="W138" s="50"/>
    </row>
    <row r="139" spans="1:23" ht="20.100000000000001" customHeight="1" x14ac:dyDescent="0.15">
      <c r="A139" s="77"/>
      <c r="B139" s="2" t="s">
        <v>12</v>
      </c>
      <c r="C139" s="4" t="s">
        <v>22</v>
      </c>
      <c r="D139" s="36">
        <v>3961.6</v>
      </c>
      <c r="E139" s="36">
        <v>6301.2</v>
      </c>
      <c r="F139" s="36">
        <v>5891.2</v>
      </c>
      <c r="G139" s="36">
        <v>5536.8</v>
      </c>
      <c r="H139" s="36">
        <v>4921.2</v>
      </c>
      <c r="I139" s="36">
        <v>5944.4</v>
      </c>
      <c r="J139" s="36">
        <v>5502</v>
      </c>
      <c r="K139" s="36">
        <v>7339.2</v>
      </c>
      <c r="L139" s="36">
        <v>6093.6</v>
      </c>
      <c r="M139" s="48">
        <f>SUM(D139:L139)</f>
        <v>51491.199999999997</v>
      </c>
      <c r="N139" s="15">
        <f>M139/M138</f>
        <v>3.9485602545914648E-2</v>
      </c>
      <c r="O139" s="44">
        <v>54470.2</v>
      </c>
      <c r="P139" s="50">
        <f>O139/O138</f>
        <v>4.0000881235198002E-2</v>
      </c>
      <c r="Q139" s="18"/>
      <c r="R139" s="15"/>
      <c r="S139" s="15"/>
      <c r="T139" s="18"/>
      <c r="U139" s="67"/>
      <c r="V139" s="71"/>
      <c r="W139" s="50"/>
    </row>
    <row r="140" spans="1:23" ht="20.25" customHeight="1" x14ac:dyDescent="0.15">
      <c r="A140" s="77"/>
      <c r="B140" s="2" t="s">
        <v>12</v>
      </c>
      <c r="C140" s="4" t="s">
        <v>23</v>
      </c>
      <c r="D140" s="36">
        <v>53206.42</v>
      </c>
      <c r="E140" s="36">
        <v>39154.22</v>
      </c>
      <c r="F140" s="36">
        <v>35400.379999999997</v>
      </c>
      <c r="G140" s="36">
        <v>24982.36</v>
      </c>
      <c r="H140" s="36">
        <v>24315.87</v>
      </c>
      <c r="I140" s="36">
        <v>18483.98</v>
      </c>
      <c r="J140" s="36">
        <v>29314.55</v>
      </c>
      <c r="K140" s="36">
        <v>41053.51</v>
      </c>
      <c r="L140" s="36">
        <v>55601.67</v>
      </c>
      <c r="M140" s="48">
        <f>SUM(D140:L140)</f>
        <v>321512.95999999996</v>
      </c>
      <c r="N140" s="15">
        <f>M140/M138</f>
        <v>0.24654956481729992</v>
      </c>
      <c r="O140" s="44">
        <v>343320.06</v>
      </c>
      <c r="P140" s="50">
        <f>O140/O138</f>
        <v>0.25212143421028477</v>
      </c>
      <c r="Q140" s="18"/>
      <c r="R140" s="15"/>
      <c r="S140" s="15"/>
      <c r="T140" s="18"/>
      <c r="U140" s="67"/>
      <c r="V140" s="71"/>
      <c r="W140" s="50"/>
    </row>
    <row r="141" spans="1:23" s="12" customFormat="1" ht="20.100000000000001" customHeight="1" x14ac:dyDescent="0.15">
      <c r="A141" s="77"/>
      <c r="B141" s="2" t="s">
        <v>12</v>
      </c>
      <c r="C141" s="4" t="s">
        <v>68</v>
      </c>
      <c r="D141" s="33">
        <v>8283.86</v>
      </c>
      <c r="E141" s="33">
        <v>1092.46</v>
      </c>
      <c r="F141" s="33">
        <v>2745.08</v>
      </c>
      <c r="G141" s="33">
        <v>4232.8500000000004</v>
      </c>
      <c r="H141" s="33">
        <v>3643.81</v>
      </c>
      <c r="I141" s="22">
        <v>190.46</v>
      </c>
      <c r="J141" s="24">
        <v>1823.17</v>
      </c>
      <c r="K141" s="24">
        <v>2851.68</v>
      </c>
      <c r="L141" s="33">
        <v>13120.13</v>
      </c>
      <c r="M141" s="48">
        <f t="shared" ref="M141:M143" si="17">D141+E141+F141+G141+H141+I141+J141+K141+L141</f>
        <v>37983.5</v>
      </c>
      <c r="N141" s="15">
        <f>M141/M138</f>
        <v>2.9127334074613702E-2</v>
      </c>
      <c r="O141" s="44">
        <v>23035.58</v>
      </c>
      <c r="P141" s="50">
        <f>O141/O138</f>
        <v>1.6916469918669335E-2</v>
      </c>
      <c r="Q141" s="18"/>
      <c r="R141" s="15"/>
      <c r="S141" s="15"/>
      <c r="T141" s="18"/>
      <c r="U141" s="67"/>
      <c r="V141" s="71"/>
      <c r="W141" s="62"/>
    </row>
    <row r="142" spans="1:23" s="12" customFormat="1" ht="20.100000000000001" customHeight="1" x14ac:dyDescent="0.15">
      <c r="A142" s="77"/>
      <c r="B142" s="2" t="s">
        <v>12</v>
      </c>
      <c r="C142" s="4" t="s">
        <v>69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48">
        <f t="shared" si="17"/>
        <v>0</v>
      </c>
      <c r="N142" s="15">
        <f>M142/M138</f>
        <v>0</v>
      </c>
      <c r="O142" s="44">
        <v>0</v>
      </c>
      <c r="P142" s="50">
        <f>O142/O138</f>
        <v>0</v>
      </c>
      <c r="Q142" s="18"/>
      <c r="R142" s="15"/>
      <c r="S142" s="15"/>
      <c r="T142" s="18"/>
      <c r="U142" s="67"/>
      <c r="V142" s="71"/>
      <c r="W142" s="62"/>
    </row>
    <row r="143" spans="1:23" s="12" customFormat="1" ht="20.100000000000001" customHeight="1" x14ac:dyDescent="0.15">
      <c r="A143" s="77"/>
      <c r="B143" s="2" t="s">
        <v>12</v>
      </c>
      <c r="C143" s="4" t="s">
        <v>70</v>
      </c>
      <c r="D143" s="22"/>
      <c r="E143" s="22"/>
      <c r="F143" s="22"/>
      <c r="G143" s="22"/>
      <c r="H143" s="31"/>
      <c r="I143" s="22"/>
      <c r="J143" s="22"/>
      <c r="K143" s="22"/>
      <c r="L143" s="22"/>
      <c r="M143" s="48">
        <f t="shared" si="17"/>
        <v>0</v>
      </c>
      <c r="N143" s="15">
        <f>M143/M138</f>
        <v>0</v>
      </c>
      <c r="O143" s="44">
        <v>0</v>
      </c>
      <c r="P143" s="50">
        <f>O143/O138</f>
        <v>0</v>
      </c>
      <c r="Q143" s="18"/>
      <c r="R143" s="15"/>
      <c r="S143" s="15"/>
      <c r="T143" s="18"/>
      <c r="U143" s="67"/>
      <c r="V143" s="71"/>
      <c r="W143" s="62"/>
    </row>
    <row r="144" spans="1:23" ht="20.100000000000001" customHeight="1" x14ac:dyDescent="0.15">
      <c r="A144" s="77"/>
      <c r="B144" s="2" t="s">
        <v>24</v>
      </c>
      <c r="C144" s="4" t="s">
        <v>21</v>
      </c>
      <c r="D144" s="22">
        <v>0</v>
      </c>
      <c r="E144" s="36">
        <v>92031.9</v>
      </c>
      <c r="F144" s="36">
        <v>43932.92</v>
      </c>
      <c r="G144" s="36">
        <v>45483.88</v>
      </c>
      <c r="H144" s="36">
        <v>41023.96</v>
      </c>
      <c r="I144" s="36">
        <v>60800</v>
      </c>
      <c r="J144" s="36">
        <v>42930</v>
      </c>
      <c r="K144" s="36">
        <v>64220</v>
      </c>
      <c r="L144" s="22">
        <v>66366.559999999998</v>
      </c>
      <c r="M144" s="48">
        <f>SUM(D144:L144)</f>
        <v>456789.22000000003</v>
      </c>
      <c r="N144" s="21">
        <f>ROUND(M144/10000,2)</f>
        <v>45.68</v>
      </c>
      <c r="O144" s="44">
        <v>450645.85</v>
      </c>
      <c r="P144" s="51">
        <f>M144-O144</f>
        <v>6143.3700000000536</v>
      </c>
      <c r="Q144" s="21">
        <f>VLOOKUP(B144,[1]Sheet1!$B$3:$E$53,4,0)</f>
        <v>35</v>
      </c>
      <c r="R144" s="21">
        <f>(M144-M145-M146-M147-M148-M149)/10000</f>
        <v>32.320506000000002</v>
      </c>
      <c r="S144" s="15">
        <f>R144/Q144</f>
        <v>0.92344302857142857</v>
      </c>
      <c r="T144" s="18">
        <f>R144-Q144</f>
        <v>-2.6794939999999983</v>
      </c>
      <c r="U144" s="67"/>
      <c r="V144" s="71"/>
      <c r="W144" s="50"/>
    </row>
    <row r="145" spans="1:23" ht="20.100000000000001" customHeight="1" x14ac:dyDescent="0.15">
      <c r="A145" s="77"/>
      <c r="B145" s="2" t="s">
        <v>24</v>
      </c>
      <c r="C145" s="4" t="s">
        <v>22</v>
      </c>
      <c r="D145" s="22">
        <v>0</v>
      </c>
      <c r="E145" s="22">
        <v>3681.28</v>
      </c>
      <c r="F145" s="22">
        <v>1757.32</v>
      </c>
      <c r="G145" s="22">
        <v>1819.36</v>
      </c>
      <c r="H145" s="31">
        <v>1640.96</v>
      </c>
      <c r="I145" s="22">
        <v>2432</v>
      </c>
      <c r="J145" s="22">
        <v>1717.2</v>
      </c>
      <c r="K145" s="22">
        <v>2568.8000000000002</v>
      </c>
      <c r="L145" s="22">
        <v>2654.66</v>
      </c>
      <c r="M145" s="48">
        <f>SUM(D145:L145)</f>
        <v>18271.580000000002</v>
      </c>
      <c r="N145" s="15">
        <f>M145/M144</f>
        <v>4.0000024518967413E-2</v>
      </c>
      <c r="O145" s="44">
        <v>18025.830000000002</v>
      </c>
      <c r="P145" s="50">
        <f>O145/O144</f>
        <v>3.9999991123850366E-2</v>
      </c>
      <c r="Q145" s="18"/>
      <c r="R145" s="15"/>
      <c r="S145" s="15"/>
      <c r="T145" s="18"/>
      <c r="U145" s="67"/>
      <c r="V145" s="71"/>
      <c r="W145" s="50"/>
    </row>
    <row r="146" spans="1:23" ht="20.100000000000001" customHeight="1" x14ac:dyDescent="0.15">
      <c r="A146" s="77"/>
      <c r="B146" s="2" t="s">
        <v>24</v>
      </c>
      <c r="C146" s="4" t="s">
        <v>23</v>
      </c>
      <c r="D146" s="22">
        <v>0</v>
      </c>
      <c r="E146" s="22">
        <v>35504.75</v>
      </c>
      <c r="F146" s="22">
        <v>16500.599999999999</v>
      </c>
      <c r="G146" s="22">
        <v>5172.75</v>
      </c>
      <c r="H146" s="31">
        <v>4674.7700000000004</v>
      </c>
      <c r="I146" s="22">
        <v>8154.82</v>
      </c>
      <c r="J146" s="22">
        <v>8445.6</v>
      </c>
      <c r="K146" s="22">
        <v>14014.5</v>
      </c>
      <c r="L146" s="22">
        <v>21030.03</v>
      </c>
      <c r="M146" s="48">
        <f>SUM(D146:L146)</f>
        <v>113497.82</v>
      </c>
      <c r="N146" s="15">
        <f>M146/M144</f>
        <v>0.24846869197132104</v>
      </c>
      <c r="O146" s="44">
        <v>117023.45</v>
      </c>
      <c r="P146" s="50">
        <f>O146/O144</f>
        <v>0.25967941344627937</v>
      </c>
      <c r="Q146" s="18"/>
      <c r="R146" s="15"/>
      <c r="S146" s="15"/>
      <c r="T146" s="18"/>
      <c r="U146" s="67"/>
      <c r="V146" s="71"/>
      <c r="W146" s="50"/>
    </row>
    <row r="147" spans="1:23" s="12" customFormat="1" ht="20.100000000000001" customHeight="1" x14ac:dyDescent="0.15">
      <c r="A147" s="77"/>
      <c r="B147" s="2" t="s">
        <v>24</v>
      </c>
      <c r="C147" s="4" t="s">
        <v>68</v>
      </c>
      <c r="D147" s="22">
        <v>0</v>
      </c>
      <c r="E147" s="22">
        <v>0</v>
      </c>
      <c r="F147" s="22">
        <v>160</v>
      </c>
      <c r="G147" s="22">
        <v>78.66</v>
      </c>
      <c r="H147" s="31">
        <v>0</v>
      </c>
      <c r="I147" s="22">
        <v>53.33</v>
      </c>
      <c r="J147" s="22">
        <v>100</v>
      </c>
      <c r="K147" s="22">
        <v>0</v>
      </c>
      <c r="L147" s="24">
        <v>1422.77</v>
      </c>
      <c r="M147" s="48">
        <f t="shared" ref="M147:M149" si="18">D147+E147+F147+G147+H147+I147+J147+K147+L147</f>
        <v>1814.76</v>
      </c>
      <c r="N147" s="15">
        <f>M147/M144</f>
        <v>3.9728608306474483E-3</v>
      </c>
      <c r="O147" s="44">
        <v>2007</v>
      </c>
      <c r="P147" s="50">
        <f>O147/O144</f>
        <v>4.4536080827106252E-3</v>
      </c>
      <c r="Q147" s="18"/>
      <c r="R147" s="15"/>
      <c r="S147" s="15"/>
      <c r="T147" s="18"/>
      <c r="U147" s="67"/>
      <c r="V147" s="71"/>
      <c r="W147" s="62"/>
    </row>
    <row r="148" spans="1:23" s="12" customFormat="1" ht="20.100000000000001" customHeight="1" x14ac:dyDescent="0.15">
      <c r="A148" s="77"/>
      <c r="B148" s="2" t="s">
        <v>24</v>
      </c>
      <c r="C148" s="4" t="s">
        <v>69</v>
      </c>
      <c r="D148" s="22"/>
      <c r="E148" s="22"/>
      <c r="F148" s="22"/>
      <c r="G148" s="22"/>
      <c r="H148" s="31"/>
      <c r="I148" s="22"/>
      <c r="J148" s="22"/>
      <c r="K148" s="22"/>
      <c r="L148" s="22"/>
      <c r="M148" s="48">
        <f t="shared" si="18"/>
        <v>0</v>
      </c>
      <c r="N148" s="15">
        <f>M148/M144</f>
        <v>0</v>
      </c>
      <c r="O148" s="44">
        <v>0</v>
      </c>
      <c r="P148" s="50">
        <f>O148/O144</f>
        <v>0</v>
      </c>
      <c r="Q148" s="18"/>
      <c r="R148" s="15"/>
      <c r="S148" s="15"/>
      <c r="T148" s="18"/>
      <c r="U148" s="67"/>
      <c r="V148" s="71"/>
      <c r="W148" s="62"/>
    </row>
    <row r="149" spans="1:23" s="12" customFormat="1" ht="20.100000000000001" customHeight="1" x14ac:dyDescent="0.15">
      <c r="A149" s="77"/>
      <c r="B149" s="2" t="s">
        <v>24</v>
      </c>
      <c r="C149" s="4" t="s">
        <v>70</v>
      </c>
      <c r="D149" s="22"/>
      <c r="E149" s="22"/>
      <c r="F149" s="22"/>
      <c r="G149" s="22"/>
      <c r="H149" s="31"/>
      <c r="I149" s="22"/>
      <c r="J149" s="22"/>
      <c r="K149" s="22"/>
      <c r="L149" s="22"/>
      <c r="M149" s="48">
        <f t="shared" si="18"/>
        <v>0</v>
      </c>
      <c r="N149" s="15">
        <f>M149/M144</f>
        <v>0</v>
      </c>
      <c r="O149" s="44">
        <v>0</v>
      </c>
      <c r="P149" s="50">
        <f>O149/O144</f>
        <v>0</v>
      </c>
      <c r="Q149" s="18"/>
      <c r="R149" s="15"/>
      <c r="S149" s="15"/>
      <c r="T149" s="18"/>
      <c r="U149" s="67"/>
      <c r="V149" s="72"/>
      <c r="W149" s="62"/>
    </row>
    <row r="150" spans="1:23" ht="25.5" customHeight="1" x14ac:dyDescent="0.15">
      <c r="A150" s="77"/>
      <c r="B150" s="2" t="s">
        <v>14</v>
      </c>
      <c r="C150" s="4" t="s">
        <v>21</v>
      </c>
      <c r="D150" s="36">
        <f>94950-5217.35</f>
        <v>89732.65</v>
      </c>
      <c r="E150" s="36">
        <v>281000</v>
      </c>
      <c r="F150" s="36">
        <f>169162.76-6380</f>
        <v>162782.76</v>
      </c>
      <c r="G150" s="36">
        <f>205780.85-20</f>
        <v>205760.85</v>
      </c>
      <c r="H150" s="36">
        <v>168886.46</v>
      </c>
      <c r="I150" s="36">
        <f>524602.93-47901+10000</f>
        <v>486701.93000000005</v>
      </c>
      <c r="J150" s="36">
        <v>232444.55</v>
      </c>
      <c r="K150" s="36">
        <f>165129.97-9021.34</f>
        <v>156108.63</v>
      </c>
      <c r="L150" s="53">
        <f>253474.66-53168.06-22272.9-3856.5</f>
        <v>174177.2</v>
      </c>
      <c r="M150" s="48">
        <f>SUM(D150:L150)</f>
        <v>1957595.03</v>
      </c>
      <c r="N150" s="21">
        <f>ROUND(M150/10000,2)</f>
        <v>195.76</v>
      </c>
      <c r="O150" s="44">
        <v>2123509.15</v>
      </c>
      <c r="P150" s="51">
        <f>M150-O150</f>
        <v>-165914.11999999988</v>
      </c>
      <c r="Q150" s="21">
        <f>VLOOKUP(B150,[1]Sheet1!$B$3:$E$53,4,0)</f>
        <v>174</v>
      </c>
      <c r="R150" s="21">
        <f>(M150-M151-M152-M153-M154-M155-M156)/10000</f>
        <v>144.98227899999998</v>
      </c>
      <c r="S150" s="15">
        <f>R150/Q150</f>
        <v>0.83323148850574702</v>
      </c>
      <c r="T150" s="18">
        <f>R150-Q150</f>
        <v>-29.017721000000023</v>
      </c>
      <c r="U150" s="67">
        <f>IF((T150)&gt;0,2000+(T150)*0.05*10000,0)</f>
        <v>0</v>
      </c>
      <c r="V150" s="70" t="s">
        <v>142</v>
      </c>
      <c r="W150" s="50"/>
    </row>
    <row r="151" spans="1:23" ht="20.100000000000001" customHeight="1" x14ac:dyDescent="0.15">
      <c r="A151" s="77"/>
      <c r="B151" s="2" t="s">
        <v>14</v>
      </c>
      <c r="C151" s="4" t="s">
        <v>22</v>
      </c>
      <c r="D151" s="36">
        <v>3798</v>
      </c>
      <c r="E151" s="36">
        <f>E150*0.04</f>
        <v>11240</v>
      </c>
      <c r="F151" s="36">
        <f>ROUND(169162.76*0.04,2)</f>
        <v>6766.51</v>
      </c>
      <c r="G151" s="36">
        <v>8231.23</v>
      </c>
      <c r="H151" s="36">
        <f>6755.46+844.43</f>
        <v>7599.89</v>
      </c>
      <c r="I151" s="36">
        <f>20984.12+2623.02</f>
        <v>23607.14</v>
      </c>
      <c r="J151" s="36">
        <v>7175</v>
      </c>
      <c r="K151" s="36">
        <v>7430.84</v>
      </c>
      <c r="L151" s="22">
        <v>6381.2</v>
      </c>
      <c r="M151" s="48">
        <f>SUM(D151:L151)</f>
        <v>82229.81</v>
      </c>
      <c r="N151" s="15">
        <f>M151/M150</f>
        <v>4.2005526546519685E-2</v>
      </c>
      <c r="O151" s="44">
        <v>83810</v>
      </c>
      <c r="P151" s="50">
        <f>O151/O150</f>
        <v>3.9467689602373505E-2</v>
      </c>
      <c r="Q151" s="18"/>
      <c r="R151" s="15"/>
      <c r="S151" s="15"/>
      <c r="T151" s="18"/>
      <c r="U151" s="67"/>
      <c r="V151" s="71"/>
      <c r="W151" s="50"/>
    </row>
    <row r="152" spans="1:23" ht="20.100000000000001" customHeight="1" x14ac:dyDescent="0.15">
      <c r="A152" s="77"/>
      <c r="B152" s="2" t="s">
        <v>14</v>
      </c>
      <c r="C152" s="4" t="s">
        <v>101</v>
      </c>
      <c r="D152" s="36">
        <v>474.75</v>
      </c>
      <c r="E152" s="36">
        <v>1405</v>
      </c>
      <c r="F152" s="36">
        <v>845.81</v>
      </c>
      <c r="G152" s="36">
        <v>1028.9100000000001</v>
      </c>
      <c r="H152" s="31"/>
      <c r="I152" s="22"/>
      <c r="J152" s="22"/>
      <c r="K152" s="22"/>
      <c r="L152" s="22"/>
      <c r="M152" s="48">
        <f>SUM(D152:L152)</f>
        <v>3754.4700000000003</v>
      </c>
      <c r="N152" s="15">
        <f>M152/M150</f>
        <v>1.9178992296481261E-3</v>
      </c>
      <c r="O152" s="44">
        <v>10476.25</v>
      </c>
      <c r="P152" s="50">
        <f>O152/O150</f>
        <v>4.9334612002966882E-3</v>
      </c>
      <c r="Q152" s="18"/>
      <c r="R152" s="15"/>
      <c r="S152" s="15"/>
      <c r="T152" s="18"/>
      <c r="U152" s="67"/>
      <c r="V152" s="71"/>
      <c r="W152" s="50"/>
    </row>
    <row r="153" spans="1:23" ht="20.100000000000001" customHeight="1" x14ac:dyDescent="0.15">
      <c r="A153" s="77"/>
      <c r="B153" s="2" t="s">
        <v>14</v>
      </c>
      <c r="C153" s="4" t="s">
        <v>23</v>
      </c>
      <c r="D153" s="22">
        <v>0</v>
      </c>
      <c r="E153" s="36">
        <v>101782</v>
      </c>
      <c r="F153" s="36">
        <v>44551.55</v>
      </c>
      <c r="G153" s="36">
        <v>40566.35</v>
      </c>
      <c r="H153" s="36">
        <v>32592.18</v>
      </c>
      <c r="I153" s="36">
        <v>45557.94</v>
      </c>
      <c r="J153" s="36">
        <v>29427.08</v>
      </c>
      <c r="K153" s="36">
        <v>42888.32</v>
      </c>
      <c r="L153" s="22">
        <v>45865.24</v>
      </c>
      <c r="M153" s="48">
        <f>SUM(D153:L153)</f>
        <v>383230.66000000003</v>
      </c>
      <c r="N153" s="15">
        <f>M153/M150</f>
        <v>0.19576605688460499</v>
      </c>
      <c r="O153" s="44">
        <v>381771.1</v>
      </c>
      <c r="P153" s="50">
        <f>O153/O150</f>
        <v>0.1797831198419842</v>
      </c>
      <c r="Q153" s="18"/>
      <c r="R153" s="15"/>
      <c r="S153" s="15"/>
      <c r="T153" s="18"/>
      <c r="U153" s="67"/>
      <c r="V153" s="71"/>
      <c r="W153" s="50"/>
    </row>
    <row r="154" spans="1:23" s="12" customFormat="1" ht="20.100000000000001" customHeight="1" x14ac:dyDescent="0.15">
      <c r="A154" s="77"/>
      <c r="B154" s="2" t="s">
        <v>14</v>
      </c>
      <c r="C154" s="4" t="s">
        <v>68</v>
      </c>
      <c r="D154" s="24">
        <v>1872.88</v>
      </c>
      <c r="E154" s="24">
        <v>3950.4</v>
      </c>
      <c r="F154" s="24">
        <v>5175.0600000000004</v>
      </c>
      <c r="G154" s="24">
        <v>1344.8</v>
      </c>
      <c r="H154" s="33">
        <v>1992.22</v>
      </c>
      <c r="I154" s="22">
        <v>4120.3100000000004</v>
      </c>
      <c r="J154" s="24">
        <v>4660.79</v>
      </c>
      <c r="K154" s="24">
        <v>1646.74</v>
      </c>
      <c r="L154" s="24">
        <v>8594.1</v>
      </c>
      <c r="M154" s="36">
        <f t="shared" ref="M154:M156" si="19">D154+E154+F154+G154+H154+I154+J154+K154+L154</f>
        <v>33357.300000000003</v>
      </c>
      <c r="N154" s="15">
        <f>M154/M150</f>
        <v>1.7039939052154215E-2</v>
      </c>
      <c r="O154" s="44">
        <v>13390.47</v>
      </c>
      <c r="P154" s="50">
        <f>O154/O150</f>
        <v>6.3058216631654259E-3</v>
      </c>
      <c r="Q154" s="18"/>
      <c r="R154" s="15"/>
      <c r="S154" s="15"/>
      <c r="T154" s="18"/>
      <c r="U154" s="67"/>
      <c r="V154" s="71"/>
      <c r="W154" s="62"/>
    </row>
    <row r="155" spans="1:23" s="12" customFormat="1" ht="20.100000000000001" customHeight="1" x14ac:dyDescent="0.15">
      <c r="A155" s="77"/>
      <c r="B155" s="2" t="s">
        <v>14</v>
      </c>
      <c r="C155" s="4" t="s">
        <v>69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48">
        <f t="shared" si="19"/>
        <v>0</v>
      </c>
      <c r="N155" s="15">
        <f>M155/M150</f>
        <v>0</v>
      </c>
      <c r="O155" s="44">
        <v>0</v>
      </c>
      <c r="P155" s="50">
        <f>O155/O150</f>
        <v>0</v>
      </c>
      <c r="Q155" s="18"/>
      <c r="R155" s="15"/>
      <c r="S155" s="15"/>
      <c r="T155" s="18"/>
      <c r="U155" s="67"/>
      <c r="V155" s="71"/>
      <c r="W155" s="62"/>
    </row>
    <row r="156" spans="1:23" s="12" customFormat="1" ht="20.100000000000001" customHeight="1" x14ac:dyDescent="0.15">
      <c r="A156" s="77"/>
      <c r="B156" s="2" t="s">
        <v>14</v>
      </c>
      <c r="C156" s="4" t="s">
        <v>70</v>
      </c>
      <c r="D156" s="22"/>
      <c r="E156" s="22"/>
      <c r="F156" s="22"/>
      <c r="G156" s="22"/>
      <c r="H156" s="31"/>
      <c r="I156" s="22"/>
      <c r="J156" s="22"/>
      <c r="K156" s="22">
        <v>5200</v>
      </c>
      <c r="L156" s="22"/>
      <c r="M156" s="48">
        <f t="shared" si="19"/>
        <v>5200</v>
      </c>
      <c r="N156" s="15">
        <f>M156/M150</f>
        <v>2.656320597626364E-3</v>
      </c>
      <c r="O156" s="44">
        <v>0</v>
      </c>
      <c r="P156" s="50">
        <f>O156/O150</f>
        <v>0</v>
      </c>
      <c r="Q156" s="18"/>
      <c r="R156" s="15"/>
      <c r="S156" s="15"/>
      <c r="T156" s="18"/>
      <c r="U156" s="67"/>
      <c r="V156" s="72"/>
      <c r="W156" s="62"/>
    </row>
    <row r="157" spans="1:23" ht="20.100000000000001" customHeight="1" x14ac:dyDescent="0.15">
      <c r="A157" s="77"/>
      <c r="B157" s="2" t="s">
        <v>50</v>
      </c>
      <c r="C157" s="4" t="s">
        <v>21</v>
      </c>
      <c r="D157" s="36">
        <v>192930</v>
      </c>
      <c r="E157" s="36">
        <v>173672.4</v>
      </c>
      <c r="F157" s="36">
        <v>173672.4</v>
      </c>
      <c r="G157" s="36">
        <v>173672.4</v>
      </c>
      <c r="H157" s="36">
        <v>114800.4</v>
      </c>
      <c r="I157" s="36">
        <v>114800.4</v>
      </c>
      <c r="J157" s="22">
        <f>461181.45+4000+333.3</f>
        <v>465514.75</v>
      </c>
      <c r="K157" s="22">
        <v>297066.93</v>
      </c>
      <c r="L157" s="22">
        <v>321748.34000000003</v>
      </c>
      <c r="M157" s="48">
        <f>SUM(D157:L157)</f>
        <v>2027878.02</v>
      </c>
      <c r="N157" s="21">
        <f>ROUND(M157/10000,2)</f>
        <v>202.79</v>
      </c>
      <c r="O157" s="44">
        <v>1508964</v>
      </c>
      <c r="P157" s="51">
        <f>M157-O157</f>
        <v>518914.02</v>
      </c>
      <c r="Q157" s="21">
        <f>VLOOKUP(B157,[1]Sheet1!$B$3:$E$53,4,0)</f>
        <v>151</v>
      </c>
      <c r="R157" s="21">
        <f>(M157-M158-M159-M160-M161-M162)/10000</f>
        <v>164.983554</v>
      </c>
      <c r="S157" s="15">
        <f>R157/Q157</f>
        <v>1.0926063178807948</v>
      </c>
      <c r="T157" s="18">
        <f>R157-Q157</f>
        <v>13.983553999999998</v>
      </c>
      <c r="U157" s="67">
        <f>IF((T157)&gt;0,2000+(T157)*0.05*10000,0)</f>
        <v>8991.7769999999982</v>
      </c>
      <c r="V157" s="70" t="s">
        <v>141</v>
      </c>
      <c r="W157" s="50"/>
    </row>
    <row r="158" spans="1:23" ht="20.100000000000001" customHeight="1" x14ac:dyDescent="0.15">
      <c r="A158" s="77"/>
      <c r="B158" s="2" t="s">
        <v>50</v>
      </c>
      <c r="C158" s="4" t="s">
        <v>22</v>
      </c>
      <c r="D158" s="22">
        <v>0</v>
      </c>
      <c r="E158" s="22">
        <v>0</v>
      </c>
      <c r="F158" s="22">
        <v>0</v>
      </c>
      <c r="G158" s="22">
        <v>0</v>
      </c>
      <c r="H158" s="31">
        <v>0</v>
      </c>
      <c r="I158" s="36">
        <v>4500</v>
      </c>
      <c r="J158" s="22">
        <v>0</v>
      </c>
      <c r="K158" s="22">
        <v>0</v>
      </c>
      <c r="L158" s="22">
        <v>0</v>
      </c>
      <c r="M158" s="48">
        <f>SUM(D158:L158)</f>
        <v>4500</v>
      </c>
      <c r="N158" s="15">
        <f>M158/M157</f>
        <v>2.2190683836101738E-3</v>
      </c>
      <c r="O158" s="44">
        <v>0</v>
      </c>
      <c r="P158" s="50">
        <f>O158/O157</f>
        <v>0</v>
      </c>
      <c r="Q158" s="18"/>
      <c r="R158" s="15"/>
      <c r="S158" s="15"/>
      <c r="T158" s="18"/>
      <c r="U158" s="67"/>
      <c r="V158" s="71"/>
      <c r="W158" s="50"/>
    </row>
    <row r="159" spans="1:23" ht="20.100000000000001" customHeight="1" x14ac:dyDescent="0.15">
      <c r="A159" s="77"/>
      <c r="B159" s="2" t="s">
        <v>50</v>
      </c>
      <c r="C159" s="4" t="s">
        <v>23</v>
      </c>
      <c r="D159" s="36">
        <v>45431.28</v>
      </c>
      <c r="E159" s="36">
        <v>25610.850000000002</v>
      </c>
      <c r="F159" s="36">
        <v>11603.25</v>
      </c>
      <c r="G159" s="36">
        <v>13093.650000000001</v>
      </c>
      <c r="H159" s="36">
        <v>9039.0600000000013</v>
      </c>
      <c r="I159" s="36">
        <v>6292.08</v>
      </c>
      <c r="J159" s="22">
        <v>48041.64</v>
      </c>
      <c r="K159" s="22">
        <v>59989.14</v>
      </c>
      <c r="L159" s="22">
        <v>89205.84</v>
      </c>
      <c r="M159" s="48">
        <f>SUM(D159:L159)</f>
        <v>308306.79000000004</v>
      </c>
      <c r="N159" s="15">
        <f>M159/M157</f>
        <v>0.1520341889202981</v>
      </c>
      <c r="O159" s="44">
        <v>137697.03</v>
      </c>
      <c r="P159" s="50">
        <f>O159/O157</f>
        <v>9.1252693901246157E-2</v>
      </c>
      <c r="Q159" s="18" t="s">
        <v>180</v>
      </c>
      <c r="R159" s="15"/>
      <c r="S159" s="15"/>
      <c r="T159" s="18"/>
      <c r="U159" s="67"/>
      <c r="V159" s="71"/>
      <c r="W159" s="50"/>
    </row>
    <row r="160" spans="1:23" s="12" customFormat="1" ht="20.100000000000001" customHeight="1" x14ac:dyDescent="0.15">
      <c r="A160" s="77"/>
      <c r="B160" s="2" t="s">
        <v>76</v>
      </c>
      <c r="C160" s="4" t="s">
        <v>68</v>
      </c>
      <c r="D160" s="22">
        <v>832.36</v>
      </c>
      <c r="E160" s="22">
        <v>789.11</v>
      </c>
      <c r="F160" s="24">
        <v>3294.85</v>
      </c>
      <c r="G160" s="24">
        <v>1865.25</v>
      </c>
      <c r="H160" s="33">
        <v>4460.8599999999997</v>
      </c>
      <c r="I160" s="22">
        <v>7261.49</v>
      </c>
      <c r="J160" s="24">
        <v>16807.189999999999</v>
      </c>
      <c r="K160" s="24">
        <v>21060.06</v>
      </c>
      <c r="L160" s="24">
        <v>8864.52</v>
      </c>
      <c r="M160" s="36">
        <f t="shared" ref="M160:M162" si="20">D160+E160+F160+G160+H160+I160+J160+K160+L160</f>
        <v>65235.69</v>
      </c>
      <c r="N160" s="15">
        <f>M160/M157</f>
        <v>3.2169434924887642E-2</v>
      </c>
      <c r="O160" s="44">
        <v>35214.050000000003</v>
      </c>
      <c r="P160" s="50">
        <f>O160/O157</f>
        <v>2.3336573967304722E-2</v>
      </c>
      <c r="Q160" s="18"/>
      <c r="R160" s="15"/>
      <c r="S160" s="15"/>
      <c r="T160" s="18"/>
      <c r="U160" s="67"/>
      <c r="V160" s="71"/>
      <c r="W160" s="62"/>
    </row>
    <row r="161" spans="1:23" s="12" customFormat="1" ht="20.100000000000001" customHeight="1" x14ac:dyDescent="0.15">
      <c r="A161" s="77"/>
      <c r="B161" s="2" t="s">
        <v>76</v>
      </c>
      <c r="C161" s="4" t="s">
        <v>69</v>
      </c>
      <c r="D161" s="22"/>
      <c r="E161" s="22"/>
      <c r="F161" s="22"/>
      <c r="G161" s="22"/>
      <c r="H161" s="31"/>
      <c r="I161" s="22"/>
      <c r="J161" s="22"/>
      <c r="K161" s="22"/>
      <c r="L161" s="24"/>
      <c r="M161" s="48">
        <f t="shared" si="20"/>
        <v>0</v>
      </c>
      <c r="N161" s="15">
        <f>M161/M157</f>
        <v>0</v>
      </c>
      <c r="O161" s="44">
        <v>0</v>
      </c>
      <c r="P161" s="50">
        <f>O161/O157</f>
        <v>0</v>
      </c>
      <c r="Q161" s="18"/>
      <c r="R161" s="15"/>
      <c r="S161" s="15"/>
      <c r="T161" s="18"/>
      <c r="U161" s="67"/>
      <c r="V161" s="71"/>
      <c r="W161" s="62"/>
    </row>
    <row r="162" spans="1:23" s="12" customFormat="1" ht="20.100000000000001" customHeight="1" x14ac:dyDescent="0.15">
      <c r="A162" s="77"/>
      <c r="B162" s="2" t="s">
        <v>76</v>
      </c>
      <c r="C162" s="4" t="s">
        <v>70</v>
      </c>
      <c r="D162" s="22"/>
      <c r="E162" s="22"/>
      <c r="F162" s="22"/>
      <c r="G162" s="22"/>
      <c r="H162" s="31"/>
      <c r="I162" s="22"/>
      <c r="J162" s="22"/>
      <c r="K162" s="22"/>
      <c r="L162" s="22"/>
      <c r="M162" s="48">
        <f t="shared" si="20"/>
        <v>0</v>
      </c>
      <c r="N162" s="15">
        <f>M162/M157</f>
        <v>0</v>
      </c>
      <c r="O162" s="44">
        <v>0</v>
      </c>
      <c r="P162" s="50">
        <f>O162/O157</f>
        <v>0</v>
      </c>
      <c r="Q162" s="18"/>
      <c r="R162" s="15"/>
      <c r="S162" s="15"/>
      <c r="T162" s="18"/>
      <c r="U162" s="67"/>
      <c r="V162" s="72"/>
      <c r="W162" s="62"/>
    </row>
    <row r="163" spans="1:23" s="6" customFormat="1" ht="20.100000000000001" customHeight="1" x14ac:dyDescent="0.15">
      <c r="A163" s="77"/>
      <c r="B163" s="2" t="s">
        <v>27</v>
      </c>
      <c r="C163" s="4" t="s">
        <v>21</v>
      </c>
      <c r="D163" s="36">
        <f>137764.8+1000</f>
        <v>138764.79999999999</v>
      </c>
      <c r="E163" s="36">
        <f>213504.75+4000</f>
        <v>217504.75</v>
      </c>
      <c r="F163" s="36">
        <v>178554.5</v>
      </c>
      <c r="G163" s="36">
        <v>217293.64</v>
      </c>
      <c r="H163" s="36">
        <v>176351.7</v>
      </c>
      <c r="I163" s="36">
        <f>240484.69+7919.7</f>
        <v>248404.39</v>
      </c>
      <c r="J163" s="36">
        <v>218034.73</v>
      </c>
      <c r="K163" s="36">
        <f>238371.66+18700+300</f>
        <v>257371.66</v>
      </c>
      <c r="L163" s="36">
        <f>238949.75+200</f>
        <v>239149.75</v>
      </c>
      <c r="M163" s="48">
        <f>SUM(D163:L163)</f>
        <v>1891429.9200000002</v>
      </c>
      <c r="N163" s="21">
        <f>ROUND(M163/10000,2)</f>
        <v>189.14</v>
      </c>
      <c r="O163" s="44">
        <v>1821386.87</v>
      </c>
      <c r="P163" s="51">
        <f>M163-O163</f>
        <v>70043.050000000047</v>
      </c>
      <c r="Q163" s="21">
        <f>VLOOKUP(B163,[1]Sheet1!$B$3:$E$53,4,0)</f>
        <v>137</v>
      </c>
      <c r="R163" s="21">
        <f>(M163-M164-M165-M166-M167-M168)/10000</f>
        <v>137.94460700000002</v>
      </c>
      <c r="S163" s="15">
        <f>R163/Q163</f>
        <v>1.0068949416058395</v>
      </c>
      <c r="T163" s="18">
        <f>R163-Q163</f>
        <v>0.94460700000001907</v>
      </c>
      <c r="U163" s="67">
        <f>IF((T163)&gt;0,2000+(T163)*0.05*10000,0)</f>
        <v>2472.3035000000095</v>
      </c>
      <c r="V163" s="70" t="s">
        <v>143</v>
      </c>
      <c r="W163" s="63"/>
    </row>
    <row r="164" spans="1:23" s="6" customFormat="1" ht="20.100000000000001" customHeight="1" x14ac:dyDescent="0.15">
      <c r="A164" s="77"/>
      <c r="B164" s="2" t="s">
        <v>27</v>
      </c>
      <c r="C164" s="4" t="s">
        <v>22</v>
      </c>
      <c r="D164" s="36">
        <v>5510.59</v>
      </c>
      <c r="E164" s="36">
        <v>8540.19</v>
      </c>
      <c r="F164" s="36">
        <v>7142.18</v>
      </c>
      <c r="G164" s="36">
        <v>8631.75</v>
      </c>
      <c r="H164" s="36">
        <v>7054.07</v>
      </c>
      <c r="I164" s="36">
        <v>9619.39</v>
      </c>
      <c r="J164" s="36">
        <v>8721.39</v>
      </c>
      <c r="K164" s="36">
        <v>9534.8700000000008</v>
      </c>
      <c r="L164" s="36">
        <v>9549.99</v>
      </c>
      <c r="M164" s="48">
        <f>SUM(D164:L164)</f>
        <v>74304.42</v>
      </c>
      <c r="N164" s="15">
        <f>M164/M163</f>
        <v>3.9284786189699265E-2</v>
      </c>
      <c r="O164" s="44">
        <v>34597.980000000003</v>
      </c>
      <c r="P164" s="50">
        <f>O164/O163</f>
        <v>1.8995404309684081E-2</v>
      </c>
      <c r="Q164" s="18"/>
      <c r="R164" s="15"/>
      <c r="S164" s="15"/>
      <c r="T164" s="18"/>
      <c r="U164" s="67"/>
      <c r="V164" s="71"/>
      <c r="W164" s="63"/>
    </row>
    <row r="165" spans="1:23" s="6" customFormat="1" ht="20.100000000000001" customHeight="1" x14ac:dyDescent="0.15">
      <c r="A165" s="77"/>
      <c r="B165" s="2" t="s">
        <v>27</v>
      </c>
      <c r="C165" s="4" t="s">
        <v>23</v>
      </c>
      <c r="D165" s="36">
        <v>72761.100000000006</v>
      </c>
      <c r="E165" s="36">
        <v>48843.5</v>
      </c>
      <c r="F165" s="36">
        <v>41351.65</v>
      </c>
      <c r="G165" s="36">
        <v>33646.480000000003</v>
      </c>
      <c r="H165" s="36">
        <v>31439.86</v>
      </c>
      <c r="I165" s="36">
        <v>42460.84</v>
      </c>
      <c r="J165" s="36">
        <v>23978.15</v>
      </c>
      <c r="K165" s="36">
        <v>56750.68</v>
      </c>
      <c r="L165" s="36">
        <v>69959.320000000007</v>
      </c>
      <c r="M165" s="48">
        <f>SUM(D165:L165)</f>
        <v>421191.58000000007</v>
      </c>
      <c r="N165" s="15">
        <f>M165/M163</f>
        <v>0.22268421131881008</v>
      </c>
      <c r="O165" s="44">
        <v>446167.76</v>
      </c>
      <c r="P165" s="50">
        <f>O165/O163</f>
        <v>0.24496045697309765</v>
      </c>
      <c r="Q165" s="18"/>
      <c r="R165" s="15"/>
      <c r="S165" s="15"/>
      <c r="T165" s="18"/>
      <c r="U165" s="67"/>
      <c r="V165" s="71"/>
      <c r="W165" s="63"/>
    </row>
    <row r="166" spans="1:23" s="12" customFormat="1" ht="20.100000000000001" customHeight="1" x14ac:dyDescent="0.15">
      <c r="A166" s="77"/>
      <c r="B166" s="2" t="s">
        <v>27</v>
      </c>
      <c r="C166" s="4" t="s">
        <v>68</v>
      </c>
      <c r="D166" s="24">
        <v>1346</v>
      </c>
      <c r="E166" s="22">
        <v>664.73</v>
      </c>
      <c r="F166" s="24">
        <v>1086.03</v>
      </c>
      <c r="G166" s="22">
        <v>102.99</v>
      </c>
      <c r="H166" s="33">
        <v>1437.19</v>
      </c>
      <c r="I166" s="22">
        <v>3727.58</v>
      </c>
      <c r="J166" s="24">
        <v>2726.5</v>
      </c>
      <c r="K166" s="22">
        <v>321.31</v>
      </c>
      <c r="L166" s="24">
        <v>3660.43</v>
      </c>
      <c r="M166" s="36">
        <f t="shared" ref="M166:M168" si="21">D166+E166+F166+G166+H166+I166+J166+K166+L166</f>
        <v>15072.76</v>
      </c>
      <c r="N166" s="15">
        <f>M166/M163</f>
        <v>7.9689761913039839E-3</v>
      </c>
      <c r="O166" s="44">
        <v>36377.5</v>
      </c>
      <c r="P166" s="50">
        <f>O166/O163</f>
        <v>1.9972418050866917E-2</v>
      </c>
      <c r="Q166" s="18"/>
      <c r="R166" s="15"/>
      <c r="S166" s="15"/>
      <c r="T166" s="18"/>
      <c r="U166" s="67"/>
      <c r="V166" s="71"/>
      <c r="W166" s="62"/>
    </row>
    <row r="167" spans="1:23" s="12" customFormat="1" ht="20.100000000000001" customHeight="1" x14ac:dyDescent="0.15">
      <c r="A167" s="77"/>
      <c r="B167" s="2" t="s">
        <v>27</v>
      </c>
      <c r="C167" s="4" t="s">
        <v>69</v>
      </c>
      <c r="D167" s="22"/>
      <c r="E167" s="22"/>
      <c r="F167" s="22"/>
      <c r="G167" s="22"/>
      <c r="H167" s="31"/>
      <c r="I167" s="22"/>
      <c r="J167" s="22"/>
      <c r="K167" s="22"/>
      <c r="L167" s="22"/>
      <c r="M167" s="48">
        <f t="shared" si="21"/>
        <v>0</v>
      </c>
      <c r="N167" s="15">
        <f>M167/M163</f>
        <v>0</v>
      </c>
      <c r="O167" s="44">
        <v>0</v>
      </c>
      <c r="P167" s="50">
        <f>O167/O163</f>
        <v>0</v>
      </c>
      <c r="Q167" s="18"/>
      <c r="R167" s="15"/>
      <c r="S167" s="15"/>
      <c r="T167" s="18"/>
      <c r="U167" s="67"/>
      <c r="V167" s="71"/>
      <c r="W167" s="62"/>
    </row>
    <row r="168" spans="1:23" s="12" customFormat="1" ht="20.100000000000001" customHeight="1" x14ac:dyDescent="0.15">
      <c r="A168" s="77"/>
      <c r="B168" s="2" t="s">
        <v>27</v>
      </c>
      <c r="C168" s="4" t="s">
        <v>70</v>
      </c>
      <c r="D168" s="22"/>
      <c r="E168" s="22"/>
      <c r="F168" s="22"/>
      <c r="G168" s="22"/>
      <c r="H168" s="31"/>
      <c r="I168" s="24">
        <v>1415.09</v>
      </c>
      <c r="J168" s="22"/>
      <c r="K168" s="22"/>
      <c r="L168" s="22"/>
      <c r="M168" s="48">
        <f t="shared" si="21"/>
        <v>1415.09</v>
      </c>
      <c r="N168" s="15">
        <f>M168/M163</f>
        <v>7.4815883212844586E-4</v>
      </c>
      <c r="O168" s="44">
        <v>3000</v>
      </c>
      <c r="P168" s="50">
        <f>O168/O163</f>
        <v>1.6470965336430694E-3</v>
      </c>
      <c r="Q168" s="18"/>
      <c r="R168" s="15"/>
      <c r="S168" s="15"/>
      <c r="T168" s="18"/>
      <c r="U168" s="67"/>
      <c r="V168" s="72"/>
      <c r="W168" s="62"/>
    </row>
    <row r="169" spans="1:23" s="6" customFormat="1" ht="20.100000000000001" customHeight="1" x14ac:dyDescent="0.15">
      <c r="A169" s="77"/>
      <c r="B169" s="2" t="s">
        <v>57</v>
      </c>
      <c r="C169" s="4" t="s">
        <v>21</v>
      </c>
      <c r="D169" s="36">
        <v>214487.73</v>
      </c>
      <c r="E169" s="36">
        <v>204534.86</v>
      </c>
      <c r="F169" s="36">
        <v>184692.92</v>
      </c>
      <c r="G169" s="36">
        <v>201686.33</v>
      </c>
      <c r="H169" s="36">
        <v>172245.3</v>
      </c>
      <c r="I169" s="36">
        <f>256060.66-25</f>
        <v>256035.66</v>
      </c>
      <c r="J169" s="36">
        <v>230307.47</v>
      </c>
      <c r="K169" s="36">
        <v>205103.33</v>
      </c>
      <c r="L169" s="22">
        <v>197594.28</v>
      </c>
      <c r="M169" s="48">
        <f>SUM(D169:L169)</f>
        <v>1866687.88</v>
      </c>
      <c r="N169" s="21">
        <f>ROUND(M169/10000,2)</f>
        <v>186.67</v>
      </c>
      <c r="O169" s="44">
        <v>2277870.6800000002</v>
      </c>
      <c r="P169" s="51">
        <f>M169-O169</f>
        <v>-411182.80000000028</v>
      </c>
      <c r="Q169" s="21">
        <f>VLOOKUP(B169,[1]Sheet1!$B$3:$E$53,4,0)</f>
        <v>182</v>
      </c>
      <c r="R169" s="21">
        <f>(M169-M170-M171-M172-M173-M174)/10000</f>
        <v>127.49610399999997</v>
      </c>
      <c r="S169" s="15">
        <f>R169/Q169</f>
        <v>0.70052804395604384</v>
      </c>
      <c r="T169" s="18">
        <f>R169-Q169</f>
        <v>-54.503896000000026</v>
      </c>
      <c r="U169" s="67">
        <f>IF((T169)&gt;0,2000+(T169)*0.05*10000,0)</f>
        <v>0</v>
      </c>
      <c r="V169" s="70" t="s">
        <v>144</v>
      </c>
      <c r="W169" s="63"/>
    </row>
    <row r="170" spans="1:23" s="6" customFormat="1" ht="20.100000000000001" customHeight="1" x14ac:dyDescent="0.15">
      <c r="A170" s="77"/>
      <c r="B170" s="2" t="s">
        <v>57</v>
      </c>
      <c r="C170" s="4" t="s">
        <v>22</v>
      </c>
      <c r="D170" s="36">
        <v>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22">
        <v>0</v>
      </c>
      <c r="L170" s="22">
        <v>0</v>
      </c>
      <c r="M170" s="48">
        <f>SUM(D170:L170)</f>
        <v>0</v>
      </c>
      <c r="N170" s="15">
        <f>M170/M169</f>
        <v>0</v>
      </c>
      <c r="O170" s="44">
        <v>0</v>
      </c>
      <c r="P170" s="50">
        <f>O170/O169</f>
        <v>0</v>
      </c>
      <c r="Q170" s="18"/>
      <c r="R170" s="15"/>
      <c r="S170" s="15"/>
      <c r="T170" s="18"/>
      <c r="U170" s="67"/>
      <c r="V170" s="71"/>
      <c r="W170" s="63"/>
    </row>
    <row r="171" spans="1:23" s="6" customFormat="1" ht="20.100000000000001" customHeight="1" x14ac:dyDescent="0.15">
      <c r="A171" s="77"/>
      <c r="B171" s="2" t="s">
        <v>57</v>
      </c>
      <c r="C171" s="4" t="s">
        <v>23</v>
      </c>
      <c r="D171" s="36">
        <v>102754.44</v>
      </c>
      <c r="E171" s="36">
        <v>64967.4</v>
      </c>
      <c r="F171" s="36">
        <v>50595.839999999997</v>
      </c>
      <c r="G171" s="36">
        <v>42528.24</v>
      </c>
      <c r="H171" s="36">
        <v>28532.52</v>
      </c>
      <c r="I171" s="36">
        <v>43462.44</v>
      </c>
      <c r="J171" s="36">
        <v>57407.400000000103</v>
      </c>
      <c r="K171" s="36">
        <v>70586.64</v>
      </c>
      <c r="L171" s="22">
        <v>91640.16</v>
      </c>
      <c r="M171" s="48">
        <f>SUM(D171:L171)</f>
        <v>552475.08000000007</v>
      </c>
      <c r="N171" s="15">
        <f>M171/M169</f>
        <v>0.29596542942144144</v>
      </c>
      <c r="O171" s="44">
        <v>426539.52000000002</v>
      </c>
      <c r="P171" s="50">
        <f>O171/O169</f>
        <v>0.18725361529303322</v>
      </c>
      <c r="Q171" s="18"/>
      <c r="R171" s="15"/>
      <c r="S171" s="15"/>
      <c r="T171" s="18"/>
      <c r="U171" s="67"/>
      <c r="V171" s="71"/>
      <c r="W171" s="63"/>
    </row>
    <row r="172" spans="1:23" s="12" customFormat="1" ht="20.100000000000001" customHeight="1" x14ac:dyDescent="0.15">
      <c r="A172" s="77"/>
      <c r="B172" s="2" t="s">
        <v>77</v>
      </c>
      <c r="C172" s="4" t="s">
        <v>68</v>
      </c>
      <c r="D172" s="24">
        <v>4748.3100000000004</v>
      </c>
      <c r="E172" s="24">
        <v>2801.95</v>
      </c>
      <c r="F172" s="24">
        <v>7331.57</v>
      </c>
      <c r="G172" s="24">
        <v>1301.96</v>
      </c>
      <c r="H172" s="33">
        <v>1230</v>
      </c>
      <c r="I172" s="22">
        <v>3237.06</v>
      </c>
      <c r="J172" s="24">
        <v>3120</v>
      </c>
      <c r="K172" s="24">
        <v>3927.87</v>
      </c>
      <c r="L172" s="24">
        <v>7071.14</v>
      </c>
      <c r="M172" s="36">
        <f t="shared" ref="M172:M174" si="22">D172+E172+F172+G172+H172+I172+J172+K172+L172</f>
        <v>34769.86</v>
      </c>
      <c r="N172" s="15">
        <f>M172/M169</f>
        <v>1.8626499037428797E-2</v>
      </c>
      <c r="O172" s="44">
        <v>55017.03</v>
      </c>
      <c r="P172" s="50">
        <f>O172/O169</f>
        <v>2.4152832943088759E-2</v>
      </c>
      <c r="Q172" s="18"/>
      <c r="R172" s="15"/>
      <c r="S172" s="15"/>
      <c r="T172" s="18"/>
      <c r="U172" s="67"/>
      <c r="V172" s="71"/>
      <c r="W172" s="62"/>
    </row>
    <row r="173" spans="1:23" s="12" customFormat="1" ht="20.100000000000001" customHeight="1" x14ac:dyDescent="0.15">
      <c r="A173" s="77"/>
      <c r="B173" s="2" t="s">
        <v>77</v>
      </c>
      <c r="C173" s="4" t="s">
        <v>69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48">
        <f t="shared" si="22"/>
        <v>0</v>
      </c>
      <c r="N173" s="15">
        <f>M173/M169</f>
        <v>0</v>
      </c>
      <c r="O173" s="44">
        <v>0</v>
      </c>
      <c r="P173" s="50">
        <f>O173/O169</f>
        <v>0</v>
      </c>
      <c r="Q173" s="18"/>
      <c r="R173" s="15"/>
      <c r="S173" s="15"/>
      <c r="T173" s="18"/>
      <c r="U173" s="67"/>
      <c r="V173" s="71"/>
      <c r="W173" s="62"/>
    </row>
    <row r="174" spans="1:23" s="12" customFormat="1" ht="20.100000000000001" customHeight="1" x14ac:dyDescent="0.15">
      <c r="A174" s="77"/>
      <c r="B174" s="2" t="s">
        <v>77</v>
      </c>
      <c r="C174" s="4" t="s">
        <v>70</v>
      </c>
      <c r="D174" s="22"/>
      <c r="E174" s="22"/>
      <c r="F174" s="22"/>
      <c r="G174" s="22"/>
      <c r="H174" s="31"/>
      <c r="I174" s="22"/>
      <c r="J174" s="22"/>
      <c r="K174" s="22"/>
      <c r="L174" s="24">
        <v>4481.8999999999996</v>
      </c>
      <c r="M174" s="48">
        <f t="shared" si="22"/>
        <v>4481.8999999999996</v>
      </c>
      <c r="N174" s="15">
        <f>M174/M169</f>
        <v>2.4009905716000043E-3</v>
      </c>
      <c r="O174" s="44">
        <v>0</v>
      </c>
      <c r="P174" s="50">
        <f>O174/O169</f>
        <v>0</v>
      </c>
      <c r="Q174" s="18"/>
      <c r="R174" s="15"/>
      <c r="S174" s="15"/>
      <c r="T174" s="18"/>
      <c r="U174" s="67"/>
      <c r="V174" s="72"/>
      <c r="W174" s="62"/>
    </row>
    <row r="175" spans="1:23" s="6" customFormat="1" ht="21" customHeight="1" x14ac:dyDescent="0.15">
      <c r="A175" s="77"/>
      <c r="B175" s="2" t="s">
        <v>31</v>
      </c>
      <c r="C175" s="4" t="s">
        <v>21</v>
      </c>
      <c r="D175" s="36">
        <v>58264.88</v>
      </c>
      <c r="E175" s="36">
        <v>142684.79999999999</v>
      </c>
      <c r="F175" s="36">
        <v>138614.16</v>
      </c>
      <c r="G175" s="36">
        <v>165105.68</v>
      </c>
      <c r="H175" s="36">
        <v>149657.04</v>
      </c>
      <c r="I175" s="36">
        <v>246043.48</v>
      </c>
      <c r="J175" s="36">
        <f>154046.32-329-166</f>
        <v>153551.32</v>
      </c>
      <c r="K175" s="36">
        <v>136108.24</v>
      </c>
      <c r="L175" s="36">
        <f>179039.12-44.8</f>
        <v>178994.32</v>
      </c>
      <c r="M175" s="48">
        <f>SUM(D175:L175)</f>
        <v>1369023.92</v>
      </c>
      <c r="N175" s="21">
        <f>ROUND(M175/10000,2)</f>
        <v>136.9</v>
      </c>
      <c r="O175" s="44">
        <v>1481479.22</v>
      </c>
      <c r="P175" s="51">
        <f>M175-O175</f>
        <v>-112455.30000000005</v>
      </c>
      <c r="Q175" s="21">
        <f>VLOOKUP(B175,[1]Sheet1!$B$3:$E$53,4,0)</f>
        <v>110</v>
      </c>
      <c r="R175" s="21">
        <f>(M175-M176-M177-M178-M179-M180)/10000</f>
        <v>81.890463999999994</v>
      </c>
      <c r="S175" s="15">
        <f>R175/Q175</f>
        <v>0.74445876363636354</v>
      </c>
      <c r="T175" s="18">
        <f>R175-Q175</f>
        <v>-28.109536000000006</v>
      </c>
      <c r="U175" s="67">
        <f>IF((T175)&gt;0,2000+(T175)*0.05*10000,0)</f>
        <v>0</v>
      </c>
      <c r="V175" s="70" t="s">
        <v>145</v>
      </c>
      <c r="W175" s="63"/>
    </row>
    <row r="176" spans="1:23" s="6" customFormat="1" ht="21" customHeight="1" x14ac:dyDescent="0.15">
      <c r="A176" s="77"/>
      <c r="B176" s="2" t="s">
        <v>31</v>
      </c>
      <c r="C176" s="4" t="s">
        <v>22</v>
      </c>
      <c r="D176" s="36">
        <v>7574.43</v>
      </c>
      <c r="E176" s="36">
        <v>18549.02</v>
      </c>
      <c r="F176" s="36">
        <v>18019.84</v>
      </c>
      <c r="G176" s="36">
        <v>21463.74</v>
      </c>
      <c r="H176" s="36">
        <v>19455.419999999998</v>
      </c>
      <c r="I176" s="36">
        <v>31985.65</v>
      </c>
      <c r="J176" s="36">
        <v>20026.02</v>
      </c>
      <c r="K176" s="36">
        <v>17694.07</v>
      </c>
      <c r="L176" s="36">
        <v>23275.09</v>
      </c>
      <c r="M176" s="48">
        <f>SUM(D176:L176)</f>
        <v>178043.28</v>
      </c>
      <c r="N176" s="15">
        <f>M176/M175</f>
        <v>0.13005125578813848</v>
      </c>
      <c r="O176" s="44">
        <v>192929.86</v>
      </c>
      <c r="P176" s="50">
        <f>O176/O175</f>
        <v>0.13022785429281958</v>
      </c>
      <c r="Q176" s="18"/>
      <c r="R176" s="15"/>
      <c r="S176" s="15"/>
      <c r="T176" s="18"/>
      <c r="U176" s="67"/>
      <c r="V176" s="71"/>
      <c r="W176" s="63"/>
    </row>
    <row r="177" spans="1:24" s="6" customFormat="1" ht="21" customHeight="1" x14ac:dyDescent="0.15">
      <c r="A177" s="77"/>
      <c r="B177" s="2" t="s">
        <v>31</v>
      </c>
      <c r="C177" s="4" t="s">
        <v>23</v>
      </c>
      <c r="D177" s="36">
        <v>27718.85</v>
      </c>
      <c r="E177" s="36">
        <v>46766.400000000001</v>
      </c>
      <c r="F177" s="36">
        <v>35393.050000000003</v>
      </c>
      <c r="G177" s="36">
        <v>32235.75</v>
      </c>
      <c r="H177" s="36">
        <v>31512.400000000001</v>
      </c>
      <c r="I177" s="36">
        <v>40776.75</v>
      </c>
      <c r="J177" s="36">
        <v>33830</v>
      </c>
      <c r="K177" s="36">
        <v>43341.25</v>
      </c>
      <c r="L177" s="36">
        <v>57807.75</v>
      </c>
      <c r="M177" s="48">
        <f>SUM(D177:L177)</f>
        <v>349382.19999999995</v>
      </c>
      <c r="N177" s="15">
        <f>M177/M175</f>
        <v>0.25520532906393628</v>
      </c>
      <c r="O177" s="44">
        <v>377656.18</v>
      </c>
      <c r="P177" s="50">
        <f>O177/O175</f>
        <v>0.25491831063280118</v>
      </c>
      <c r="Q177" s="18"/>
      <c r="R177" s="15"/>
      <c r="S177" s="15"/>
      <c r="T177" s="18"/>
      <c r="U177" s="67"/>
      <c r="V177" s="71"/>
      <c r="W177" s="63"/>
    </row>
    <row r="178" spans="1:24" s="12" customFormat="1" ht="20.100000000000001" customHeight="1" x14ac:dyDescent="0.15">
      <c r="A178" s="77"/>
      <c r="B178" s="2" t="s">
        <v>31</v>
      </c>
      <c r="C178" s="4" t="s">
        <v>68</v>
      </c>
      <c r="D178" s="24">
        <v>3824.37</v>
      </c>
      <c r="E178" s="22">
        <v>463.86</v>
      </c>
      <c r="F178" s="22">
        <v>849.37</v>
      </c>
      <c r="G178" s="24">
        <v>1501.7</v>
      </c>
      <c r="H178" s="33">
        <v>2106.94</v>
      </c>
      <c r="I178" s="22">
        <v>9946.65</v>
      </c>
      <c r="J178" s="22">
        <v>412</v>
      </c>
      <c r="K178" s="22">
        <v>740.59</v>
      </c>
      <c r="L178" s="24">
        <v>2848.32</v>
      </c>
      <c r="M178" s="36">
        <f t="shared" ref="M178:M180" si="23">D178+E178+F178+G178+H178+I178+J178+K178+L178</f>
        <v>22693.8</v>
      </c>
      <c r="N178" s="15">
        <f>M178/M175</f>
        <v>1.657662782108292E-2</v>
      </c>
      <c r="O178" s="44">
        <v>35461.54</v>
      </c>
      <c r="P178" s="50">
        <f>O178/O175</f>
        <v>2.3936576039183324E-2</v>
      </c>
      <c r="Q178" s="18"/>
      <c r="R178" s="15"/>
      <c r="S178" s="15"/>
      <c r="T178" s="18"/>
      <c r="U178" s="67"/>
      <c r="V178" s="71"/>
      <c r="W178" s="62"/>
    </row>
    <row r="179" spans="1:24" s="12" customFormat="1" ht="20.100000000000001" customHeight="1" x14ac:dyDescent="0.15">
      <c r="A179" s="77"/>
      <c r="B179" s="2" t="s">
        <v>31</v>
      </c>
      <c r="C179" s="4" t="s">
        <v>69</v>
      </c>
      <c r="D179" s="22"/>
      <c r="E179" s="22"/>
      <c r="F179" s="22"/>
      <c r="G179" s="22"/>
      <c r="H179" s="31"/>
      <c r="I179" s="22"/>
      <c r="J179" s="22"/>
      <c r="K179" s="22"/>
      <c r="L179" s="22"/>
      <c r="M179" s="48">
        <f t="shared" si="23"/>
        <v>0</v>
      </c>
      <c r="N179" s="15">
        <f>M179/M175</f>
        <v>0</v>
      </c>
      <c r="O179" s="44">
        <v>0</v>
      </c>
      <c r="P179" s="50">
        <f>O179/O175</f>
        <v>0</v>
      </c>
      <c r="Q179" s="18"/>
      <c r="R179" s="15"/>
      <c r="S179" s="15"/>
      <c r="T179" s="18"/>
      <c r="U179" s="67"/>
      <c r="V179" s="71"/>
      <c r="W179" s="62"/>
    </row>
    <row r="180" spans="1:24" s="12" customFormat="1" ht="20.100000000000001" customHeight="1" x14ac:dyDescent="0.15">
      <c r="A180" s="77"/>
      <c r="B180" s="2" t="s">
        <v>31</v>
      </c>
      <c r="C180" s="4" t="s">
        <v>70</v>
      </c>
      <c r="D180" s="22"/>
      <c r="E180" s="22"/>
      <c r="F180" s="22"/>
      <c r="G180" s="22"/>
      <c r="H180" s="31"/>
      <c r="I180" s="22"/>
      <c r="J180" s="22"/>
      <c r="K180" s="22"/>
      <c r="L180" s="22"/>
      <c r="M180" s="48">
        <f t="shared" si="23"/>
        <v>0</v>
      </c>
      <c r="N180" s="15">
        <f>M180/M175</f>
        <v>0</v>
      </c>
      <c r="O180" s="44">
        <v>49388.59</v>
      </c>
      <c r="P180" s="50">
        <f>O180/O175</f>
        <v>3.3337349139463457E-2</v>
      </c>
      <c r="Q180" s="18"/>
      <c r="R180" s="15"/>
      <c r="S180" s="15"/>
      <c r="T180" s="18"/>
      <c r="U180" s="67"/>
      <c r="V180" s="72"/>
      <c r="W180" s="62"/>
    </row>
    <row r="181" spans="1:24" s="6" customFormat="1" ht="21" customHeight="1" x14ac:dyDescent="0.15">
      <c r="A181" s="77"/>
      <c r="B181" s="2" t="s">
        <v>63</v>
      </c>
      <c r="C181" s="4" t="s">
        <v>21</v>
      </c>
      <c r="D181" s="36">
        <v>388076.93</v>
      </c>
      <c r="E181" s="36">
        <v>410028.95999999996</v>
      </c>
      <c r="F181" s="36">
        <v>454381.33</v>
      </c>
      <c r="G181" s="36">
        <f>433763.05-2</f>
        <v>433761.05</v>
      </c>
      <c r="H181" s="36">
        <v>434884.75</v>
      </c>
      <c r="I181" s="36">
        <v>510618.8</v>
      </c>
      <c r="J181" s="36">
        <v>433535.75</v>
      </c>
      <c r="K181" s="36">
        <v>509900.19</v>
      </c>
      <c r="L181" s="36">
        <f>502173.51-2</f>
        <v>502171.51</v>
      </c>
      <c r="M181" s="48">
        <f t="shared" ref="M181:M183" si="24">SUM(D181:L181)</f>
        <v>4077359.2699999996</v>
      </c>
      <c r="N181" s="21">
        <f>ROUND(M181/10000,2)</f>
        <v>407.74</v>
      </c>
      <c r="O181" s="44">
        <v>1539430.23</v>
      </c>
      <c r="P181" s="51">
        <f>M181-O181</f>
        <v>2537929.0399999996</v>
      </c>
      <c r="Q181" s="21">
        <f>VLOOKUP(B181,[1]Sheet1!$B$3:$E$53,4,0)</f>
        <v>284</v>
      </c>
      <c r="R181" s="21">
        <f>(M181-M182-M183-M184-M185-M186)/10000</f>
        <v>258.22430999999995</v>
      </c>
      <c r="S181" s="15">
        <f>R181/Q181</f>
        <v>0.90924052816901391</v>
      </c>
      <c r="T181" s="18">
        <f>R181-Q181</f>
        <v>-25.775690000000054</v>
      </c>
      <c r="U181" s="67">
        <f>IF((T181)&gt;0,2000+(T181)*0.05*10000,0)</f>
        <v>0</v>
      </c>
      <c r="V181" s="70" t="s">
        <v>146</v>
      </c>
      <c r="W181" s="63"/>
    </row>
    <row r="182" spans="1:24" s="6" customFormat="1" ht="21" customHeight="1" x14ac:dyDescent="0.15">
      <c r="A182" s="77"/>
      <c r="B182" s="2" t="s">
        <v>63</v>
      </c>
      <c r="C182" s="4" t="s">
        <v>22</v>
      </c>
      <c r="D182" s="36">
        <v>38807.69</v>
      </c>
      <c r="E182" s="36">
        <v>41002.9</v>
      </c>
      <c r="F182" s="36">
        <v>45438.13</v>
      </c>
      <c r="G182" s="36">
        <v>43376.31</v>
      </c>
      <c r="H182" s="36">
        <v>43488.480000000003</v>
      </c>
      <c r="I182" s="36">
        <v>51061.88</v>
      </c>
      <c r="J182" s="36">
        <v>43353.58</v>
      </c>
      <c r="K182" s="36">
        <v>50990.02</v>
      </c>
      <c r="L182" s="36">
        <v>50217.35</v>
      </c>
      <c r="M182" s="48">
        <f t="shared" si="24"/>
        <v>407736.34</v>
      </c>
      <c r="N182" s="15">
        <f>M182/M181</f>
        <v>0.10000010129104961</v>
      </c>
      <c r="O182" s="44">
        <v>153943.1</v>
      </c>
      <c r="P182" s="50">
        <f>O182/O181</f>
        <v>0.10000005001850588</v>
      </c>
      <c r="Q182" s="18"/>
      <c r="R182" s="15"/>
      <c r="S182" s="15"/>
      <c r="T182" s="18"/>
      <c r="U182" s="67"/>
      <c r="V182" s="71"/>
      <c r="W182" s="63"/>
    </row>
    <row r="183" spans="1:24" s="6" customFormat="1" ht="21" customHeight="1" x14ac:dyDescent="0.15">
      <c r="A183" s="77"/>
      <c r="B183" s="2" t="s">
        <v>63</v>
      </c>
      <c r="C183" s="4" t="s">
        <v>23</v>
      </c>
      <c r="D183" s="36">
        <v>0</v>
      </c>
      <c r="E183" s="36">
        <v>287061.7</v>
      </c>
      <c r="F183" s="36">
        <v>105374.98000000001</v>
      </c>
      <c r="G183" s="36">
        <v>96984.26</v>
      </c>
      <c r="H183" s="36">
        <v>81538.44</v>
      </c>
      <c r="I183" s="36">
        <v>86384.52</v>
      </c>
      <c r="J183" s="36">
        <v>87372.9</v>
      </c>
      <c r="K183" s="36">
        <v>121829.59</v>
      </c>
      <c r="L183" s="36">
        <v>153491.94</v>
      </c>
      <c r="M183" s="48">
        <f t="shared" si="24"/>
        <v>1020038.3300000001</v>
      </c>
      <c r="N183" s="15">
        <f>M183/M181</f>
        <v>0.25017131492560385</v>
      </c>
      <c r="O183" s="44">
        <v>380141.14</v>
      </c>
      <c r="P183" s="50">
        <f>O183/O181</f>
        <v>0.24693625770880179</v>
      </c>
      <c r="Q183" s="18"/>
      <c r="R183" s="15"/>
      <c r="S183" s="15"/>
      <c r="T183" s="18"/>
      <c r="U183" s="67"/>
      <c r="V183" s="71"/>
      <c r="W183" s="63"/>
    </row>
    <row r="184" spans="1:24" s="12" customFormat="1" ht="20.100000000000001" customHeight="1" x14ac:dyDescent="0.15">
      <c r="A184" s="77"/>
      <c r="B184" s="2" t="s">
        <v>91</v>
      </c>
      <c r="C184" s="4" t="s">
        <v>68</v>
      </c>
      <c r="D184" s="24">
        <v>17610.02</v>
      </c>
      <c r="E184" s="24">
        <v>5296.99</v>
      </c>
      <c r="F184" s="24">
        <v>6352.72</v>
      </c>
      <c r="G184" s="24">
        <v>4050.08</v>
      </c>
      <c r="H184" s="33">
        <v>27218.73</v>
      </c>
      <c r="I184" s="22">
        <v>-8318.75</v>
      </c>
      <c r="J184" s="24">
        <v>-6723.22</v>
      </c>
      <c r="K184" s="24">
        <v>9102.49</v>
      </c>
      <c r="L184" s="24">
        <v>12752.44</v>
      </c>
      <c r="M184" s="36">
        <f t="shared" ref="M184:M186" si="25">D184+E184+F184+G184+H184+I184+J184+K184+L184</f>
        <v>67341.5</v>
      </c>
      <c r="N184" s="15">
        <f>M184/M181</f>
        <v>1.6515959360137524E-2</v>
      </c>
      <c r="O184" s="44">
        <v>15088.36</v>
      </c>
      <c r="P184" s="50">
        <f>O184/O181</f>
        <v>9.8012626398794322E-3</v>
      </c>
      <c r="Q184" s="18"/>
      <c r="R184" s="15"/>
      <c r="S184" s="15"/>
      <c r="T184" s="18"/>
      <c r="U184" s="67"/>
      <c r="V184" s="71"/>
      <c r="W184" s="62"/>
    </row>
    <row r="185" spans="1:24" s="12" customFormat="1" ht="20.100000000000001" customHeight="1" x14ac:dyDescent="0.15">
      <c r="A185" s="77"/>
      <c r="B185" s="2" t="s">
        <v>91</v>
      </c>
      <c r="C185" s="4" t="s">
        <v>69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48">
        <f t="shared" si="25"/>
        <v>0</v>
      </c>
      <c r="N185" s="15">
        <f>M185/M181</f>
        <v>0</v>
      </c>
      <c r="O185" s="44">
        <v>0</v>
      </c>
      <c r="P185" s="50">
        <f>O185/O181</f>
        <v>0</v>
      </c>
      <c r="Q185" s="18"/>
      <c r="R185" s="15"/>
      <c r="S185" s="15"/>
      <c r="T185" s="18"/>
      <c r="U185" s="67"/>
      <c r="V185" s="71"/>
      <c r="W185" s="62"/>
    </row>
    <row r="186" spans="1:24" s="12" customFormat="1" ht="20.100000000000001" customHeight="1" x14ac:dyDescent="0.15">
      <c r="A186" s="78"/>
      <c r="B186" s="2" t="s">
        <v>91</v>
      </c>
      <c r="C186" s="4" t="s">
        <v>70</v>
      </c>
      <c r="D186" s="22"/>
      <c r="E186" s="22"/>
      <c r="F186" s="22"/>
      <c r="G186" s="22"/>
      <c r="H186" s="31"/>
      <c r="I186" s="22"/>
      <c r="J186" s="22"/>
      <c r="K186" s="22"/>
      <c r="L186" s="22"/>
      <c r="M186" s="48">
        <f t="shared" si="25"/>
        <v>0</v>
      </c>
      <c r="N186" s="15">
        <f>M186/M181</f>
        <v>0</v>
      </c>
      <c r="O186" s="44">
        <v>493</v>
      </c>
      <c r="P186" s="50">
        <f>O186/O181</f>
        <v>3.202483557829055E-4</v>
      </c>
      <c r="Q186" s="18"/>
      <c r="R186" s="15"/>
      <c r="S186" s="15"/>
      <c r="T186" s="18"/>
      <c r="U186" s="67"/>
      <c r="V186" s="72"/>
      <c r="W186" s="62"/>
    </row>
    <row r="187" spans="1:24" s="12" customFormat="1" ht="20.100000000000001" customHeight="1" x14ac:dyDescent="0.15">
      <c r="A187" s="57" t="s">
        <v>175</v>
      </c>
      <c r="B187" s="13" t="s">
        <v>173</v>
      </c>
      <c r="C187" s="23"/>
      <c r="D187" s="22"/>
      <c r="E187" s="22"/>
      <c r="F187" s="22"/>
      <c r="G187" s="22"/>
      <c r="H187" s="56"/>
      <c r="I187" s="22"/>
      <c r="J187" s="22"/>
      <c r="K187" s="22"/>
      <c r="L187" s="22"/>
      <c r="M187" s="56"/>
      <c r="N187" s="50"/>
      <c r="O187" s="56"/>
      <c r="P187" s="50"/>
      <c r="Q187" s="18">
        <f>Q181+Q175+Q169+Q163+Q157+Q150+Q144+Q138+Q132+Q126+Q120+Q114</f>
        <v>1514</v>
      </c>
      <c r="R187" s="18">
        <f>R181+R175+R169+R163+R157+R150+R144+R138+R132+R126+R120+R114</f>
        <v>1326.032134</v>
      </c>
      <c r="S187" s="50">
        <f>R187/Q187</f>
        <v>0.87584685204755619</v>
      </c>
      <c r="T187" s="18">
        <f>R187-Q187</f>
        <v>-187.96786599999996</v>
      </c>
      <c r="U187" s="67">
        <f>IF((T187)&gt;0,2000+(T187)*0.05*10000,0)</f>
        <v>0</v>
      </c>
      <c r="V187" s="55" t="s">
        <v>174</v>
      </c>
      <c r="W187" s="62"/>
    </row>
    <row r="188" spans="1:24" ht="20.100000000000001" customHeight="1" x14ac:dyDescent="0.15">
      <c r="A188" s="76" t="s">
        <v>103</v>
      </c>
      <c r="B188" s="2" t="s">
        <v>6</v>
      </c>
      <c r="C188" s="4" t="s">
        <v>98</v>
      </c>
      <c r="D188" s="36">
        <v>176956.55</v>
      </c>
      <c r="E188" s="36">
        <v>170767.18</v>
      </c>
      <c r="F188" s="36">
        <v>179860.55</v>
      </c>
      <c r="G188" s="36">
        <v>174065.47</v>
      </c>
      <c r="H188" s="36">
        <v>191059.05</v>
      </c>
      <c r="I188" s="36">
        <f>386434.14-136.15</f>
        <v>386297.99</v>
      </c>
      <c r="J188" s="36">
        <f>208577.65-20</f>
        <v>208557.65</v>
      </c>
      <c r="K188" s="36">
        <v>248046.5</v>
      </c>
      <c r="L188" s="36">
        <v>241103.9</v>
      </c>
      <c r="M188" s="48">
        <f t="shared" ref="M188:M335" si="26">SUM(D188:L188)</f>
        <v>1976714.8399999999</v>
      </c>
      <c r="N188" s="21">
        <f>ROUND(M188/10000,2)</f>
        <v>197.67</v>
      </c>
      <c r="O188" s="21">
        <v>1649281.12</v>
      </c>
      <c r="P188" s="51">
        <f>M188-O188</f>
        <v>327433.71999999974</v>
      </c>
      <c r="Q188" s="21">
        <f>VLOOKUP(B188,[1]Sheet1!$B$3:$E$53,4,0)</f>
        <v>134</v>
      </c>
      <c r="R188" s="21">
        <f>(M188-M189-M190-M191-M192-M193)/10000</f>
        <v>155.00739099999998</v>
      </c>
      <c r="S188" s="15">
        <f>R188/Q188</f>
        <v>1.1567715746268656</v>
      </c>
      <c r="T188" s="18">
        <f>R188-Q188</f>
        <v>21.007390999999984</v>
      </c>
      <c r="U188" s="67">
        <f>IF((T188+T194)&gt;0,2000+(T188+T194)*0.05*10000,0)</f>
        <v>15047.547000000002</v>
      </c>
      <c r="V188" s="70" t="s">
        <v>147</v>
      </c>
      <c r="W188" s="67">
        <f>T188*0.05*10000+1000</f>
        <v>11503.695499999993</v>
      </c>
      <c r="X188" s="61"/>
    </row>
    <row r="189" spans="1:24" ht="20.100000000000001" customHeight="1" x14ac:dyDescent="0.15">
      <c r="A189" s="77"/>
      <c r="B189" s="2" t="s">
        <v>6</v>
      </c>
      <c r="C189" s="4" t="s">
        <v>99</v>
      </c>
      <c r="D189" s="36">
        <v>7078.26</v>
      </c>
      <c r="E189" s="36">
        <v>6830.69</v>
      </c>
      <c r="F189" s="36">
        <v>7194.42</v>
      </c>
      <c r="G189" s="36">
        <v>6962.62</v>
      </c>
      <c r="H189" s="36">
        <v>7642.36</v>
      </c>
      <c r="I189" s="36">
        <v>15457.37</v>
      </c>
      <c r="J189" s="36">
        <v>8343.11</v>
      </c>
      <c r="K189" s="36">
        <v>9921.86</v>
      </c>
      <c r="L189" s="36">
        <v>9644.16</v>
      </c>
      <c r="M189" s="48">
        <f t="shared" si="26"/>
        <v>79074.850000000006</v>
      </c>
      <c r="N189" s="15">
        <f>M189/M188</f>
        <v>4.000316504934015E-2</v>
      </c>
      <c r="O189" s="48">
        <v>65983.62</v>
      </c>
      <c r="P189" s="50">
        <f>O189/O188</f>
        <v>4.0007503390325591E-2</v>
      </c>
      <c r="Q189" s="18"/>
      <c r="R189" s="15"/>
      <c r="S189" s="15"/>
      <c r="T189" s="18"/>
      <c r="U189" s="67"/>
      <c r="V189" s="71"/>
      <c r="W189" s="50"/>
      <c r="X189" s="61"/>
    </row>
    <row r="190" spans="1:24" ht="20.100000000000001" customHeight="1" x14ac:dyDescent="0.15">
      <c r="A190" s="77"/>
      <c r="B190" s="2" t="s">
        <v>6</v>
      </c>
      <c r="C190" s="4" t="s">
        <v>100</v>
      </c>
      <c r="D190" s="36">
        <v>55096.15</v>
      </c>
      <c r="E190" s="36">
        <v>36324.94</v>
      </c>
      <c r="F190" s="36">
        <v>29638.79</v>
      </c>
      <c r="G190" s="36">
        <v>31248.82</v>
      </c>
      <c r="H190" s="36">
        <v>23801.29</v>
      </c>
      <c r="I190" s="36">
        <v>41193.9</v>
      </c>
      <c r="J190" s="36">
        <v>35559.629999999997</v>
      </c>
      <c r="K190" s="36">
        <v>37131.379999999997</v>
      </c>
      <c r="L190" s="36">
        <v>49019.98</v>
      </c>
      <c r="M190" s="48">
        <f t="shared" si="26"/>
        <v>339014.88</v>
      </c>
      <c r="N190" s="15">
        <f>M190/M188</f>
        <v>0.17150419126716326</v>
      </c>
      <c r="O190" s="48">
        <v>304752.7</v>
      </c>
      <c r="P190" s="50">
        <f>O190/O188</f>
        <v>0.18477911151981172</v>
      </c>
      <c r="Q190" s="18"/>
      <c r="R190" s="15"/>
      <c r="S190" s="15"/>
      <c r="T190" s="18"/>
      <c r="U190" s="67"/>
      <c r="V190" s="71"/>
      <c r="W190" s="50"/>
    </row>
    <row r="191" spans="1:24" s="12" customFormat="1" ht="20.100000000000001" customHeight="1" x14ac:dyDescent="0.15">
      <c r="A191" s="77"/>
      <c r="B191" s="2" t="s">
        <v>6</v>
      </c>
      <c r="C191" s="4" t="s">
        <v>95</v>
      </c>
      <c r="D191" s="22">
        <v>568.04</v>
      </c>
      <c r="E191" s="22">
        <v>0</v>
      </c>
      <c r="F191" s="24">
        <v>1289.03</v>
      </c>
      <c r="G191" s="24">
        <v>3157.07</v>
      </c>
      <c r="H191" s="31">
        <v>260.08</v>
      </c>
      <c r="I191" s="22">
        <v>1685.13</v>
      </c>
      <c r="J191" s="22">
        <v>518.19000000000005</v>
      </c>
      <c r="K191" s="22">
        <v>280</v>
      </c>
      <c r="L191" s="22">
        <v>793.66</v>
      </c>
      <c r="M191" s="36">
        <f t="shared" ref="M191:M193" si="27">D191+E191+F191+G191+H191+I191+J191+K191+L191</f>
        <v>8551.2000000000007</v>
      </c>
      <c r="N191" s="15">
        <f>M191/M188</f>
        <v>4.3259653982260799E-3</v>
      </c>
      <c r="O191" s="48">
        <v>12169.09</v>
      </c>
      <c r="P191" s="50">
        <f>O191/O188</f>
        <v>7.3784207267224402E-3</v>
      </c>
      <c r="Q191" s="18"/>
      <c r="R191" s="15"/>
      <c r="S191" s="15"/>
      <c r="T191" s="18"/>
      <c r="U191" s="67"/>
      <c r="V191" s="71"/>
      <c r="W191" s="62"/>
    </row>
    <row r="192" spans="1:24" s="12" customFormat="1" ht="20.100000000000001" customHeight="1" x14ac:dyDescent="0.15">
      <c r="A192" s="77"/>
      <c r="B192" s="2" t="s">
        <v>6</v>
      </c>
      <c r="C192" s="4" t="s">
        <v>96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48">
        <f t="shared" si="27"/>
        <v>0</v>
      </c>
      <c r="N192" s="15">
        <f>M192/M188</f>
        <v>0</v>
      </c>
      <c r="O192" s="48">
        <v>0</v>
      </c>
      <c r="P192" s="50">
        <f>O192/O188</f>
        <v>0</v>
      </c>
      <c r="Q192" s="18"/>
      <c r="R192" s="15"/>
      <c r="S192" s="15"/>
      <c r="T192" s="18"/>
      <c r="U192" s="67"/>
      <c r="V192" s="71"/>
      <c r="W192" s="62"/>
    </row>
    <row r="193" spans="1:23" s="12" customFormat="1" ht="20.100000000000001" customHeight="1" x14ac:dyDescent="0.15">
      <c r="A193" s="77"/>
      <c r="B193" s="2" t="s">
        <v>6</v>
      </c>
      <c r="C193" s="4" t="s">
        <v>97</v>
      </c>
      <c r="D193" s="22"/>
      <c r="E193" s="22"/>
      <c r="F193" s="22"/>
      <c r="G193" s="22"/>
      <c r="H193" s="31"/>
      <c r="I193" s="22"/>
      <c r="J193" s="22"/>
      <c r="K193" s="22"/>
      <c r="L193" s="22"/>
      <c r="M193" s="48">
        <f t="shared" si="27"/>
        <v>0</v>
      </c>
      <c r="N193" s="15">
        <f>M193/M188</f>
        <v>0</v>
      </c>
      <c r="O193" s="48">
        <v>0</v>
      </c>
      <c r="P193" s="50">
        <f>O193/O188</f>
        <v>0</v>
      </c>
      <c r="Q193" s="18"/>
      <c r="R193" s="15"/>
      <c r="S193" s="15"/>
      <c r="T193" s="18"/>
      <c r="U193" s="67"/>
      <c r="V193" s="71"/>
      <c r="W193" s="62"/>
    </row>
    <row r="194" spans="1:23" ht="20.100000000000001" customHeight="1" x14ac:dyDescent="0.15">
      <c r="A194" s="77"/>
      <c r="B194" s="2" t="s">
        <v>7</v>
      </c>
      <c r="C194" s="4" t="s">
        <v>98</v>
      </c>
      <c r="D194" s="36">
        <v>79127.23</v>
      </c>
      <c r="E194" s="36">
        <f>87766.9</f>
        <v>87766.9</v>
      </c>
      <c r="F194" s="36">
        <v>69994.320000000007</v>
      </c>
      <c r="G194" s="36">
        <v>117200.66</v>
      </c>
      <c r="H194" s="36">
        <v>97863.07</v>
      </c>
      <c r="I194" s="36">
        <f>253236.72-5181.15</f>
        <v>248055.57</v>
      </c>
      <c r="J194" s="36">
        <f>143793.27+80000-2125.8</f>
        <v>221667.47</v>
      </c>
      <c r="K194" s="36">
        <f>225765-20</f>
        <v>225745</v>
      </c>
      <c r="L194" s="36">
        <v>212584.79</v>
      </c>
      <c r="M194" s="48">
        <f>SUM(D194:L194)-232840.8</f>
        <v>1127164.21</v>
      </c>
      <c r="N194" s="21">
        <f>ROUND(M194/10000,2)</f>
        <v>112.72</v>
      </c>
      <c r="O194" s="48">
        <v>762156.83</v>
      </c>
      <c r="P194" s="51">
        <f>M194-O194</f>
        <v>365007.38</v>
      </c>
      <c r="Q194" s="21">
        <f>VLOOKUP(B194,[1]Sheet1!$B$3:$E$53,4,0)+18</f>
        <v>80</v>
      </c>
      <c r="R194" s="21">
        <f>(M194-M195-M196-M197-M198-M199)/10000</f>
        <v>85.087703000000019</v>
      </c>
      <c r="S194" s="15">
        <f>R194/Q194</f>
        <v>1.0635962875000002</v>
      </c>
      <c r="T194" s="18">
        <f>R194-Q194</f>
        <v>5.087703000000019</v>
      </c>
      <c r="U194" s="67"/>
      <c r="V194" s="71"/>
      <c r="W194" s="67">
        <f>T194*0.05*10000+1000</f>
        <v>3543.8515000000093</v>
      </c>
    </row>
    <row r="195" spans="1:23" ht="20.100000000000001" customHeight="1" x14ac:dyDescent="0.15">
      <c r="A195" s="77"/>
      <c r="B195" s="2" t="s">
        <v>7</v>
      </c>
      <c r="C195" s="4" t="s">
        <v>99</v>
      </c>
      <c r="D195" s="36">
        <v>3165.71</v>
      </c>
      <c r="E195" s="36">
        <v>3510.68</v>
      </c>
      <c r="F195" s="36">
        <v>2799.77</v>
      </c>
      <c r="G195" s="36">
        <v>4688.03</v>
      </c>
      <c r="H195" s="36">
        <v>3914.52</v>
      </c>
      <c r="I195" s="36">
        <v>10129.469999999999</v>
      </c>
      <c r="J195" s="36">
        <v>8951.73</v>
      </c>
      <c r="K195" s="36">
        <v>9030.6</v>
      </c>
      <c r="L195" s="36">
        <v>8503.39</v>
      </c>
      <c r="M195" s="48">
        <f t="shared" si="26"/>
        <v>54693.9</v>
      </c>
      <c r="N195" s="15">
        <f>M195/M194</f>
        <v>4.8523453383957256E-2</v>
      </c>
      <c r="O195" s="48">
        <v>30590.3</v>
      </c>
      <c r="P195" s="50">
        <f>O195/O194</f>
        <v>4.0136490018727509E-2</v>
      </c>
      <c r="Q195" s="18"/>
      <c r="R195" s="15"/>
      <c r="S195" s="15"/>
      <c r="T195" s="18"/>
      <c r="U195" s="67"/>
      <c r="V195" s="71"/>
      <c r="W195" s="50"/>
    </row>
    <row r="196" spans="1:23" ht="20.100000000000001" customHeight="1" x14ac:dyDescent="0.15">
      <c r="A196" s="77"/>
      <c r="B196" s="2" t="s">
        <v>7</v>
      </c>
      <c r="C196" s="4" t="s">
        <v>100</v>
      </c>
      <c r="D196" s="36">
        <v>33864.25</v>
      </c>
      <c r="E196" s="36">
        <v>28523.41</v>
      </c>
      <c r="F196" s="36">
        <v>19155.82</v>
      </c>
      <c r="G196" s="36">
        <v>15872.99</v>
      </c>
      <c r="H196" s="36">
        <v>16878</v>
      </c>
      <c r="I196" s="36">
        <v>20328.419999999998</v>
      </c>
      <c r="J196" s="36">
        <v>17741.439999999999</v>
      </c>
      <c r="K196" s="36">
        <v>30219.03</v>
      </c>
      <c r="L196" s="36">
        <v>25128.85</v>
      </c>
      <c r="M196" s="48">
        <f t="shared" si="26"/>
        <v>207712.21000000002</v>
      </c>
      <c r="N196" s="15">
        <f>M196/M194</f>
        <v>0.18427857108770337</v>
      </c>
      <c r="O196" s="48">
        <v>186784.94</v>
      </c>
      <c r="P196" s="50">
        <f>O196/O194</f>
        <v>0.24507415357020421</v>
      </c>
      <c r="Q196" s="18"/>
      <c r="R196" s="15"/>
      <c r="S196" s="15"/>
      <c r="T196" s="18"/>
      <c r="U196" s="67"/>
      <c r="V196" s="71"/>
      <c r="W196" s="50"/>
    </row>
    <row r="197" spans="1:23" s="12" customFormat="1" ht="20.100000000000001" customHeight="1" x14ac:dyDescent="0.15">
      <c r="A197" s="77"/>
      <c r="B197" s="2" t="s">
        <v>7</v>
      </c>
      <c r="C197" s="4" t="s">
        <v>95</v>
      </c>
      <c r="D197" s="22">
        <v>300</v>
      </c>
      <c r="E197" s="22">
        <v>0</v>
      </c>
      <c r="F197" s="22">
        <v>591.58000000000004</v>
      </c>
      <c r="G197" s="24">
        <v>3742.26</v>
      </c>
      <c r="H197" s="33">
        <v>2562.2800000000002</v>
      </c>
      <c r="I197" s="22">
        <v>756.72</v>
      </c>
      <c r="J197" s="22">
        <v>290</v>
      </c>
      <c r="K197" s="24">
        <v>1200</v>
      </c>
      <c r="L197" s="24">
        <v>4438.2299999999996</v>
      </c>
      <c r="M197" s="36">
        <f t="shared" ref="M197:M199" si="28">D197+E197+F197+G197+H197+I197+J197+K197+L197</f>
        <v>13881.07</v>
      </c>
      <c r="N197" s="15">
        <f>M197/M194</f>
        <v>1.2315037930453807E-2</v>
      </c>
      <c r="O197" s="48">
        <v>12607.22</v>
      </c>
      <c r="P197" s="50">
        <f>O197/O194</f>
        <v>1.6541503669264501E-2</v>
      </c>
      <c r="Q197" s="18"/>
      <c r="R197" s="15"/>
      <c r="S197" s="15"/>
      <c r="T197" s="18"/>
      <c r="U197" s="67"/>
      <c r="V197" s="71"/>
      <c r="W197" s="62"/>
    </row>
    <row r="198" spans="1:23" s="12" customFormat="1" ht="20.100000000000001" customHeight="1" x14ac:dyDescent="0.15">
      <c r="A198" s="77"/>
      <c r="B198" s="2" t="s">
        <v>7</v>
      </c>
      <c r="C198" s="4" t="s">
        <v>96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48">
        <f t="shared" si="28"/>
        <v>0</v>
      </c>
      <c r="N198" s="15">
        <f>M198/M194</f>
        <v>0</v>
      </c>
      <c r="O198" s="48">
        <v>3418.81</v>
      </c>
      <c r="P198" s="50">
        <f>O198/O194</f>
        <v>4.4857040774665758E-3</v>
      </c>
      <c r="Q198" s="18"/>
      <c r="R198" s="15"/>
      <c r="S198" s="15"/>
      <c r="T198" s="18"/>
      <c r="U198" s="67"/>
      <c r="V198" s="71"/>
      <c r="W198" s="62"/>
    </row>
    <row r="199" spans="1:23" s="12" customFormat="1" ht="20.100000000000001" customHeight="1" x14ac:dyDescent="0.15">
      <c r="A199" s="77"/>
      <c r="B199" s="2" t="s">
        <v>7</v>
      </c>
      <c r="C199" s="4" t="s">
        <v>70</v>
      </c>
      <c r="D199" s="22"/>
      <c r="E199" s="22"/>
      <c r="F199" s="22"/>
      <c r="G199" s="22"/>
      <c r="H199" s="31"/>
      <c r="I199" s="22"/>
      <c r="J199" s="22"/>
      <c r="K199" s="22"/>
      <c r="L199" s="22"/>
      <c r="M199" s="48">
        <f t="shared" si="28"/>
        <v>0</v>
      </c>
      <c r="N199" s="15">
        <f>M199/M194</f>
        <v>0</v>
      </c>
      <c r="O199" s="48">
        <v>0</v>
      </c>
      <c r="P199" s="50">
        <f>O199/O194</f>
        <v>0</v>
      </c>
      <c r="Q199" s="18"/>
      <c r="R199" s="15"/>
      <c r="S199" s="15"/>
      <c r="T199" s="18"/>
      <c r="U199" s="67"/>
      <c r="V199" s="72"/>
      <c r="W199" s="62"/>
    </row>
    <row r="200" spans="1:23" ht="20.100000000000001" customHeight="1" x14ac:dyDescent="0.15">
      <c r="A200" s="77"/>
      <c r="B200" s="2" t="s">
        <v>8</v>
      </c>
      <c r="C200" s="4" t="s">
        <v>21</v>
      </c>
      <c r="D200" s="36">
        <v>10150</v>
      </c>
      <c r="E200" s="36">
        <f>25300-2302.2+400</f>
        <v>23397.8</v>
      </c>
      <c r="F200" s="22">
        <v>0</v>
      </c>
      <c r="G200" s="22">
        <v>0</v>
      </c>
      <c r="H200" s="36">
        <v>9614</v>
      </c>
      <c r="I200" s="36">
        <v>78885</v>
      </c>
      <c r="J200" s="36">
        <v>21536</v>
      </c>
      <c r="K200" s="22">
        <v>0</v>
      </c>
      <c r="L200" s="36">
        <v>17300</v>
      </c>
      <c r="M200" s="48">
        <f t="shared" si="26"/>
        <v>160882.79999999999</v>
      </c>
      <c r="N200" s="21">
        <f>ROUND(M200/10000,2)</f>
        <v>16.09</v>
      </c>
      <c r="O200" s="48">
        <v>132271</v>
      </c>
      <c r="P200" s="51">
        <f>M200-O200</f>
        <v>28611.799999999988</v>
      </c>
      <c r="Q200" s="21">
        <f>VLOOKUP(B200,[1]Sheet1!$B$3:$E$53,4,0)</f>
        <v>11</v>
      </c>
      <c r="R200" s="21">
        <f>(M200-M201-M202-M203-M204-M205)/10000</f>
        <v>11.533776999999997</v>
      </c>
      <c r="S200" s="15">
        <f>R200/Q200</f>
        <v>1.0485251818181816</v>
      </c>
      <c r="T200" s="18">
        <f>R200-Q200</f>
        <v>0.53377699999999706</v>
      </c>
      <c r="U200" s="67"/>
      <c r="V200" s="44"/>
      <c r="W200" s="50"/>
    </row>
    <row r="201" spans="1:23" ht="20.100000000000001" customHeight="1" x14ac:dyDescent="0.15">
      <c r="A201" s="77"/>
      <c r="B201" s="2" t="s">
        <v>8</v>
      </c>
      <c r="C201" s="4" t="s">
        <v>22</v>
      </c>
      <c r="D201" s="36">
        <v>406.2</v>
      </c>
      <c r="E201" s="36">
        <v>1012</v>
      </c>
      <c r="F201" s="22">
        <v>0</v>
      </c>
      <c r="G201" s="22">
        <v>0</v>
      </c>
      <c r="H201" s="36">
        <v>840</v>
      </c>
      <c r="I201" s="36">
        <v>3179</v>
      </c>
      <c r="J201" s="36">
        <v>861</v>
      </c>
      <c r="K201" s="22">
        <v>0</v>
      </c>
      <c r="L201" s="36">
        <v>692</v>
      </c>
      <c r="M201" s="48">
        <f t="shared" si="26"/>
        <v>6990.2</v>
      </c>
      <c r="N201" s="15">
        <f>M201/M200</f>
        <v>4.3449020031973588E-2</v>
      </c>
      <c r="O201" s="48">
        <v>5715.46</v>
      </c>
      <c r="P201" s="50">
        <f>O201/O200</f>
        <v>4.3210227487506712E-2</v>
      </c>
      <c r="Q201" s="18"/>
      <c r="R201" s="15"/>
      <c r="S201" s="15"/>
      <c r="T201" s="18"/>
      <c r="U201" s="67"/>
      <c r="V201" s="30"/>
      <c r="W201" s="50"/>
    </row>
    <row r="202" spans="1:23" ht="20.100000000000001" customHeight="1" x14ac:dyDescent="0.15">
      <c r="A202" s="77"/>
      <c r="B202" s="2" t="s">
        <v>8</v>
      </c>
      <c r="C202" s="4" t="s">
        <v>100</v>
      </c>
      <c r="D202" s="36">
        <v>4901.33</v>
      </c>
      <c r="E202" s="36">
        <v>6120.2</v>
      </c>
      <c r="F202" s="22">
        <v>0</v>
      </c>
      <c r="G202" s="22">
        <v>0</v>
      </c>
      <c r="H202" s="36">
        <v>7535</v>
      </c>
      <c r="I202" s="36">
        <v>2508</v>
      </c>
      <c r="J202" s="36">
        <v>5213</v>
      </c>
      <c r="K202" s="22">
        <v>0</v>
      </c>
      <c r="L202" s="36">
        <v>8178</v>
      </c>
      <c r="M202" s="48">
        <f>SUM(D202:L202)</f>
        <v>34455.53</v>
      </c>
      <c r="N202" s="15">
        <f>M202/M200</f>
        <v>0.21416540487858243</v>
      </c>
      <c r="O202" s="48">
        <v>34340.31</v>
      </c>
      <c r="P202" s="50">
        <f>O202/O200</f>
        <v>0.2596208541554838</v>
      </c>
      <c r="Q202" s="18"/>
      <c r="R202" s="15"/>
      <c r="S202" s="15"/>
      <c r="T202" s="18"/>
      <c r="U202" s="67"/>
      <c r="V202" s="30"/>
      <c r="W202" s="50"/>
    </row>
    <row r="203" spans="1:23" s="12" customFormat="1" ht="20.100000000000001" customHeight="1" x14ac:dyDescent="0.15">
      <c r="A203" s="77"/>
      <c r="B203" s="2" t="s">
        <v>8</v>
      </c>
      <c r="C203" s="4" t="s">
        <v>68</v>
      </c>
      <c r="D203" s="22">
        <v>36.799999999999997</v>
      </c>
      <c r="E203" s="22">
        <v>592.5</v>
      </c>
      <c r="F203" s="22">
        <v>0</v>
      </c>
      <c r="G203" s="22">
        <v>0</v>
      </c>
      <c r="H203" s="33">
        <v>2200</v>
      </c>
      <c r="I203" s="22">
        <v>500</v>
      </c>
      <c r="J203" s="22">
        <v>730</v>
      </c>
      <c r="K203" s="22">
        <v>40</v>
      </c>
      <c r="L203" s="22">
        <v>0</v>
      </c>
      <c r="M203" s="36">
        <f t="shared" ref="M203:M205" si="29">D203+E203+F203+G203+H203+I203+J203+K203+L203</f>
        <v>4099.3</v>
      </c>
      <c r="N203" s="15">
        <f>M203/M200</f>
        <v>2.5480038885449537E-2</v>
      </c>
      <c r="O203" s="48">
        <v>4787.46</v>
      </c>
      <c r="P203" s="50">
        <f>O203/O200</f>
        <v>3.6194328310816433E-2</v>
      </c>
      <c r="Q203" s="18"/>
      <c r="R203" s="15"/>
      <c r="S203" s="15"/>
      <c r="T203" s="18"/>
      <c r="U203" s="67"/>
      <c r="V203" s="45"/>
      <c r="W203" s="62"/>
    </row>
    <row r="204" spans="1:23" s="12" customFormat="1" ht="20.100000000000001" customHeight="1" x14ac:dyDescent="0.15">
      <c r="A204" s="77"/>
      <c r="B204" s="2" t="s">
        <v>8</v>
      </c>
      <c r="C204" s="4" t="s">
        <v>69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48">
        <f t="shared" si="29"/>
        <v>0</v>
      </c>
      <c r="N204" s="15">
        <f>M204/M200</f>
        <v>0</v>
      </c>
      <c r="O204" s="48">
        <v>8675.94</v>
      </c>
      <c r="P204" s="50">
        <f>O204/O200</f>
        <v>6.5592155498937793E-2</v>
      </c>
      <c r="Q204" s="18"/>
      <c r="R204" s="15"/>
      <c r="S204" s="15"/>
      <c r="T204" s="18"/>
      <c r="U204" s="67"/>
      <c r="V204" s="45"/>
      <c r="W204" s="62"/>
    </row>
    <row r="205" spans="1:23" s="12" customFormat="1" ht="20.100000000000001" customHeight="1" x14ac:dyDescent="0.15">
      <c r="A205" s="77"/>
      <c r="B205" s="2" t="s">
        <v>8</v>
      </c>
      <c r="C205" s="4" t="s">
        <v>70</v>
      </c>
      <c r="D205" s="22"/>
      <c r="E205" s="22"/>
      <c r="F205" s="22"/>
      <c r="G205" s="22"/>
      <c r="H205" s="31"/>
      <c r="I205" s="22"/>
      <c r="J205" s="22"/>
      <c r="K205" s="22"/>
      <c r="L205" s="22"/>
      <c r="M205" s="48">
        <f t="shared" si="29"/>
        <v>0</v>
      </c>
      <c r="N205" s="15">
        <f>M205/M200</f>
        <v>0</v>
      </c>
      <c r="O205" s="48">
        <v>0</v>
      </c>
      <c r="P205" s="50">
        <f>O205/O200</f>
        <v>0</v>
      </c>
      <c r="Q205" s="18"/>
      <c r="R205" s="15"/>
      <c r="S205" s="15"/>
      <c r="T205" s="18"/>
      <c r="U205" s="67"/>
      <c r="V205" s="45"/>
      <c r="W205" s="62"/>
    </row>
    <row r="206" spans="1:23" ht="20.100000000000001" customHeight="1" x14ac:dyDescent="0.15">
      <c r="A206" s="77"/>
      <c r="B206" s="13" t="s">
        <v>105</v>
      </c>
      <c r="C206" s="4" t="s">
        <v>21</v>
      </c>
      <c r="D206" s="36">
        <v>0</v>
      </c>
      <c r="E206" s="36">
        <v>46580</v>
      </c>
      <c r="F206" s="36">
        <v>0</v>
      </c>
      <c r="G206" s="36">
        <v>0</v>
      </c>
      <c r="H206" s="36">
        <v>61340</v>
      </c>
      <c r="I206" s="36">
        <v>33870</v>
      </c>
      <c r="J206" s="36">
        <v>0</v>
      </c>
      <c r="K206" s="36">
        <v>0</v>
      </c>
      <c r="L206" s="22">
        <v>44650</v>
      </c>
      <c r="M206" s="48">
        <f t="shared" si="26"/>
        <v>186440</v>
      </c>
      <c r="N206" s="21">
        <f>ROUND(M206/10000,2)</f>
        <v>18.64</v>
      </c>
      <c r="O206" s="48">
        <v>105540</v>
      </c>
      <c r="P206" s="51">
        <f>M206-O206</f>
        <v>80900</v>
      </c>
      <c r="Q206" s="21">
        <v>8</v>
      </c>
      <c r="R206" s="21">
        <f>(M206-M207-M208-M209-M210-M211)/10000</f>
        <v>12.692430999999999</v>
      </c>
      <c r="S206" s="15">
        <f>R206/Q206</f>
        <v>1.5865538749999999</v>
      </c>
      <c r="T206" s="18">
        <f>R206-Q206</f>
        <v>4.6924309999999991</v>
      </c>
      <c r="U206" s="67"/>
      <c r="V206" s="44"/>
      <c r="W206" s="50"/>
    </row>
    <row r="207" spans="1:23" ht="20.100000000000001" customHeight="1" x14ac:dyDescent="0.15">
      <c r="A207" s="77"/>
      <c r="B207" s="13" t="s">
        <v>105</v>
      </c>
      <c r="C207" s="4" t="s">
        <v>22</v>
      </c>
      <c r="D207" s="36">
        <v>0</v>
      </c>
      <c r="E207" s="36">
        <v>1410.4</v>
      </c>
      <c r="F207" s="36">
        <v>0</v>
      </c>
      <c r="G207" s="36">
        <v>0</v>
      </c>
      <c r="H207" s="36">
        <v>1965.2</v>
      </c>
      <c r="I207" s="36">
        <v>1000</v>
      </c>
      <c r="J207" s="36">
        <v>0</v>
      </c>
      <c r="K207" s="36">
        <v>0</v>
      </c>
      <c r="L207" s="22">
        <v>1400</v>
      </c>
      <c r="M207" s="48">
        <f t="shared" si="26"/>
        <v>5775.6</v>
      </c>
      <c r="N207" s="15">
        <f>M207/M206</f>
        <v>3.0978330830293929E-2</v>
      </c>
      <c r="O207" s="48">
        <v>3600</v>
      </c>
      <c r="P207" s="50">
        <f>O207/O206</f>
        <v>3.4110289937464469E-2</v>
      </c>
      <c r="Q207" s="18"/>
      <c r="R207" s="15"/>
      <c r="S207" s="15"/>
      <c r="T207" s="18"/>
      <c r="U207" s="67"/>
      <c r="V207" s="30"/>
      <c r="W207" s="50"/>
    </row>
    <row r="208" spans="1:23" ht="20.100000000000001" customHeight="1" x14ac:dyDescent="0.15">
      <c r="A208" s="77"/>
      <c r="B208" s="13" t="s">
        <v>105</v>
      </c>
      <c r="C208" s="4" t="s">
        <v>23</v>
      </c>
      <c r="D208" s="36">
        <v>0</v>
      </c>
      <c r="E208" s="36">
        <v>19312.2</v>
      </c>
      <c r="F208" s="36">
        <v>0</v>
      </c>
      <c r="G208" s="36">
        <v>0</v>
      </c>
      <c r="H208" s="36">
        <v>12004.8</v>
      </c>
      <c r="I208" s="36">
        <v>7878.4</v>
      </c>
      <c r="J208" s="36">
        <v>0</v>
      </c>
      <c r="K208" s="36">
        <v>0</v>
      </c>
      <c r="L208" s="22">
        <v>12311.2</v>
      </c>
      <c r="M208" s="48">
        <f t="shared" si="26"/>
        <v>51506.600000000006</v>
      </c>
      <c r="N208" s="15">
        <f>M208/M206</f>
        <v>0.27626367732246304</v>
      </c>
      <c r="O208" s="48">
        <v>30784</v>
      </c>
      <c r="P208" s="50">
        <f>O208/O206</f>
        <v>0.29168087928747394</v>
      </c>
      <c r="Q208" s="18"/>
      <c r="R208" s="15"/>
      <c r="S208" s="15"/>
      <c r="T208" s="18"/>
      <c r="U208" s="67"/>
      <c r="V208" s="30"/>
      <c r="W208" s="50"/>
    </row>
    <row r="209" spans="1:23" s="12" customFormat="1" ht="20.100000000000001" customHeight="1" x14ac:dyDescent="0.15">
      <c r="A209" s="77"/>
      <c r="B209" s="13" t="s">
        <v>105</v>
      </c>
      <c r="C209" s="4" t="s">
        <v>68</v>
      </c>
      <c r="D209" s="22">
        <v>79.34</v>
      </c>
      <c r="E209" s="22">
        <v>33.44</v>
      </c>
      <c r="F209" s="22">
        <v>432</v>
      </c>
      <c r="G209" s="22">
        <v>0</v>
      </c>
      <c r="H209" s="31">
        <v>0</v>
      </c>
      <c r="I209" s="22">
        <v>497.42</v>
      </c>
      <c r="J209" s="22">
        <v>475</v>
      </c>
      <c r="K209" s="22">
        <v>297.76</v>
      </c>
      <c r="L209" s="22">
        <v>418.53</v>
      </c>
      <c r="M209" s="36">
        <f t="shared" ref="M209:M211" si="30">D209+E209+F209+G209+H209+I209+J209+K209+L209</f>
        <v>2233.4899999999998</v>
      </c>
      <c r="N209" s="15">
        <f>M209/M206</f>
        <v>1.1979671744260886E-2</v>
      </c>
      <c r="O209" s="48">
        <v>6555.76</v>
      </c>
      <c r="P209" s="50">
        <f>O209/O206</f>
        <v>6.2116353989008909E-2</v>
      </c>
      <c r="Q209" s="18"/>
      <c r="R209" s="15"/>
      <c r="S209" s="15"/>
      <c r="T209" s="18"/>
      <c r="U209" s="67"/>
      <c r="V209" s="45"/>
      <c r="W209" s="62"/>
    </row>
    <row r="210" spans="1:23" s="12" customFormat="1" ht="20.100000000000001" customHeight="1" x14ac:dyDescent="0.15">
      <c r="A210" s="77"/>
      <c r="B210" s="13" t="s">
        <v>105</v>
      </c>
      <c r="C210" s="4" t="s">
        <v>69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48">
        <f t="shared" si="30"/>
        <v>0</v>
      </c>
      <c r="N210" s="15">
        <f>M210/M206</f>
        <v>0</v>
      </c>
      <c r="O210" s="48">
        <v>0</v>
      </c>
      <c r="P210" s="50">
        <f>O210/O206</f>
        <v>0</v>
      </c>
      <c r="Q210" s="18"/>
      <c r="R210" s="15"/>
      <c r="S210" s="15"/>
      <c r="T210" s="18"/>
      <c r="U210" s="67"/>
      <c r="V210" s="45"/>
      <c r="W210" s="62"/>
    </row>
    <row r="211" spans="1:23" s="12" customFormat="1" ht="20.100000000000001" customHeight="1" x14ac:dyDescent="0.15">
      <c r="A211" s="77"/>
      <c r="B211" s="13" t="s">
        <v>105</v>
      </c>
      <c r="C211" s="4" t="s">
        <v>70</v>
      </c>
      <c r="D211" s="22"/>
      <c r="E211" s="22"/>
      <c r="F211" s="22"/>
      <c r="G211" s="22"/>
      <c r="H211" s="31"/>
      <c r="I211" s="22"/>
      <c r="J211" s="22"/>
      <c r="K211" s="22"/>
      <c r="L211" s="22"/>
      <c r="M211" s="48">
        <f t="shared" si="30"/>
        <v>0</v>
      </c>
      <c r="N211" s="15">
        <f>M211/M206</f>
        <v>0</v>
      </c>
      <c r="O211" s="48">
        <v>0</v>
      </c>
      <c r="P211" s="50">
        <f>O211/O206</f>
        <v>0</v>
      </c>
      <c r="Q211" s="18"/>
      <c r="R211" s="15"/>
      <c r="S211" s="15"/>
      <c r="T211" s="18"/>
      <c r="U211" s="67"/>
      <c r="V211" s="45"/>
      <c r="W211" s="62"/>
    </row>
    <row r="212" spans="1:23" ht="20.100000000000001" customHeight="1" x14ac:dyDescent="0.15">
      <c r="A212" s="77"/>
      <c r="B212" s="2" t="s">
        <v>15</v>
      </c>
      <c r="C212" s="4" t="s">
        <v>21</v>
      </c>
      <c r="D212" s="36">
        <v>118250.83</v>
      </c>
      <c r="E212" s="36">
        <v>164630.04</v>
      </c>
      <c r="F212" s="36">
        <v>147791.6</v>
      </c>
      <c r="G212" s="36">
        <v>166151.75</v>
      </c>
      <c r="H212" s="36">
        <v>135237.29</v>
      </c>
      <c r="I212" s="36">
        <v>236528.81</v>
      </c>
      <c r="J212" s="36">
        <v>148818.12</v>
      </c>
      <c r="K212" s="22">
        <v>164318.45000000001</v>
      </c>
      <c r="L212" s="22">
        <v>164993.45000000001</v>
      </c>
      <c r="M212" s="48">
        <f>SUM(D212:L212)</f>
        <v>1446720.3399999999</v>
      </c>
      <c r="N212" s="21">
        <f>ROUND(M212/10000,2)</f>
        <v>144.66999999999999</v>
      </c>
      <c r="O212" s="48">
        <v>1318154.95</v>
      </c>
      <c r="P212" s="51">
        <f>M212-O212</f>
        <v>128565.3899999999</v>
      </c>
      <c r="Q212" s="21">
        <f>VLOOKUP(B212,[1]Sheet1!$B$3:$E$53,4,0)</f>
        <v>100</v>
      </c>
      <c r="R212" s="21">
        <f>(M212-M213-M214-M215-M216-M217)/10000</f>
        <v>89.924140999999977</v>
      </c>
      <c r="S212" s="15">
        <f>R212/Q212</f>
        <v>0.8992414099999998</v>
      </c>
      <c r="T212" s="18">
        <f>R212-Q212</f>
        <v>-10.075859000000023</v>
      </c>
      <c r="U212" s="67">
        <f>IF((T212+T218)&gt;0,2000+(T212+T218)*0.05*10000,0)</f>
        <v>0</v>
      </c>
      <c r="V212" s="70" t="s">
        <v>148</v>
      </c>
      <c r="W212" s="50"/>
    </row>
    <row r="213" spans="1:23" ht="20.100000000000001" customHeight="1" x14ac:dyDescent="0.15">
      <c r="A213" s="77"/>
      <c r="B213" s="2" t="s">
        <v>15</v>
      </c>
      <c r="C213" s="4" t="s">
        <v>22</v>
      </c>
      <c r="D213" s="36">
        <v>17737.62</v>
      </c>
      <c r="E213" s="36">
        <v>9705.16</v>
      </c>
      <c r="F213" s="36">
        <v>22168.74</v>
      </c>
      <c r="G213" s="36">
        <v>24922.76</v>
      </c>
      <c r="H213" s="36">
        <v>7269.06</v>
      </c>
      <c r="I213" s="36">
        <v>30657.96</v>
      </c>
      <c r="J213" s="36">
        <v>16546.919999999998</v>
      </c>
      <c r="K213" s="22">
        <v>18328.2</v>
      </c>
      <c r="L213" s="22">
        <v>12512.64</v>
      </c>
      <c r="M213" s="48">
        <f>SUM(D213:L213)</f>
        <v>159849.06</v>
      </c>
      <c r="N213" s="15">
        <f>M213/M212</f>
        <v>0.11049064257989212</v>
      </c>
      <c r="O213" s="48">
        <v>147102.91</v>
      </c>
      <c r="P213" s="50">
        <f>O213/O212</f>
        <v>0.11159758570113476</v>
      </c>
      <c r="Q213" s="18"/>
      <c r="R213" s="15"/>
      <c r="S213" s="15"/>
      <c r="T213" s="18"/>
      <c r="U213" s="67"/>
      <c r="V213" s="71"/>
      <c r="W213" s="50"/>
    </row>
    <row r="214" spans="1:23" ht="20.25" customHeight="1" x14ac:dyDescent="0.15">
      <c r="A214" s="77"/>
      <c r="B214" s="2" t="s">
        <v>15</v>
      </c>
      <c r="C214" s="4" t="s">
        <v>23</v>
      </c>
      <c r="D214" s="36">
        <v>0</v>
      </c>
      <c r="E214" s="36">
        <v>99929.03</v>
      </c>
      <c r="F214" s="22">
        <v>0</v>
      </c>
      <c r="G214" s="22">
        <v>0</v>
      </c>
      <c r="H214" s="36">
        <v>86776.89</v>
      </c>
      <c r="I214" s="36">
        <v>32142.37</v>
      </c>
      <c r="J214" s="36">
        <v>38505.339999999997</v>
      </c>
      <c r="K214" s="22">
        <v>42130.42</v>
      </c>
      <c r="L214" s="22">
        <v>81575.899999999994</v>
      </c>
      <c r="M214" s="48">
        <f>SUM(D214:L214)</f>
        <v>381059.94999999995</v>
      </c>
      <c r="N214" s="15">
        <f>M214/M212</f>
        <v>0.26339572304623848</v>
      </c>
      <c r="O214" s="48">
        <v>337468.98</v>
      </c>
      <c r="P214" s="50">
        <f>O214/O212</f>
        <v>0.2560161686605964</v>
      </c>
      <c r="Q214" s="18"/>
      <c r="R214" s="15"/>
      <c r="S214" s="15"/>
      <c r="T214" s="18"/>
      <c r="U214" s="67"/>
      <c r="V214" s="71"/>
      <c r="W214" s="50"/>
    </row>
    <row r="215" spans="1:23" s="12" customFormat="1" ht="20.100000000000001" customHeight="1" x14ac:dyDescent="0.15">
      <c r="A215" s="77"/>
      <c r="B215" s="2" t="s">
        <v>15</v>
      </c>
      <c r="C215" s="4" t="s">
        <v>68</v>
      </c>
      <c r="D215" s="24">
        <v>1085.48</v>
      </c>
      <c r="E215" s="22">
        <v>192.06</v>
      </c>
      <c r="F215" s="22">
        <v>176.61</v>
      </c>
      <c r="G215" s="22">
        <v>509.03</v>
      </c>
      <c r="H215" s="31">
        <v>307.82</v>
      </c>
      <c r="I215" s="22">
        <v>2021.85</v>
      </c>
      <c r="J215" s="40">
        <v>624.28</v>
      </c>
      <c r="K215" s="22">
        <v>0</v>
      </c>
      <c r="L215" s="24">
        <v>1652.79</v>
      </c>
      <c r="M215" s="36">
        <f t="shared" ref="M215:M217" si="31">D215+E215+F215+G215+H215+I215+J215+K215+L215</f>
        <v>6569.92</v>
      </c>
      <c r="N215" s="15">
        <f>M215/M212</f>
        <v>4.5412508681532751E-3</v>
      </c>
      <c r="O215" s="48">
        <v>5459.78</v>
      </c>
      <c r="P215" s="50">
        <f>O215/O212</f>
        <v>4.1419864940764363E-3</v>
      </c>
      <c r="Q215" s="18"/>
      <c r="R215" s="15"/>
      <c r="S215" s="15"/>
      <c r="T215" s="18"/>
      <c r="U215" s="67"/>
      <c r="V215" s="71"/>
      <c r="W215" s="62"/>
    </row>
    <row r="216" spans="1:23" s="12" customFormat="1" ht="20.100000000000001" customHeight="1" x14ac:dyDescent="0.15">
      <c r="A216" s="77"/>
      <c r="B216" s="2" t="s">
        <v>15</v>
      </c>
      <c r="C216" s="4" t="s">
        <v>69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48">
        <f t="shared" si="31"/>
        <v>0</v>
      </c>
      <c r="N216" s="15">
        <f>M216/M212</f>
        <v>0</v>
      </c>
      <c r="O216" s="48">
        <v>0</v>
      </c>
      <c r="P216" s="50">
        <f>O216/O212</f>
        <v>0</v>
      </c>
      <c r="Q216" s="18"/>
      <c r="R216" s="15"/>
      <c r="S216" s="15"/>
      <c r="T216" s="18"/>
      <c r="U216" s="67"/>
      <c r="V216" s="71"/>
      <c r="W216" s="62"/>
    </row>
    <row r="217" spans="1:23" s="12" customFormat="1" ht="20.100000000000001" customHeight="1" x14ac:dyDescent="0.15">
      <c r="A217" s="77"/>
      <c r="B217" s="2" t="s">
        <v>15</v>
      </c>
      <c r="C217" s="4" t="s">
        <v>70</v>
      </c>
      <c r="D217" s="22"/>
      <c r="E217" s="22"/>
      <c r="F217" s="22"/>
      <c r="G217" s="22"/>
      <c r="H217" s="31"/>
      <c r="I217" s="22"/>
      <c r="J217" s="22"/>
      <c r="K217" s="22"/>
      <c r="L217" s="22"/>
      <c r="M217" s="48">
        <f t="shared" si="31"/>
        <v>0</v>
      </c>
      <c r="N217" s="15">
        <f>M217/M212</f>
        <v>0</v>
      </c>
      <c r="O217" s="48">
        <v>0</v>
      </c>
      <c r="P217" s="50">
        <f>O217/O212</f>
        <v>0</v>
      </c>
      <c r="Q217" s="18"/>
      <c r="R217" s="15"/>
      <c r="S217" s="15"/>
      <c r="T217" s="18"/>
      <c r="U217" s="67"/>
      <c r="V217" s="71"/>
      <c r="W217" s="62"/>
    </row>
    <row r="218" spans="1:23" ht="20.100000000000001" customHeight="1" x14ac:dyDescent="0.15">
      <c r="A218" s="77"/>
      <c r="B218" s="2" t="s">
        <v>51</v>
      </c>
      <c r="C218" s="4" t="s">
        <v>21</v>
      </c>
      <c r="D218" s="36">
        <v>108368.66</v>
      </c>
      <c r="E218" s="36">
        <v>70445.8</v>
      </c>
      <c r="F218" s="36">
        <v>75016.72</v>
      </c>
      <c r="G218" s="36">
        <v>79929.22</v>
      </c>
      <c r="H218" s="36">
        <v>37966.300000000003</v>
      </c>
      <c r="I218" s="36">
        <v>141162.6</v>
      </c>
      <c r="J218" s="36">
        <v>70784.95</v>
      </c>
      <c r="K218" s="36">
        <v>68741.16</v>
      </c>
      <c r="L218" s="36">
        <v>85967.15</v>
      </c>
      <c r="M218" s="48">
        <f>SUM(D218:L218)</f>
        <v>738382.56</v>
      </c>
      <c r="N218" s="21">
        <f>ROUND(M218/10000,2)</f>
        <v>73.84</v>
      </c>
      <c r="O218" s="48">
        <v>724225.56</v>
      </c>
      <c r="P218" s="51">
        <f>M218-O218</f>
        <v>14157</v>
      </c>
      <c r="Q218" s="21">
        <f>VLOOKUP(B218,[1]Sheet1!$B$3:$E$53,4,0)</f>
        <v>61</v>
      </c>
      <c r="R218" s="21">
        <f>(M218-M219-M220-M221-M222-M223)/10000</f>
        <v>54.790137000000009</v>
      </c>
      <c r="S218" s="15">
        <f>R218/Q218</f>
        <v>0.89819896721311487</v>
      </c>
      <c r="T218" s="18">
        <f>R218-Q218</f>
        <v>-6.2098629999999915</v>
      </c>
      <c r="U218" s="67"/>
      <c r="V218" s="71"/>
      <c r="W218" s="50"/>
    </row>
    <row r="219" spans="1:23" ht="20.100000000000001" customHeight="1" x14ac:dyDescent="0.15">
      <c r="A219" s="77"/>
      <c r="B219" s="2" t="s">
        <v>51</v>
      </c>
      <c r="C219" s="4" t="s">
        <v>22</v>
      </c>
      <c r="D219" s="36">
        <v>6502.12</v>
      </c>
      <c r="E219" s="36">
        <v>4226.75</v>
      </c>
      <c r="F219" s="36">
        <v>4501</v>
      </c>
      <c r="G219" s="36">
        <v>757</v>
      </c>
      <c r="H219" s="36">
        <v>2278</v>
      </c>
      <c r="I219" s="36">
        <v>6908.95</v>
      </c>
      <c r="J219" s="36">
        <v>4247.1000000000004</v>
      </c>
      <c r="K219" s="36">
        <v>3664.95</v>
      </c>
      <c r="L219" s="36">
        <v>2465</v>
      </c>
      <c r="M219" s="48">
        <f>SUM(D219:L219)</f>
        <v>35550.869999999995</v>
      </c>
      <c r="N219" s="15">
        <f>M219/M218</f>
        <v>4.8146952441563612E-2</v>
      </c>
      <c r="O219" s="48">
        <v>38721.769999999997</v>
      </c>
      <c r="P219" s="50">
        <f>O219/O218</f>
        <v>5.3466450424643937E-2</v>
      </c>
      <c r="Q219" s="18"/>
      <c r="R219" s="15"/>
      <c r="S219" s="15"/>
      <c r="T219" s="18"/>
      <c r="U219" s="67"/>
      <c r="V219" s="71"/>
      <c r="W219" s="50"/>
    </row>
    <row r="220" spans="1:23" ht="20.100000000000001" customHeight="1" x14ac:dyDescent="0.15">
      <c r="A220" s="77"/>
      <c r="B220" s="2" t="s">
        <v>51</v>
      </c>
      <c r="C220" s="4" t="s">
        <v>23</v>
      </c>
      <c r="D220" s="36">
        <v>0</v>
      </c>
      <c r="E220" s="36">
        <v>0</v>
      </c>
      <c r="F220" s="36">
        <v>0</v>
      </c>
      <c r="G220" s="36">
        <v>67313.210000000006</v>
      </c>
      <c r="H220" s="36">
        <v>3495.8</v>
      </c>
      <c r="I220" s="36">
        <v>26013.51</v>
      </c>
      <c r="J220" s="36">
        <v>0</v>
      </c>
      <c r="K220" s="36">
        <v>0</v>
      </c>
      <c r="L220" s="36">
        <v>44878.29</v>
      </c>
      <c r="M220" s="48">
        <f>SUM(D220:L220)</f>
        <v>141700.81</v>
      </c>
      <c r="N220" s="15">
        <f>M220/M218</f>
        <v>0.19190703799938069</v>
      </c>
      <c r="O220" s="48">
        <v>123943.62</v>
      </c>
      <c r="P220" s="50">
        <f>O220/O218</f>
        <v>0.17113952730417301</v>
      </c>
      <c r="Q220" s="18"/>
      <c r="R220" s="15"/>
      <c r="S220" s="15"/>
      <c r="T220" s="18"/>
      <c r="U220" s="67"/>
      <c r="V220" s="71"/>
      <c r="W220" s="50"/>
    </row>
    <row r="221" spans="1:23" s="12" customFormat="1" ht="20.100000000000001" customHeight="1" x14ac:dyDescent="0.15">
      <c r="A221" s="77"/>
      <c r="B221" s="2" t="s">
        <v>74</v>
      </c>
      <c r="C221" s="4" t="s">
        <v>68</v>
      </c>
      <c r="D221" s="24">
        <v>4623.33</v>
      </c>
      <c r="E221" s="22">
        <v>0</v>
      </c>
      <c r="F221" s="22">
        <v>910.02</v>
      </c>
      <c r="G221" s="24">
        <v>3155.92</v>
      </c>
      <c r="H221" s="33">
        <v>1366.23</v>
      </c>
      <c r="I221" s="24">
        <v>2358.6799999999998</v>
      </c>
      <c r="J221" s="24">
        <v>0</v>
      </c>
      <c r="K221" s="22">
        <v>200.85</v>
      </c>
      <c r="L221" s="22">
        <v>614.48</v>
      </c>
      <c r="M221" s="36">
        <f t="shared" ref="M221:M223" si="32">D221+E221+F221+G221+H221+I221+J221+K221+L221</f>
        <v>13229.51</v>
      </c>
      <c r="N221" s="15">
        <f>M221/M218</f>
        <v>1.7916877668399969E-2</v>
      </c>
      <c r="O221" s="48">
        <v>1993.1</v>
      </c>
      <c r="P221" s="50">
        <f>O221/O218</f>
        <v>2.7520431618016901E-3</v>
      </c>
      <c r="Q221" s="18"/>
      <c r="R221" s="15"/>
      <c r="S221" s="15"/>
      <c r="T221" s="18"/>
      <c r="U221" s="67"/>
      <c r="V221" s="71"/>
      <c r="W221" s="62"/>
    </row>
    <row r="222" spans="1:23" s="12" customFormat="1" ht="20.100000000000001" customHeight="1" x14ac:dyDescent="0.15">
      <c r="A222" s="77"/>
      <c r="B222" s="2" t="s">
        <v>74</v>
      </c>
      <c r="C222" s="4" t="s">
        <v>69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48">
        <f t="shared" si="32"/>
        <v>0</v>
      </c>
      <c r="N222" s="15">
        <f>M222/M218</f>
        <v>0</v>
      </c>
      <c r="O222" s="48">
        <v>0</v>
      </c>
      <c r="P222" s="50">
        <f>O222/O218</f>
        <v>0</v>
      </c>
      <c r="Q222" s="18"/>
      <c r="R222" s="15"/>
      <c r="S222" s="15"/>
      <c r="T222" s="18"/>
      <c r="U222" s="67"/>
      <c r="V222" s="71"/>
      <c r="W222" s="62"/>
    </row>
    <row r="223" spans="1:23" s="12" customFormat="1" ht="20.100000000000001" customHeight="1" x14ac:dyDescent="0.15">
      <c r="A223" s="77"/>
      <c r="B223" s="2" t="s">
        <v>74</v>
      </c>
      <c r="C223" s="4" t="s">
        <v>70</v>
      </c>
      <c r="D223" s="22"/>
      <c r="E223" s="22"/>
      <c r="F223" s="22"/>
      <c r="G223" s="22"/>
      <c r="H223" s="31"/>
      <c r="I223" s="22"/>
      <c r="J223" s="22"/>
      <c r="K223" s="22"/>
      <c r="L223" s="22"/>
      <c r="M223" s="48">
        <f t="shared" si="32"/>
        <v>0</v>
      </c>
      <c r="N223" s="15">
        <f>M223/M218</f>
        <v>0</v>
      </c>
      <c r="O223" s="48">
        <v>0</v>
      </c>
      <c r="P223" s="50">
        <f>O223/O218</f>
        <v>0</v>
      </c>
      <c r="Q223" s="18"/>
      <c r="R223" s="15"/>
      <c r="S223" s="15"/>
      <c r="T223" s="18"/>
      <c r="U223" s="67"/>
      <c r="V223" s="72"/>
      <c r="W223" s="62"/>
    </row>
    <row r="224" spans="1:23" ht="20.100000000000001" customHeight="1" x14ac:dyDescent="0.15">
      <c r="A224" s="77"/>
      <c r="B224" s="2" t="s">
        <v>17</v>
      </c>
      <c r="C224" s="4" t="s">
        <v>21</v>
      </c>
      <c r="D224" s="36">
        <v>61069.71</v>
      </c>
      <c r="E224" s="36">
        <v>177461.8</v>
      </c>
      <c r="F224" s="36">
        <v>151846.72</v>
      </c>
      <c r="G224" s="36">
        <v>173696.36</v>
      </c>
      <c r="H224" s="36">
        <v>135052.4</v>
      </c>
      <c r="I224" s="36">
        <v>245127.21</v>
      </c>
      <c r="J224" s="36">
        <v>190341.67</v>
      </c>
      <c r="K224" s="36">
        <v>166983.85</v>
      </c>
      <c r="L224" s="36">
        <v>176787.03</v>
      </c>
      <c r="M224" s="48">
        <f>SUM(D224:L224)</f>
        <v>1478366.75</v>
      </c>
      <c r="N224" s="21">
        <f>ROUND(M224/10000,2)</f>
        <v>147.84</v>
      </c>
      <c r="O224" s="48">
        <v>1346596.85</v>
      </c>
      <c r="P224" s="51">
        <f>M224-O224</f>
        <v>131769.89999999991</v>
      </c>
      <c r="Q224" s="21">
        <f>VLOOKUP(B224,[1]Sheet1!$B$3:$E$53,4,0)</f>
        <v>102</v>
      </c>
      <c r="R224" s="21">
        <f>(M224-M225-M226-M227-M228-M229)/10000</f>
        <v>112.18625400000001</v>
      </c>
      <c r="S224" s="15">
        <f>R224/Q224</f>
        <v>1.0998652352941176</v>
      </c>
      <c r="T224" s="18">
        <f>R224-Q224</f>
        <v>10.186254000000005</v>
      </c>
      <c r="U224" s="67">
        <f>IF((T224)&gt;0,2000+(T224)*0.05*10000,0)</f>
        <v>7093.1270000000031</v>
      </c>
      <c r="V224" s="70" t="s">
        <v>149</v>
      </c>
      <c r="W224" s="50"/>
    </row>
    <row r="225" spans="1:23" ht="20.100000000000001" customHeight="1" x14ac:dyDescent="0.15">
      <c r="A225" s="77"/>
      <c r="B225" s="2" t="s">
        <v>17</v>
      </c>
      <c r="C225" s="4" t="s">
        <v>22</v>
      </c>
      <c r="D225" s="36">
        <v>0</v>
      </c>
      <c r="E225" s="36">
        <v>15</v>
      </c>
      <c r="F225" s="36">
        <v>15</v>
      </c>
      <c r="G225" s="36">
        <v>15</v>
      </c>
      <c r="H225" s="36">
        <v>15</v>
      </c>
      <c r="I225" s="36">
        <v>15</v>
      </c>
      <c r="J225" s="36">
        <v>15</v>
      </c>
      <c r="K225" s="36">
        <v>15</v>
      </c>
      <c r="L225" s="36">
        <v>15</v>
      </c>
      <c r="M225" s="48">
        <f>SUM(D225:L225)</f>
        <v>120</v>
      </c>
      <c r="N225" s="15">
        <f>M225/M224</f>
        <v>8.117065673994629E-5</v>
      </c>
      <c r="O225" s="48">
        <v>120</v>
      </c>
      <c r="P225" s="50">
        <f>O225/O224</f>
        <v>8.9113530898278869E-5</v>
      </c>
      <c r="Q225" s="18"/>
      <c r="R225" s="15"/>
      <c r="S225" s="15"/>
      <c r="T225" s="18"/>
      <c r="U225" s="67"/>
      <c r="V225" s="71"/>
      <c r="W225" s="50"/>
    </row>
    <row r="226" spans="1:23" ht="20.100000000000001" customHeight="1" x14ac:dyDescent="0.15">
      <c r="A226" s="77"/>
      <c r="B226" s="2" t="s">
        <v>17</v>
      </c>
      <c r="C226" s="4" t="s">
        <v>23</v>
      </c>
      <c r="D226" s="36">
        <v>0</v>
      </c>
      <c r="E226" s="36">
        <v>72260.800000000003</v>
      </c>
      <c r="F226" s="36">
        <v>30119.279999999999</v>
      </c>
      <c r="G226" s="36">
        <v>27495.08</v>
      </c>
      <c r="H226" s="36">
        <v>21534.959999999999</v>
      </c>
      <c r="I226" s="36">
        <v>27967.72</v>
      </c>
      <c r="J226" s="36">
        <v>36018.239999999998</v>
      </c>
      <c r="K226" s="36">
        <v>44651.76</v>
      </c>
      <c r="L226" s="36">
        <v>66058.240000000005</v>
      </c>
      <c r="M226" s="48">
        <f>SUM(D226:L226)</f>
        <v>326106.08</v>
      </c>
      <c r="N226" s="15">
        <f>M226/M224</f>
        <v>0.22058537233741224</v>
      </c>
      <c r="O226" s="48">
        <v>322235.48</v>
      </c>
      <c r="P226" s="50">
        <f>O226/O224</f>
        <v>0.23929617836251432</v>
      </c>
      <c r="Q226" s="18"/>
      <c r="R226" s="15"/>
      <c r="S226" s="15"/>
      <c r="T226" s="18"/>
      <c r="U226" s="67"/>
      <c r="V226" s="71"/>
      <c r="W226" s="50"/>
    </row>
    <row r="227" spans="1:23" s="12" customFormat="1" ht="20.100000000000001" customHeight="1" x14ac:dyDescent="0.15">
      <c r="A227" s="77"/>
      <c r="B227" s="2" t="s">
        <v>17</v>
      </c>
      <c r="C227" s="4" t="s">
        <v>68</v>
      </c>
      <c r="D227" s="24">
        <v>1847.46</v>
      </c>
      <c r="E227" s="24">
        <v>2652.63</v>
      </c>
      <c r="F227" s="24">
        <v>2912.75</v>
      </c>
      <c r="G227" s="24">
        <v>1660.5</v>
      </c>
      <c r="H227" s="31">
        <v>877.32</v>
      </c>
      <c r="I227" s="24">
        <v>1821.94</v>
      </c>
      <c r="J227" s="24">
        <v>8399.91</v>
      </c>
      <c r="K227" s="22">
        <v>901.78</v>
      </c>
      <c r="L227" s="24">
        <v>9203.84</v>
      </c>
      <c r="M227" s="36">
        <f t="shared" ref="M227:M229" si="33">D227+E227+F227+G227+H227+I227+J227+K227+L227</f>
        <v>30278.13</v>
      </c>
      <c r="N227" s="15">
        <f>M227/M224</f>
        <v>2.0480797474645585E-2</v>
      </c>
      <c r="O227" s="48">
        <v>16273.93</v>
      </c>
      <c r="P227" s="50">
        <f>O227/O224</f>
        <v>1.2085228032428562E-2</v>
      </c>
      <c r="Q227" s="18"/>
      <c r="R227" s="15"/>
      <c r="S227" s="15"/>
      <c r="T227" s="18"/>
      <c r="U227" s="67"/>
      <c r="V227" s="71"/>
      <c r="W227" s="62"/>
    </row>
    <row r="228" spans="1:23" s="12" customFormat="1" ht="20.100000000000001" customHeight="1" x14ac:dyDescent="0.15">
      <c r="A228" s="77"/>
      <c r="B228" s="2" t="s">
        <v>17</v>
      </c>
      <c r="C228" s="4" t="s">
        <v>69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48">
        <f t="shared" si="33"/>
        <v>0</v>
      </c>
      <c r="N228" s="15">
        <f>M228/M224</f>
        <v>0</v>
      </c>
      <c r="O228" s="48">
        <v>0</v>
      </c>
      <c r="P228" s="50">
        <f>O228/O224</f>
        <v>0</v>
      </c>
      <c r="Q228" s="18"/>
      <c r="R228" s="15"/>
      <c r="S228" s="15"/>
      <c r="T228" s="18"/>
      <c r="U228" s="67"/>
      <c r="V228" s="71"/>
      <c r="W228" s="62"/>
    </row>
    <row r="229" spans="1:23" s="12" customFormat="1" ht="20.100000000000001" customHeight="1" x14ac:dyDescent="0.15">
      <c r="A229" s="77"/>
      <c r="B229" s="2" t="s">
        <v>17</v>
      </c>
      <c r="C229" s="4" t="s">
        <v>70</v>
      </c>
      <c r="D229" s="22"/>
      <c r="E229" s="22"/>
      <c r="F229" s="22"/>
      <c r="G229" s="22"/>
      <c r="H229" s="31"/>
      <c r="I229" s="22"/>
      <c r="J229" s="22"/>
      <c r="K229" s="22"/>
      <c r="L229" s="22"/>
      <c r="M229" s="48">
        <f t="shared" si="33"/>
        <v>0</v>
      </c>
      <c r="N229" s="15">
        <f>M229/M224</f>
        <v>0</v>
      </c>
      <c r="O229" s="48">
        <v>0</v>
      </c>
      <c r="P229" s="50">
        <f>O229/O224</f>
        <v>0</v>
      </c>
      <c r="Q229" s="18"/>
      <c r="R229" s="15"/>
      <c r="S229" s="15"/>
      <c r="T229" s="18"/>
      <c r="U229" s="67"/>
      <c r="V229" s="72"/>
      <c r="W229" s="62"/>
    </row>
    <row r="230" spans="1:23" ht="20.100000000000001" customHeight="1" x14ac:dyDescent="0.15">
      <c r="A230" s="77"/>
      <c r="B230" s="2" t="s">
        <v>75</v>
      </c>
      <c r="C230" s="4" t="s">
        <v>21</v>
      </c>
      <c r="D230" s="36">
        <v>107540</v>
      </c>
      <c r="E230" s="36">
        <f>149100-40</f>
        <v>149060</v>
      </c>
      <c r="F230" s="36">
        <v>121700</v>
      </c>
      <c r="G230" s="36">
        <v>143940</v>
      </c>
      <c r="H230" s="36">
        <f>93110.69-60</f>
        <v>93050.69</v>
      </c>
      <c r="I230" s="36">
        <f>173740.6-40</f>
        <v>173700.6</v>
      </c>
      <c r="J230" s="36">
        <v>167287.45000000001</v>
      </c>
      <c r="K230" s="36">
        <v>181980</v>
      </c>
      <c r="L230" s="36">
        <f>177230.55-40</f>
        <v>177190.55</v>
      </c>
      <c r="M230" s="48">
        <f>SUM(D230:L230)</f>
        <v>1315449.29</v>
      </c>
      <c r="N230" s="21">
        <f>ROUND(M230/10000,2)</f>
        <v>131.54</v>
      </c>
      <c r="O230" s="48">
        <v>1084919.3700000001</v>
      </c>
      <c r="P230" s="51">
        <f>M230-O230</f>
        <v>230529.91999999993</v>
      </c>
      <c r="Q230" s="21">
        <f>VLOOKUP(B230,[1]Sheet1!$B$3:$E$53,4,0)</f>
        <v>95</v>
      </c>
      <c r="R230" s="21">
        <f>(M230-M231-M232-M233-M234-M235)/10000</f>
        <v>80.954463999999987</v>
      </c>
      <c r="S230" s="15">
        <f>R230/Q230</f>
        <v>0.85215225263157879</v>
      </c>
      <c r="T230" s="18">
        <f>R230-Q230</f>
        <v>-14.045536000000013</v>
      </c>
      <c r="U230" s="67">
        <f>IF((T230)&gt;0,2000+(T230)*0.05*10000,0)</f>
        <v>0</v>
      </c>
      <c r="V230" s="70" t="s">
        <v>150</v>
      </c>
      <c r="W230" s="50"/>
    </row>
    <row r="231" spans="1:23" ht="20.100000000000001" customHeight="1" x14ac:dyDescent="0.15">
      <c r="A231" s="77"/>
      <c r="B231" s="2" t="s">
        <v>75</v>
      </c>
      <c r="C231" s="4" t="s">
        <v>22</v>
      </c>
      <c r="D231" s="36">
        <v>6333.78</v>
      </c>
      <c r="E231" s="36">
        <v>11556.42</v>
      </c>
      <c r="F231" s="36">
        <v>8017.17</v>
      </c>
      <c r="G231" s="36">
        <v>11524.97</v>
      </c>
      <c r="H231" s="36">
        <v>7636.81</v>
      </c>
      <c r="I231" s="36">
        <v>14099.03</v>
      </c>
      <c r="J231" s="36">
        <v>12174.5</v>
      </c>
      <c r="K231" s="36">
        <v>14166.77</v>
      </c>
      <c r="L231" s="36">
        <v>7975.64</v>
      </c>
      <c r="M231" s="48">
        <f>SUM(D231:L231)</f>
        <v>93485.09</v>
      </c>
      <c r="N231" s="15">
        <f>M231/M230</f>
        <v>7.1067042044623399E-2</v>
      </c>
      <c r="O231" s="48">
        <v>77584.429999999993</v>
      </c>
      <c r="P231" s="50">
        <f>O231/O230</f>
        <v>7.1511701371872446E-2</v>
      </c>
      <c r="Q231" s="18"/>
      <c r="R231" s="15"/>
      <c r="S231" s="15"/>
      <c r="T231" s="18"/>
      <c r="U231" s="67"/>
      <c r="V231" s="71"/>
      <c r="W231" s="50"/>
    </row>
    <row r="232" spans="1:23" ht="20.100000000000001" customHeight="1" x14ac:dyDescent="0.15">
      <c r="A232" s="77"/>
      <c r="B232" s="2" t="s">
        <v>75</v>
      </c>
      <c r="C232" s="4" t="s">
        <v>23</v>
      </c>
      <c r="D232" s="36">
        <v>44202.25</v>
      </c>
      <c r="E232" s="36">
        <v>33536.590000000004</v>
      </c>
      <c r="F232" s="36">
        <v>41528.33</v>
      </c>
      <c r="G232" s="36">
        <v>28690.26</v>
      </c>
      <c r="H232" s="36">
        <v>16742.64</v>
      </c>
      <c r="I232" s="36">
        <v>32750.27</v>
      </c>
      <c r="J232" s="36">
        <v>45542.49</v>
      </c>
      <c r="K232" s="36">
        <v>40312.31</v>
      </c>
      <c r="L232" s="36">
        <v>97474.14</v>
      </c>
      <c r="M232" s="48">
        <f>SUM(D232:L232)</f>
        <v>380779.28</v>
      </c>
      <c r="N232" s="15">
        <f>M232/M230</f>
        <v>0.28946709150605116</v>
      </c>
      <c r="O232" s="48">
        <v>311364.98</v>
      </c>
      <c r="P232" s="50">
        <f>O232/O230</f>
        <v>0.28699365926151726</v>
      </c>
      <c r="Q232" s="18"/>
      <c r="R232" s="15"/>
      <c r="S232" s="15"/>
      <c r="T232" s="18"/>
      <c r="U232" s="67"/>
      <c r="V232" s="71"/>
      <c r="W232" s="50"/>
    </row>
    <row r="233" spans="1:23" s="12" customFormat="1" ht="20.100000000000001" customHeight="1" x14ac:dyDescent="0.15">
      <c r="A233" s="77"/>
      <c r="B233" s="2" t="s">
        <v>75</v>
      </c>
      <c r="C233" s="4" t="s">
        <v>68</v>
      </c>
      <c r="D233" s="24">
        <v>3130.8</v>
      </c>
      <c r="E233" s="22">
        <v>250</v>
      </c>
      <c r="F233" s="22">
        <v>155</v>
      </c>
      <c r="G233" s="24">
        <v>2125.3000000000002</v>
      </c>
      <c r="H233" s="31">
        <v>115.61</v>
      </c>
      <c r="I233" s="22">
        <v>6349.94</v>
      </c>
      <c r="J233" s="24">
        <v>5830.65</v>
      </c>
      <c r="K233" s="24">
        <v>5087.54</v>
      </c>
      <c r="L233" s="24">
        <v>8595.44</v>
      </c>
      <c r="M233" s="36">
        <f t="shared" ref="M233:M235" si="34">D233+E233+F233+G233+H233+I233+J233+K233+L233</f>
        <v>31640.28</v>
      </c>
      <c r="N233" s="15">
        <f>M233/M230</f>
        <v>2.4052831409411456E-2</v>
      </c>
      <c r="O233" s="48">
        <v>31832.91</v>
      </c>
      <c r="P233" s="50">
        <f>O233/O230</f>
        <v>2.9341268005934854E-2</v>
      </c>
      <c r="Q233" s="18"/>
      <c r="R233" s="15"/>
      <c r="S233" s="15"/>
      <c r="T233" s="18"/>
      <c r="U233" s="67"/>
      <c r="V233" s="71"/>
      <c r="W233" s="62"/>
    </row>
    <row r="234" spans="1:23" s="12" customFormat="1" ht="20.100000000000001" customHeight="1" x14ac:dyDescent="0.15">
      <c r="A234" s="77"/>
      <c r="B234" s="2" t="s">
        <v>75</v>
      </c>
      <c r="C234" s="4" t="s">
        <v>69</v>
      </c>
      <c r="D234" s="22"/>
      <c r="E234" s="22"/>
      <c r="F234" s="22"/>
      <c r="G234" s="22"/>
      <c r="H234" s="31"/>
      <c r="I234" s="22"/>
      <c r="J234" s="22"/>
      <c r="K234" s="22"/>
      <c r="L234" s="22"/>
      <c r="M234" s="48">
        <f t="shared" si="34"/>
        <v>0</v>
      </c>
      <c r="N234" s="15">
        <f>M234/M230</f>
        <v>0</v>
      </c>
      <c r="O234" s="48">
        <v>0</v>
      </c>
      <c r="P234" s="50">
        <f>O234/O230</f>
        <v>0</v>
      </c>
      <c r="Q234" s="18"/>
      <c r="R234" s="15"/>
      <c r="S234" s="15"/>
      <c r="T234" s="18"/>
      <c r="U234" s="67"/>
      <c r="V234" s="71"/>
      <c r="W234" s="62"/>
    </row>
    <row r="235" spans="1:23" s="12" customFormat="1" ht="20.100000000000001" customHeight="1" x14ac:dyDescent="0.15">
      <c r="A235" s="77"/>
      <c r="B235" s="2" t="s">
        <v>75</v>
      </c>
      <c r="C235" s="4" t="s">
        <v>70</v>
      </c>
      <c r="D235" s="22"/>
      <c r="E235" s="22"/>
      <c r="F235" s="22"/>
      <c r="G235" s="22"/>
      <c r="H235" s="31"/>
      <c r="I235" s="22"/>
      <c r="J235" s="22"/>
      <c r="K235" s="22"/>
      <c r="L235" s="22"/>
      <c r="M235" s="48">
        <f t="shared" si="34"/>
        <v>0</v>
      </c>
      <c r="N235" s="15">
        <f>M235/M230</f>
        <v>0</v>
      </c>
      <c r="O235" s="48">
        <v>0</v>
      </c>
      <c r="P235" s="50">
        <f>O235/O230</f>
        <v>0</v>
      </c>
      <c r="Q235" s="18"/>
      <c r="R235" s="15"/>
      <c r="S235" s="15"/>
      <c r="T235" s="18"/>
      <c r="U235" s="67"/>
      <c r="V235" s="72"/>
      <c r="W235" s="62"/>
    </row>
    <row r="236" spans="1:23" ht="21.75" customHeight="1" x14ac:dyDescent="0.15">
      <c r="A236" s="77"/>
      <c r="B236" s="2" t="s">
        <v>48</v>
      </c>
      <c r="C236" s="4" t="s">
        <v>21</v>
      </c>
      <c r="D236" s="22">
        <v>0</v>
      </c>
      <c r="E236" s="36">
        <f>360993.25-760.5-542.7</f>
        <v>359690.05</v>
      </c>
      <c r="F236" s="36">
        <f>200058.33-712.5</f>
        <v>199345.83</v>
      </c>
      <c r="G236" s="36">
        <f>176900.4-612.1</f>
        <v>176288.3</v>
      </c>
      <c r="H236" s="42">
        <f>116767-832.5</f>
        <v>115934.5</v>
      </c>
      <c r="I236" s="36">
        <f>218579.84-388</f>
        <v>218191.84</v>
      </c>
      <c r="J236" s="36">
        <f>307239.39-400.5</f>
        <v>306838.89</v>
      </c>
      <c r="K236" s="36">
        <f>174774.92-233</f>
        <v>174541.92</v>
      </c>
      <c r="L236" s="36">
        <f>186635.12-11180</f>
        <v>175455.12</v>
      </c>
      <c r="M236" s="48">
        <f>SUM(D236:L236)</f>
        <v>1726286.4500000002</v>
      </c>
      <c r="N236" s="21">
        <f>ROUND(M236/10000,2)</f>
        <v>172.63</v>
      </c>
      <c r="O236" s="48">
        <v>1579689.55</v>
      </c>
      <c r="P236" s="51">
        <f>M236-O236</f>
        <v>146596.90000000014</v>
      </c>
      <c r="Q236" s="21">
        <f>VLOOKUP(B236,[1]Sheet1!$B$3:$E$53,4,0)</f>
        <v>136</v>
      </c>
      <c r="R236" s="21">
        <f>(M236-M237-M238-M239-M240-M241)/10000</f>
        <v>132.896593</v>
      </c>
      <c r="S236" s="15">
        <f>R236/Q236</f>
        <v>0.97718083088235286</v>
      </c>
      <c r="T236" s="18">
        <f>R236-Q236</f>
        <v>-3.1034070000000042</v>
      </c>
      <c r="U236" s="67">
        <f>IF((T236)&gt;0,2000+(T236)*0.05*10000,0)</f>
        <v>0</v>
      </c>
      <c r="V236" s="70" t="s">
        <v>151</v>
      </c>
      <c r="W236" s="50"/>
    </row>
    <row r="237" spans="1:23" ht="21.75" customHeight="1" x14ac:dyDescent="0.15">
      <c r="A237" s="77"/>
      <c r="B237" s="2" t="s">
        <v>48</v>
      </c>
      <c r="C237" s="4" t="s">
        <v>22</v>
      </c>
      <c r="D237" s="22">
        <v>0</v>
      </c>
      <c r="E237" s="36">
        <v>11565.08</v>
      </c>
      <c r="F237" s="36">
        <v>6912.5</v>
      </c>
      <c r="G237" s="36">
        <v>6320.34</v>
      </c>
      <c r="H237" s="42">
        <v>4078</v>
      </c>
      <c r="I237" s="36">
        <v>4078</v>
      </c>
      <c r="J237" s="36">
        <v>11164.9</v>
      </c>
      <c r="K237" s="36">
        <v>5206.3999999999996</v>
      </c>
      <c r="L237" s="36">
        <v>4931.1400000000003</v>
      </c>
      <c r="M237" s="48">
        <f>SUM(D237:L237)</f>
        <v>54256.36</v>
      </c>
      <c r="N237" s="15">
        <f>M237/M236</f>
        <v>3.1429523182551766E-2</v>
      </c>
      <c r="O237" s="48">
        <v>49855.12</v>
      </c>
      <c r="P237" s="50">
        <f>O237/O236</f>
        <v>3.1560074572880473E-2</v>
      </c>
      <c r="Q237" s="18"/>
      <c r="R237" s="15"/>
      <c r="S237" s="15"/>
      <c r="T237" s="18"/>
      <c r="U237" s="67"/>
      <c r="V237" s="71"/>
      <c r="W237" s="50"/>
    </row>
    <row r="238" spans="1:23" ht="21.75" customHeight="1" x14ac:dyDescent="0.15">
      <c r="A238" s="77"/>
      <c r="B238" s="2" t="s">
        <v>48</v>
      </c>
      <c r="C238" s="4" t="s">
        <v>23</v>
      </c>
      <c r="D238" s="22">
        <v>0</v>
      </c>
      <c r="E238" s="36">
        <v>71866.22</v>
      </c>
      <c r="F238" s="36">
        <v>27246.26</v>
      </c>
      <c r="G238" s="36">
        <v>18891.900000000001</v>
      </c>
      <c r="H238" s="42">
        <v>14818.19</v>
      </c>
      <c r="I238" s="36">
        <v>24386.84</v>
      </c>
      <c r="J238" s="36">
        <v>28116.74</v>
      </c>
      <c r="K238" s="36">
        <v>44613.79</v>
      </c>
      <c r="L238" s="36">
        <v>63356.59</v>
      </c>
      <c r="M238" s="48">
        <f>SUM(D238:L238)</f>
        <v>293296.53000000003</v>
      </c>
      <c r="N238" s="15">
        <f>M238/M236</f>
        <v>0.16990026771049496</v>
      </c>
      <c r="O238" s="48">
        <v>256273.79</v>
      </c>
      <c r="P238" s="50">
        <f>O238/O236</f>
        <v>0.16223047750110139</v>
      </c>
      <c r="Q238" s="18"/>
      <c r="R238" s="15"/>
      <c r="S238" s="15"/>
      <c r="T238" s="18"/>
      <c r="U238" s="67"/>
      <c r="V238" s="71"/>
      <c r="W238" s="50"/>
    </row>
    <row r="239" spans="1:23" s="12" customFormat="1" ht="20.100000000000001" customHeight="1" x14ac:dyDescent="0.15">
      <c r="A239" s="77"/>
      <c r="B239" s="2" t="s">
        <v>48</v>
      </c>
      <c r="C239" s="4" t="s">
        <v>68</v>
      </c>
      <c r="D239" s="22">
        <v>307.97000000000003</v>
      </c>
      <c r="E239" s="22">
        <v>841.09</v>
      </c>
      <c r="F239" s="22">
        <v>473.13</v>
      </c>
      <c r="G239" s="22">
        <v>841.11</v>
      </c>
      <c r="H239" s="33">
        <v>7823.91</v>
      </c>
      <c r="I239" s="22">
        <v>12725.54</v>
      </c>
      <c r="J239" s="24">
        <v>3755.55</v>
      </c>
      <c r="K239" s="24">
        <v>2817.35</v>
      </c>
      <c r="L239" s="24">
        <v>12546.64</v>
      </c>
      <c r="M239" s="36">
        <f t="shared" ref="M239:M241" si="35">D239+E239+F239+G239+H239+I239+J239+K239+L239</f>
        <v>42132.289999999994</v>
      </c>
      <c r="N239" s="15">
        <f>M239/M236</f>
        <v>2.4406314490854047E-2</v>
      </c>
      <c r="O239" s="48">
        <v>13310.79</v>
      </c>
      <c r="P239" s="50">
        <f>O239/O236</f>
        <v>8.4262062757837451E-3</v>
      </c>
      <c r="Q239" s="18"/>
      <c r="R239" s="15"/>
      <c r="S239" s="15"/>
      <c r="T239" s="18"/>
      <c r="U239" s="67"/>
      <c r="V239" s="71"/>
      <c r="W239" s="62"/>
    </row>
    <row r="240" spans="1:23" s="12" customFormat="1" ht="20.100000000000001" customHeight="1" x14ac:dyDescent="0.15">
      <c r="A240" s="77"/>
      <c r="B240" s="2" t="s">
        <v>48</v>
      </c>
      <c r="C240" s="4" t="s">
        <v>69</v>
      </c>
      <c r="D240" s="22"/>
      <c r="E240" s="22"/>
      <c r="F240" s="22"/>
      <c r="G240" s="22"/>
      <c r="H240" s="22"/>
      <c r="I240" s="22"/>
      <c r="J240" s="24">
        <v>2435.34</v>
      </c>
      <c r="K240" s="22"/>
      <c r="L240" s="22"/>
      <c r="M240" s="48">
        <f t="shared" si="35"/>
        <v>2435.34</v>
      </c>
      <c r="N240" s="15">
        <f>M240/M236</f>
        <v>1.4107392200176279E-3</v>
      </c>
      <c r="O240" s="48">
        <v>0</v>
      </c>
      <c r="P240" s="50">
        <f>O240/O236</f>
        <v>0</v>
      </c>
      <c r="Q240" s="18"/>
      <c r="R240" s="15"/>
      <c r="S240" s="15"/>
      <c r="T240" s="18"/>
      <c r="U240" s="67"/>
      <c r="V240" s="71"/>
      <c r="W240" s="62"/>
    </row>
    <row r="241" spans="1:23" s="12" customFormat="1" ht="20.100000000000001" customHeight="1" x14ac:dyDescent="0.15">
      <c r="A241" s="77"/>
      <c r="B241" s="2" t="s">
        <v>48</v>
      </c>
      <c r="C241" s="4" t="s">
        <v>70</v>
      </c>
      <c r="D241" s="22"/>
      <c r="E241" s="22"/>
      <c r="F241" s="22"/>
      <c r="G241" s="22"/>
      <c r="H241" s="31"/>
      <c r="I241" s="22"/>
      <c r="J241" s="22"/>
      <c r="K241" s="22"/>
      <c r="L241" s="24">
        <v>5200</v>
      </c>
      <c r="M241" s="48">
        <f t="shared" si="35"/>
        <v>5200</v>
      </c>
      <c r="N241" s="15">
        <f>M241/M236</f>
        <v>3.0122463163630808E-3</v>
      </c>
      <c r="O241" s="48">
        <v>0</v>
      </c>
      <c r="P241" s="50">
        <f>O241/O236</f>
        <v>0</v>
      </c>
      <c r="Q241" s="18"/>
      <c r="R241" s="15"/>
      <c r="S241" s="15"/>
      <c r="T241" s="18"/>
      <c r="U241" s="67"/>
      <c r="V241" s="72"/>
      <c r="W241" s="62"/>
    </row>
    <row r="242" spans="1:23" s="6" customFormat="1" ht="21" customHeight="1" x14ac:dyDescent="0.15">
      <c r="A242" s="77"/>
      <c r="B242" s="2" t="s">
        <v>59</v>
      </c>
      <c r="C242" s="4" t="s">
        <v>21</v>
      </c>
      <c r="D242" s="36">
        <f>94817.01-58</f>
        <v>94759.01</v>
      </c>
      <c r="E242" s="36">
        <v>649317.62</v>
      </c>
      <c r="F242" s="36">
        <f>505776.56-170</f>
        <v>505606.56</v>
      </c>
      <c r="G242" s="36">
        <f>1072763.99-265</f>
        <v>1072498.99</v>
      </c>
      <c r="H242" s="36">
        <f>141147.1+351950+13173.26-238943.13-4960</f>
        <v>262367.23</v>
      </c>
      <c r="I242" s="36">
        <f>1015211.65-90-786.2</f>
        <v>1014335.4500000001</v>
      </c>
      <c r="J242" s="36">
        <f>590243.49-1027.7</f>
        <v>589215.79</v>
      </c>
      <c r="K242" s="36">
        <v>563007.47</v>
      </c>
      <c r="L242" s="36">
        <v>465559.43</v>
      </c>
      <c r="M242" s="48">
        <f>SUM(D242:L242)</f>
        <v>5216667.55</v>
      </c>
      <c r="N242" s="21">
        <f>ROUND(M242/10000,2)</f>
        <v>521.66999999999996</v>
      </c>
      <c r="O242" s="48">
        <v>4968319.88</v>
      </c>
      <c r="P242" s="51">
        <f>M242-O242</f>
        <v>248347.66999999993</v>
      </c>
      <c r="Q242" s="21">
        <f>VLOOKUP(B242,[1]Sheet1!$B$3:$E$53,4,0)</f>
        <v>425</v>
      </c>
      <c r="R242" s="21">
        <f>(M242-M243-M244-M245-M246-M247)/10000</f>
        <v>414.65724399999999</v>
      </c>
      <c r="S242" s="15">
        <f>R242/Q242</f>
        <v>0.9756641035294118</v>
      </c>
      <c r="T242" s="18">
        <f>R242-Q242</f>
        <v>-10.342756000000008</v>
      </c>
      <c r="U242" s="67">
        <f>IF((T242)&gt;0,2000+(T242)*0.05*10000,0)</f>
        <v>0</v>
      </c>
      <c r="V242" s="70" t="s">
        <v>152</v>
      </c>
      <c r="W242" s="63"/>
    </row>
    <row r="243" spans="1:23" s="6" customFormat="1" ht="21" customHeight="1" x14ac:dyDescent="0.15">
      <c r="A243" s="77"/>
      <c r="B243" s="2" t="s">
        <v>59</v>
      </c>
      <c r="C243" s="4" t="s">
        <v>22</v>
      </c>
      <c r="D243" s="22">
        <v>0</v>
      </c>
      <c r="E243" s="36">
        <v>9772.5</v>
      </c>
      <c r="F243" s="22">
        <v>0</v>
      </c>
      <c r="G243" s="22">
        <v>0</v>
      </c>
      <c r="H243" s="36">
        <v>30260</v>
      </c>
      <c r="I243" s="22">
        <v>0</v>
      </c>
      <c r="J243" s="22">
        <v>0</v>
      </c>
      <c r="K243" s="22">
        <v>0</v>
      </c>
      <c r="L243" s="22">
        <v>0</v>
      </c>
      <c r="M243" s="48">
        <f>SUM(D243:L243)</f>
        <v>40032.5</v>
      </c>
      <c r="N243" s="15">
        <f>M243/M242</f>
        <v>7.6739603619172553E-3</v>
      </c>
      <c r="O243" s="48">
        <v>119352.5</v>
      </c>
      <c r="P243" s="50">
        <f>O243/O242</f>
        <v>2.4022708457330649E-2</v>
      </c>
      <c r="Q243" s="18"/>
      <c r="R243" s="15"/>
      <c r="S243" s="15"/>
      <c r="T243" s="18"/>
      <c r="U243" s="67"/>
      <c r="V243" s="71"/>
      <c r="W243" s="63"/>
    </row>
    <row r="244" spans="1:23" s="6" customFormat="1" ht="21" customHeight="1" x14ac:dyDescent="0.15">
      <c r="A244" s="77"/>
      <c r="B244" s="2" t="s">
        <v>59</v>
      </c>
      <c r="C244" s="4" t="s">
        <v>23</v>
      </c>
      <c r="D244" s="22">
        <v>0</v>
      </c>
      <c r="E244" s="36">
        <v>134069.57999999999</v>
      </c>
      <c r="F244" s="22">
        <v>0</v>
      </c>
      <c r="G244" s="22">
        <v>0</v>
      </c>
      <c r="H244" s="36">
        <v>179172.7</v>
      </c>
      <c r="I244" s="22">
        <v>0</v>
      </c>
      <c r="J244" s="22">
        <v>0</v>
      </c>
      <c r="K244" s="22">
        <v>0</v>
      </c>
      <c r="L244" s="36">
        <v>385635.34</v>
      </c>
      <c r="M244" s="48">
        <f>SUM(D244:L244)</f>
        <v>698877.62000000011</v>
      </c>
      <c r="N244" s="15">
        <f>M244/M242</f>
        <v>0.13397012811368442</v>
      </c>
      <c r="O244" s="48">
        <v>669615.13</v>
      </c>
      <c r="P244" s="50">
        <f>O244/O242</f>
        <v>0.13477697615556911</v>
      </c>
      <c r="Q244" s="18"/>
      <c r="R244" s="15"/>
      <c r="S244" s="15"/>
      <c r="T244" s="18"/>
      <c r="U244" s="67"/>
      <c r="V244" s="71"/>
      <c r="W244" s="63"/>
    </row>
    <row r="245" spans="1:23" s="12" customFormat="1" ht="20.100000000000001" customHeight="1" x14ac:dyDescent="0.15">
      <c r="A245" s="77"/>
      <c r="B245" s="2" t="s">
        <v>85</v>
      </c>
      <c r="C245" s="4" t="s">
        <v>68</v>
      </c>
      <c r="D245" s="24">
        <v>18198.669999999998</v>
      </c>
      <c r="E245" s="24">
        <v>1380.11</v>
      </c>
      <c r="F245" s="24">
        <v>31550.75</v>
      </c>
      <c r="G245" s="24">
        <v>65410.06</v>
      </c>
      <c r="H245" s="33">
        <v>10346.82</v>
      </c>
      <c r="I245" s="22">
        <f>23591.54+500</f>
        <v>24091.54</v>
      </c>
      <c r="J245" s="24">
        <v>3741.41</v>
      </c>
      <c r="K245" s="24">
        <v>10489.11</v>
      </c>
      <c r="L245" s="24">
        <v>24154.46</v>
      </c>
      <c r="M245" s="36">
        <f t="shared" ref="M245:M247" si="36">D245+E245+F245+G245+H245+I245+J245+K245+L245</f>
        <v>189362.93000000002</v>
      </c>
      <c r="N245" s="15">
        <f>M245/M242</f>
        <v>3.6299597048311046E-2</v>
      </c>
      <c r="O245" s="48">
        <v>138511.13</v>
      </c>
      <c r="P245" s="50">
        <f>O245/O242</f>
        <v>2.7878867171491382E-2</v>
      </c>
      <c r="Q245" s="18"/>
      <c r="R245" s="15"/>
      <c r="S245" s="15"/>
      <c r="T245" s="18"/>
      <c r="U245" s="67"/>
      <c r="V245" s="71"/>
      <c r="W245" s="62"/>
    </row>
    <row r="246" spans="1:23" s="12" customFormat="1" ht="20.100000000000001" customHeight="1" x14ac:dyDescent="0.15">
      <c r="A246" s="77"/>
      <c r="B246" s="2" t="s">
        <v>85</v>
      </c>
      <c r="C246" s="4" t="s">
        <v>69</v>
      </c>
      <c r="D246" s="22"/>
      <c r="E246" s="22"/>
      <c r="F246" s="22"/>
      <c r="G246" s="22"/>
      <c r="H246" s="31"/>
      <c r="I246" s="22"/>
      <c r="J246" s="22"/>
      <c r="K246" s="22"/>
      <c r="L246" s="22"/>
      <c r="M246" s="48">
        <f t="shared" si="36"/>
        <v>0</v>
      </c>
      <c r="N246" s="15">
        <f>M246/M242</f>
        <v>0</v>
      </c>
      <c r="O246" s="48">
        <v>214103.21</v>
      </c>
      <c r="P246" s="50">
        <f>O246/O242</f>
        <v>4.3093684620000752E-2</v>
      </c>
      <c r="Q246" s="18"/>
      <c r="R246" s="15"/>
      <c r="S246" s="15"/>
      <c r="T246" s="18"/>
      <c r="U246" s="67"/>
      <c r="V246" s="71"/>
      <c r="W246" s="62"/>
    </row>
    <row r="247" spans="1:23" s="12" customFormat="1" ht="20.100000000000001" customHeight="1" x14ac:dyDescent="0.15">
      <c r="A247" s="77"/>
      <c r="B247" s="2" t="s">
        <v>85</v>
      </c>
      <c r="C247" s="4" t="s">
        <v>70</v>
      </c>
      <c r="D247" s="22">
        <v>52210</v>
      </c>
      <c r="E247" s="22"/>
      <c r="F247" s="24"/>
      <c r="G247" s="22"/>
      <c r="H247" s="33">
        <v>64101.72</v>
      </c>
      <c r="I247" s="22">
        <v>25510.34</v>
      </c>
      <c r="J247" s="22"/>
      <c r="K247" s="22"/>
      <c r="L247" s="22"/>
      <c r="M247" s="48">
        <f t="shared" si="36"/>
        <v>141822.06</v>
      </c>
      <c r="N247" s="15">
        <f>M247/M242</f>
        <v>2.7186332776755154E-2</v>
      </c>
      <c r="O247" s="48">
        <v>50700</v>
      </c>
      <c r="P247" s="50">
        <f>O247/O242</f>
        <v>1.0204656951355556E-2</v>
      </c>
      <c r="Q247" s="18"/>
      <c r="R247" s="15"/>
      <c r="S247" s="15"/>
      <c r="T247" s="18"/>
      <c r="U247" s="67"/>
      <c r="V247" s="72"/>
      <c r="W247" s="62"/>
    </row>
    <row r="248" spans="1:23" s="6" customFormat="1" ht="20.100000000000001" customHeight="1" x14ac:dyDescent="0.15">
      <c r="A248" s="77"/>
      <c r="B248" s="2" t="s">
        <v>26</v>
      </c>
      <c r="C248" s="4" t="s">
        <v>21</v>
      </c>
      <c r="D248" s="36">
        <v>365109.82</v>
      </c>
      <c r="E248" s="36">
        <v>427576.70999999996</v>
      </c>
      <c r="F248" s="36">
        <v>382755.99</v>
      </c>
      <c r="G248" s="36">
        <v>455656.22</v>
      </c>
      <c r="H248" s="36">
        <v>388449.26999999996</v>
      </c>
      <c r="I248" s="36">
        <v>556677.34</v>
      </c>
      <c r="J248" s="36">
        <v>460806.11</v>
      </c>
      <c r="K248" s="36">
        <v>548620.74</v>
      </c>
      <c r="L248" s="36">
        <v>543865.52</v>
      </c>
      <c r="M248" s="48">
        <f>SUM(D248:L248)</f>
        <v>4129517.72</v>
      </c>
      <c r="N248" s="21">
        <f>ROUND(M248/10000,2)</f>
        <v>412.95</v>
      </c>
      <c r="O248" s="48">
        <v>3739684.28</v>
      </c>
      <c r="P248" s="51">
        <f>M248-O248</f>
        <v>389833.44000000041</v>
      </c>
      <c r="Q248" s="21">
        <f>VLOOKUP(B248,[1]Sheet1!$B$3:$E$53,4,0)</f>
        <v>312</v>
      </c>
      <c r="R248" s="21">
        <f>(M248-M249-M250-M251-M252-M253)/10000</f>
        <v>287.60599700000006</v>
      </c>
      <c r="S248" s="15">
        <f>R248/Q248</f>
        <v>0.92181409294871819</v>
      </c>
      <c r="T248" s="18">
        <f>R248-Q248</f>
        <v>-24.394002999999941</v>
      </c>
      <c r="U248" s="67">
        <f>IF((T248)&gt;0,2000+(T248)*0.05*10000,0)</f>
        <v>0</v>
      </c>
      <c r="V248" s="70" t="s">
        <v>153</v>
      </c>
      <c r="W248" s="63"/>
    </row>
    <row r="249" spans="1:23" s="6" customFormat="1" ht="20.100000000000001" customHeight="1" x14ac:dyDescent="0.15">
      <c r="A249" s="77"/>
      <c r="B249" s="2" t="s">
        <v>26</v>
      </c>
      <c r="C249" s="4" t="s">
        <v>22</v>
      </c>
      <c r="D249" s="36">
        <v>19817.73</v>
      </c>
      <c r="E249" s="36">
        <v>34670.86</v>
      </c>
      <c r="F249" s="36">
        <v>29082.68</v>
      </c>
      <c r="G249" s="36">
        <v>38687.1</v>
      </c>
      <c r="H249" s="36">
        <v>32021.9</v>
      </c>
      <c r="I249" s="36">
        <v>48382.62</v>
      </c>
      <c r="J249" s="36">
        <v>39498.79</v>
      </c>
      <c r="K249" s="36">
        <v>43784.76</v>
      </c>
      <c r="L249" s="36">
        <v>39643.71</v>
      </c>
      <c r="M249" s="48">
        <f>SUM(D249:L249)</f>
        <v>325590.15000000002</v>
      </c>
      <c r="N249" s="15">
        <f>M249/M248</f>
        <v>7.8844594472402454E-2</v>
      </c>
      <c r="O249" s="48">
        <v>289318.93</v>
      </c>
      <c r="P249" s="50">
        <f>O249/O248</f>
        <v>7.7364533564314691E-2</v>
      </c>
      <c r="Q249" s="18"/>
      <c r="R249" s="15"/>
      <c r="S249" s="15"/>
      <c r="T249" s="18"/>
      <c r="U249" s="67"/>
      <c r="V249" s="71"/>
      <c r="W249" s="63"/>
    </row>
    <row r="250" spans="1:23" s="6" customFormat="1" ht="20.100000000000001" customHeight="1" x14ac:dyDescent="0.15">
      <c r="A250" s="77"/>
      <c r="B250" s="2" t="s">
        <v>26</v>
      </c>
      <c r="C250" s="4" t="s">
        <v>23</v>
      </c>
      <c r="D250" s="36">
        <v>166932.54999999999</v>
      </c>
      <c r="E250" s="36">
        <v>80868.12</v>
      </c>
      <c r="F250" s="36">
        <v>91929.19</v>
      </c>
      <c r="G250" s="36">
        <v>68785.2</v>
      </c>
      <c r="H250" s="36">
        <v>68230.31</v>
      </c>
      <c r="I250" s="36">
        <v>72851.11</v>
      </c>
      <c r="J250" s="36">
        <v>65818.179999999993</v>
      </c>
      <c r="K250" s="36">
        <v>110773.17</v>
      </c>
      <c r="L250" s="36">
        <v>147428.42000000001</v>
      </c>
      <c r="M250" s="48">
        <f>SUM(D250:L250)</f>
        <v>873616.25</v>
      </c>
      <c r="N250" s="15">
        <f>M250/M248</f>
        <v>0.21155406254074627</v>
      </c>
      <c r="O250" s="48">
        <v>846494.97</v>
      </c>
      <c r="P250" s="50">
        <f>O250/O248</f>
        <v>0.22635466168283061</v>
      </c>
      <c r="Q250" s="18"/>
      <c r="R250" s="15"/>
      <c r="S250" s="15"/>
      <c r="T250" s="18"/>
      <c r="U250" s="67"/>
      <c r="V250" s="71"/>
      <c r="W250" s="63"/>
    </row>
    <row r="251" spans="1:23" s="12" customFormat="1" ht="20.100000000000001" customHeight="1" x14ac:dyDescent="0.15">
      <c r="A251" s="77"/>
      <c r="B251" s="2" t="s">
        <v>26</v>
      </c>
      <c r="C251" s="4" t="s">
        <v>68</v>
      </c>
      <c r="D251" s="24">
        <v>2778.03</v>
      </c>
      <c r="E251" s="22">
        <v>301</v>
      </c>
      <c r="F251" s="24">
        <v>1542.86</v>
      </c>
      <c r="G251" s="24">
        <v>7682.84</v>
      </c>
      <c r="H251" s="31">
        <v>536.21</v>
      </c>
      <c r="I251" s="22">
        <v>10888.11</v>
      </c>
      <c r="J251" s="24">
        <v>3775.84</v>
      </c>
      <c r="K251" s="24">
        <v>4052.11</v>
      </c>
      <c r="L251" s="24">
        <v>15285.01</v>
      </c>
      <c r="M251" s="36">
        <f t="shared" ref="M251:M253" si="37">D251+E251+F251+G251+H251+I251+J251+K251+L251</f>
        <v>46842.01</v>
      </c>
      <c r="N251" s="15">
        <f>M251/M248</f>
        <v>1.1343215643109045E-2</v>
      </c>
      <c r="O251" s="48">
        <v>58377.52</v>
      </c>
      <c r="P251" s="50">
        <f>O251/O248</f>
        <v>1.5610280341633545E-2</v>
      </c>
      <c r="Q251" s="18"/>
      <c r="R251" s="15"/>
      <c r="S251" s="15"/>
      <c r="T251" s="18"/>
      <c r="U251" s="67"/>
      <c r="V251" s="71"/>
      <c r="W251" s="62"/>
    </row>
    <row r="252" spans="1:23" s="12" customFormat="1" ht="20.100000000000001" customHeight="1" x14ac:dyDescent="0.15">
      <c r="A252" s="77"/>
      <c r="B252" s="2" t="s">
        <v>26</v>
      </c>
      <c r="C252" s="4" t="s">
        <v>69</v>
      </c>
      <c r="D252" s="22"/>
      <c r="E252" s="22"/>
      <c r="F252" s="22"/>
      <c r="G252" s="22"/>
      <c r="H252" s="22"/>
      <c r="I252" s="22"/>
      <c r="J252" s="22">
        <v>2435.34</v>
      </c>
      <c r="K252" s="22"/>
      <c r="L252" s="22"/>
      <c r="M252" s="48">
        <f t="shared" si="37"/>
        <v>2435.34</v>
      </c>
      <c r="N252" s="15">
        <f>M252/M248</f>
        <v>5.8973956891024068E-4</v>
      </c>
      <c r="O252" s="48">
        <v>0</v>
      </c>
      <c r="P252" s="50">
        <f>O252/O248</f>
        <v>0</v>
      </c>
      <c r="Q252" s="18"/>
      <c r="R252" s="15"/>
      <c r="S252" s="15"/>
      <c r="T252" s="18"/>
      <c r="U252" s="67"/>
      <c r="V252" s="71"/>
      <c r="W252" s="62"/>
    </row>
    <row r="253" spans="1:23" s="12" customFormat="1" ht="20.100000000000001" customHeight="1" x14ac:dyDescent="0.15">
      <c r="A253" s="77"/>
      <c r="B253" s="2" t="s">
        <v>26</v>
      </c>
      <c r="C253" s="4" t="s">
        <v>70</v>
      </c>
      <c r="D253" s="22"/>
      <c r="E253" s="22"/>
      <c r="F253" s="22"/>
      <c r="G253" s="24">
        <v>3000</v>
      </c>
      <c r="H253" s="31"/>
      <c r="I253" s="22"/>
      <c r="J253" s="22"/>
      <c r="K253" s="22"/>
      <c r="L253" s="24">
        <v>1974</v>
      </c>
      <c r="M253" s="48">
        <f t="shared" si="37"/>
        <v>4974</v>
      </c>
      <c r="N253" s="15">
        <f>M253/M248</f>
        <v>1.2044990086638979E-3</v>
      </c>
      <c r="O253" s="48">
        <v>0</v>
      </c>
      <c r="P253" s="50">
        <f>O253/O248</f>
        <v>0</v>
      </c>
      <c r="Q253" s="18"/>
      <c r="R253" s="15"/>
      <c r="S253" s="15"/>
      <c r="T253" s="18"/>
      <c r="U253" s="67"/>
      <c r="V253" s="72"/>
      <c r="W253" s="62"/>
    </row>
    <row r="254" spans="1:23" s="6" customFormat="1" ht="21" customHeight="1" x14ac:dyDescent="0.15">
      <c r="A254" s="77"/>
      <c r="B254" s="2" t="s">
        <v>65</v>
      </c>
      <c r="C254" s="4" t="s">
        <v>21</v>
      </c>
      <c r="D254" s="36">
        <v>78918.03</v>
      </c>
      <c r="E254" s="36">
        <v>136494.82</v>
      </c>
      <c r="F254" s="36">
        <v>139814.35</v>
      </c>
      <c r="G254" s="36">
        <v>169897.49</v>
      </c>
      <c r="H254" s="36">
        <v>142739.68</v>
      </c>
      <c r="I254" s="36">
        <v>87231.27</v>
      </c>
      <c r="J254" s="36">
        <v>316742.65000000002</v>
      </c>
      <c r="K254" s="36">
        <v>177476.18</v>
      </c>
      <c r="L254" s="36">
        <f>142516.24-40-39</f>
        <v>142437.24</v>
      </c>
      <c r="M254" s="48">
        <f t="shared" ref="M254:M256" si="38">SUM(D254:L254)</f>
        <v>1391751.71</v>
      </c>
      <c r="N254" s="21">
        <f>ROUND(M254/10000,2)</f>
        <v>139.18</v>
      </c>
      <c r="O254" s="48">
        <v>534908.67000000004</v>
      </c>
      <c r="P254" s="51">
        <f>M254-O254</f>
        <v>856843.03999999992</v>
      </c>
      <c r="Q254" s="21">
        <f>VLOOKUP(B254,[1]Sheet1!$B$3:$E$53,4,0)</f>
        <v>82</v>
      </c>
      <c r="R254" s="21">
        <f>(M254-M255-M256-M257-M258-M259)/10000</f>
        <v>91.200257999999991</v>
      </c>
      <c r="S254" s="15">
        <f>R254/Q254</f>
        <v>1.1121982682926828</v>
      </c>
      <c r="T254" s="18">
        <f>R254-Q254</f>
        <v>9.2002579999999909</v>
      </c>
      <c r="U254" s="67">
        <f>IF((T254)&gt;0,2000+(T254)*0.05*10000,0)</f>
        <v>6600.1289999999954</v>
      </c>
      <c r="V254" s="70" t="s">
        <v>154</v>
      </c>
      <c r="W254" s="63"/>
    </row>
    <row r="255" spans="1:23" s="6" customFormat="1" ht="21" customHeight="1" x14ac:dyDescent="0.15">
      <c r="A255" s="77"/>
      <c r="B255" s="2" t="s">
        <v>65</v>
      </c>
      <c r="C255" s="4" t="s">
        <v>22</v>
      </c>
      <c r="D255" s="36">
        <v>6313.44</v>
      </c>
      <c r="E255" s="36">
        <v>10919.59</v>
      </c>
      <c r="F255" s="36">
        <v>11185.15</v>
      </c>
      <c r="G255" s="36">
        <v>13591.8</v>
      </c>
      <c r="H255" s="36">
        <v>11419.17</v>
      </c>
      <c r="I255" s="36">
        <v>6978.5</v>
      </c>
      <c r="J255" s="36">
        <v>25339.41</v>
      </c>
      <c r="K255" s="36">
        <v>55480.160000000003</v>
      </c>
      <c r="L255" s="36">
        <f>11401.3+3100</f>
        <v>14501.3</v>
      </c>
      <c r="M255" s="48">
        <f t="shared" si="38"/>
        <v>155728.51999999999</v>
      </c>
      <c r="N255" s="15">
        <f>M255/M254</f>
        <v>0.11189389521209929</v>
      </c>
      <c r="O255" s="48">
        <v>42792.69</v>
      </c>
      <c r="P255" s="50">
        <f>O255/O254</f>
        <v>7.9999993269879138E-2</v>
      </c>
      <c r="Q255" s="18"/>
      <c r="R255" s="15"/>
      <c r="S255" s="15"/>
      <c r="T255" s="18"/>
      <c r="U255" s="67"/>
      <c r="V255" s="71"/>
      <c r="W255" s="63"/>
    </row>
    <row r="256" spans="1:23" s="6" customFormat="1" ht="21" customHeight="1" x14ac:dyDescent="0.15">
      <c r="A256" s="77"/>
      <c r="B256" s="2" t="s">
        <v>65</v>
      </c>
      <c r="C256" s="4" t="s">
        <v>23</v>
      </c>
      <c r="D256" s="36">
        <v>31661.280000000002</v>
      </c>
      <c r="E256" s="36">
        <v>41273.279999999999</v>
      </c>
      <c r="F256" s="36">
        <v>28915.38</v>
      </c>
      <c r="G256" s="36">
        <v>28301.94</v>
      </c>
      <c r="H256" s="36">
        <v>20516.22</v>
      </c>
      <c r="I256" s="36">
        <v>11311.92</v>
      </c>
      <c r="J256" s="36">
        <v>52070.04</v>
      </c>
      <c r="K256" s="36">
        <v>40782.959999999999</v>
      </c>
      <c r="L256" s="36">
        <v>47312.639999999999</v>
      </c>
      <c r="M256" s="48">
        <f t="shared" si="38"/>
        <v>302145.66000000003</v>
      </c>
      <c r="N256" s="15">
        <f>M256/M254</f>
        <v>0.21709738729187553</v>
      </c>
      <c r="O256" s="48">
        <v>138248.04999999999</v>
      </c>
      <c r="P256" s="50">
        <f>O256/O254</f>
        <v>0.25845169045399841</v>
      </c>
      <c r="Q256" s="18"/>
      <c r="R256" s="15"/>
      <c r="S256" s="15"/>
      <c r="T256" s="18"/>
      <c r="U256" s="67"/>
      <c r="V256" s="71"/>
      <c r="W256" s="63"/>
    </row>
    <row r="257" spans="1:23" s="12" customFormat="1" ht="20.100000000000001" customHeight="1" x14ac:dyDescent="0.15">
      <c r="A257" s="77"/>
      <c r="B257" s="2" t="s">
        <v>90</v>
      </c>
      <c r="C257" s="4" t="s">
        <v>68</v>
      </c>
      <c r="D257" s="24">
        <v>2940.25</v>
      </c>
      <c r="E257" s="22">
        <v>464.71</v>
      </c>
      <c r="F257" s="24">
        <v>2802.39</v>
      </c>
      <c r="G257" s="24">
        <v>2816.05</v>
      </c>
      <c r="H257" s="33">
        <v>2071.58</v>
      </c>
      <c r="I257" s="22">
        <v>358.9</v>
      </c>
      <c r="J257" s="22">
        <v>513</v>
      </c>
      <c r="K257" s="24">
        <v>2584.7399999999998</v>
      </c>
      <c r="L257" s="24">
        <v>5082.33</v>
      </c>
      <c r="M257" s="36">
        <f t="shared" ref="M257:M259" si="39">D257+E257+F257+G257+H257+I257+J257+K257+L257</f>
        <v>19633.95</v>
      </c>
      <c r="N257" s="15">
        <f>M257/M254</f>
        <v>1.4107365458167823E-2</v>
      </c>
      <c r="O257" s="48">
        <v>4946.99</v>
      </c>
      <c r="P257" s="50">
        <f>O257/O254</f>
        <v>9.2482890583919664E-3</v>
      </c>
      <c r="Q257" s="18"/>
      <c r="R257" s="15"/>
      <c r="S257" s="15"/>
      <c r="T257" s="18"/>
      <c r="U257" s="67"/>
      <c r="V257" s="71"/>
      <c r="W257" s="62"/>
    </row>
    <row r="258" spans="1:23" s="12" customFormat="1" ht="20.100000000000001" customHeight="1" x14ac:dyDescent="0.15">
      <c r="A258" s="77"/>
      <c r="B258" s="2" t="s">
        <v>90</v>
      </c>
      <c r="C258" s="4" t="s">
        <v>69</v>
      </c>
      <c r="D258" s="22"/>
      <c r="E258" s="24">
        <v>2241</v>
      </c>
      <c r="F258" s="22"/>
      <c r="G258" s="24"/>
      <c r="H258" s="31"/>
      <c r="I258" s="22"/>
      <c r="J258" s="22"/>
      <c r="K258" s="22"/>
      <c r="L258" s="22"/>
      <c r="M258" s="48">
        <f t="shared" si="39"/>
        <v>2241</v>
      </c>
      <c r="N258" s="15">
        <f>M258/M254</f>
        <v>1.6102010034534106E-3</v>
      </c>
      <c r="O258" s="48">
        <v>0</v>
      </c>
      <c r="P258" s="50">
        <f>O258/O254</f>
        <v>0</v>
      </c>
      <c r="Q258" s="18"/>
      <c r="R258" s="15"/>
      <c r="S258" s="15"/>
      <c r="T258" s="18"/>
      <c r="U258" s="67"/>
      <c r="V258" s="71"/>
      <c r="W258" s="62"/>
    </row>
    <row r="259" spans="1:23" s="12" customFormat="1" ht="20.100000000000001" customHeight="1" x14ac:dyDescent="0.15">
      <c r="A259" s="77"/>
      <c r="B259" s="2" t="s">
        <v>90</v>
      </c>
      <c r="C259" s="4" t="s">
        <v>70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48">
        <f t="shared" si="39"/>
        <v>0</v>
      </c>
      <c r="N259" s="15">
        <f>M259/M254</f>
        <v>0</v>
      </c>
      <c r="O259" s="48">
        <v>0</v>
      </c>
      <c r="P259" s="50">
        <f>O259/O254</f>
        <v>0</v>
      </c>
      <c r="Q259" s="18"/>
      <c r="R259" s="15"/>
      <c r="S259" s="15"/>
      <c r="T259" s="18"/>
      <c r="U259" s="67"/>
      <c r="V259" s="72"/>
      <c r="W259" s="62"/>
    </row>
    <row r="260" spans="1:23" s="6" customFormat="1" ht="21" customHeight="1" x14ac:dyDescent="0.15">
      <c r="A260" s="77"/>
      <c r="B260" s="2" t="s">
        <v>66</v>
      </c>
      <c r="C260" s="4" t="s">
        <v>21</v>
      </c>
      <c r="D260" s="36">
        <f>6150.92-24.7</f>
        <v>6126.22</v>
      </c>
      <c r="E260" s="36">
        <v>51431.81</v>
      </c>
      <c r="F260" s="36">
        <f>63953.82-21.54</f>
        <v>63932.28</v>
      </c>
      <c r="G260" s="36">
        <v>79650.87</v>
      </c>
      <c r="H260" s="42">
        <f>74435.35-938.99</f>
        <v>73496.36</v>
      </c>
      <c r="I260" s="36">
        <f>23487.33+1824-529.38+19770+83760.6</f>
        <v>128312.55</v>
      </c>
      <c r="J260" s="36">
        <v>59117.13</v>
      </c>
      <c r="K260" s="36">
        <f>67140.48-30</f>
        <v>67110.48</v>
      </c>
      <c r="L260" s="36">
        <v>70074.649999999994</v>
      </c>
      <c r="M260" s="48">
        <f t="shared" ref="M260:M262" si="40">SUM(D260:L260)</f>
        <v>599252.35</v>
      </c>
      <c r="N260" s="21">
        <f>ROUND(M260/10000,2)</f>
        <v>59.93</v>
      </c>
      <c r="O260" s="48">
        <v>179952.2</v>
      </c>
      <c r="P260" s="51">
        <f>M260-O260</f>
        <v>419300.14999999997</v>
      </c>
      <c r="Q260" s="21">
        <f>VLOOKUP(B260,[1]Sheet1!$B$3:$E$53,4,0)</f>
        <v>41</v>
      </c>
      <c r="R260" s="21">
        <f>(M260-M261-M262-M263-M264-M265)/10000</f>
        <v>43.496904000000001</v>
      </c>
      <c r="S260" s="15">
        <f>R260/Q260</f>
        <v>1.0609000975609757</v>
      </c>
      <c r="T260" s="18">
        <f>R260-Q260</f>
        <v>2.4969040000000007</v>
      </c>
      <c r="U260" s="67">
        <f>IF((T260)&gt;0,2000+(T260)*0.05*10000,0)</f>
        <v>3248.4520000000002</v>
      </c>
      <c r="V260" s="70" t="s">
        <v>155</v>
      </c>
      <c r="W260" s="63"/>
    </row>
    <row r="261" spans="1:23" s="6" customFormat="1" ht="21" customHeight="1" x14ac:dyDescent="0.15">
      <c r="A261" s="77"/>
      <c r="B261" s="2" t="s">
        <v>66</v>
      </c>
      <c r="C261" s="4" t="s">
        <v>22</v>
      </c>
      <c r="D261" s="36">
        <v>1209</v>
      </c>
      <c r="E261" s="36">
        <v>989</v>
      </c>
      <c r="F261" s="36">
        <v>1037</v>
      </c>
      <c r="G261" s="36">
        <v>1417</v>
      </c>
      <c r="H261" s="36">
        <v>1184</v>
      </c>
      <c r="I261" s="36">
        <v>1495</v>
      </c>
      <c r="J261" s="36">
        <v>1155</v>
      </c>
      <c r="K261" s="36">
        <v>1152</v>
      </c>
      <c r="L261" s="36">
        <v>916</v>
      </c>
      <c r="M261" s="48">
        <f t="shared" si="40"/>
        <v>10554</v>
      </c>
      <c r="N261" s="15">
        <f>M261/M260</f>
        <v>1.7611945952318752E-2</v>
      </c>
      <c r="O261" s="48">
        <v>2676</v>
      </c>
      <c r="P261" s="50">
        <f>O261/O260</f>
        <v>1.4870615641264734E-2</v>
      </c>
      <c r="Q261" s="18"/>
      <c r="R261" s="15"/>
      <c r="S261" s="15"/>
      <c r="T261" s="18"/>
      <c r="U261" s="67"/>
      <c r="V261" s="71"/>
      <c r="W261" s="63"/>
    </row>
    <row r="262" spans="1:23" s="6" customFormat="1" ht="21" customHeight="1" x14ac:dyDescent="0.15">
      <c r="A262" s="77"/>
      <c r="B262" s="2" t="s">
        <v>66</v>
      </c>
      <c r="C262" s="4" t="s">
        <v>23</v>
      </c>
      <c r="D262" s="36">
        <v>10007.56</v>
      </c>
      <c r="E262" s="36">
        <v>17294.150000000001</v>
      </c>
      <c r="F262" s="36">
        <v>14386.149999999998</v>
      </c>
      <c r="G262" s="36">
        <v>15770.350000000009</v>
      </c>
      <c r="H262" s="42">
        <v>11524.799999999994</v>
      </c>
      <c r="I262" s="36">
        <v>15751.25</v>
      </c>
      <c r="J262" s="36">
        <v>16096.25</v>
      </c>
      <c r="K262" s="36">
        <v>18256</v>
      </c>
      <c r="L262" s="36">
        <v>24319</v>
      </c>
      <c r="M262" s="48">
        <f t="shared" si="40"/>
        <v>143405.51</v>
      </c>
      <c r="N262" s="15">
        <f>M262/M260</f>
        <v>0.23930738027143325</v>
      </c>
      <c r="O262" s="48">
        <v>33552.688000000002</v>
      </c>
      <c r="P262" s="50">
        <f>O262/O260</f>
        <v>0.18645333594143335</v>
      </c>
      <c r="Q262" s="18"/>
      <c r="R262" s="15"/>
      <c r="S262" s="15"/>
      <c r="T262" s="18"/>
      <c r="U262" s="67"/>
      <c r="V262" s="71"/>
      <c r="W262" s="63"/>
    </row>
    <row r="263" spans="1:23" s="12" customFormat="1" ht="20.100000000000001" customHeight="1" x14ac:dyDescent="0.15">
      <c r="A263" s="77"/>
      <c r="B263" s="2" t="s">
        <v>93</v>
      </c>
      <c r="C263" s="4" t="s">
        <v>68</v>
      </c>
      <c r="D263" s="22">
        <v>795.29</v>
      </c>
      <c r="E263" s="22">
        <v>953</v>
      </c>
      <c r="F263" s="22">
        <v>23.65</v>
      </c>
      <c r="G263" s="22">
        <v>375</v>
      </c>
      <c r="H263" s="31">
        <v>79.349999999999994</v>
      </c>
      <c r="I263" s="22">
        <v>3510.76</v>
      </c>
      <c r="J263" s="22">
        <v>149</v>
      </c>
      <c r="K263" s="22">
        <v>320.10000000000002</v>
      </c>
      <c r="L263" s="24">
        <v>4117.6499999999996</v>
      </c>
      <c r="M263" s="36">
        <f t="shared" ref="M263:M265" si="41">D263+E263+F263+G263+H263+I263+J263+K263+L263</f>
        <v>10323.799999999999</v>
      </c>
      <c r="N263" s="15">
        <f>M263/M260</f>
        <v>1.7227800608541625E-2</v>
      </c>
      <c r="O263" s="48">
        <v>362</v>
      </c>
      <c r="P263" s="50">
        <f>O263/O260</f>
        <v>2.0116453147002371E-3</v>
      </c>
      <c r="Q263" s="18"/>
      <c r="R263" s="15"/>
      <c r="S263" s="15"/>
      <c r="T263" s="18"/>
      <c r="U263" s="67"/>
      <c r="V263" s="71"/>
      <c r="W263" s="62"/>
    </row>
    <row r="264" spans="1:23" s="12" customFormat="1" ht="20.100000000000001" customHeight="1" x14ac:dyDescent="0.15">
      <c r="A264" s="77"/>
      <c r="B264" s="2" t="s">
        <v>93</v>
      </c>
      <c r="C264" s="4" t="s">
        <v>69</v>
      </c>
      <c r="D264" s="22"/>
      <c r="E264" s="22"/>
      <c r="F264" s="22"/>
      <c r="G264" s="22"/>
      <c r="H264" s="31"/>
      <c r="I264" s="22"/>
      <c r="J264" s="22"/>
      <c r="K264" s="22"/>
      <c r="L264" s="22"/>
      <c r="M264" s="48">
        <f t="shared" si="41"/>
        <v>0</v>
      </c>
      <c r="N264" s="15">
        <f>M264/M260</f>
        <v>0</v>
      </c>
      <c r="O264" s="48">
        <v>0</v>
      </c>
      <c r="P264" s="50">
        <f>O264/O260</f>
        <v>0</v>
      </c>
      <c r="Q264" s="18"/>
      <c r="R264" s="15"/>
      <c r="S264" s="15"/>
      <c r="T264" s="18"/>
      <c r="U264" s="67"/>
      <c r="V264" s="71"/>
      <c r="W264" s="62"/>
    </row>
    <row r="265" spans="1:23" s="12" customFormat="1" ht="20.100000000000001" customHeight="1" x14ac:dyDescent="0.15">
      <c r="A265" s="77"/>
      <c r="B265" s="2" t="s">
        <v>93</v>
      </c>
      <c r="C265" s="4" t="s">
        <v>70</v>
      </c>
      <c r="D265" s="22"/>
      <c r="E265" s="22"/>
      <c r="F265" s="22"/>
      <c r="G265" s="22"/>
      <c r="H265" s="31"/>
      <c r="I265" s="22"/>
      <c r="J265" s="22"/>
      <c r="K265" s="22"/>
      <c r="L265" s="22"/>
      <c r="M265" s="48">
        <f t="shared" si="41"/>
        <v>0</v>
      </c>
      <c r="N265" s="15">
        <f>M265/M260</f>
        <v>0</v>
      </c>
      <c r="O265" s="48">
        <v>4957.26</v>
      </c>
      <c r="P265" s="50">
        <f>O265/O260</f>
        <v>2.7547648764505241E-2</v>
      </c>
      <c r="Q265" s="18"/>
      <c r="R265" s="15"/>
      <c r="S265" s="15"/>
      <c r="T265" s="18"/>
      <c r="U265" s="67"/>
      <c r="V265" s="72"/>
      <c r="W265" s="62"/>
    </row>
    <row r="266" spans="1:23" s="6" customFormat="1" ht="21" customHeight="1" x14ac:dyDescent="0.15">
      <c r="A266" s="77"/>
      <c r="B266" s="13" t="s">
        <v>115</v>
      </c>
      <c r="C266" s="23" t="s">
        <v>21</v>
      </c>
      <c r="D266" s="22"/>
      <c r="E266" s="22"/>
      <c r="F266" s="22"/>
      <c r="G266" s="22"/>
      <c r="H266" s="32"/>
      <c r="I266" s="36">
        <f>150000+65700+25000+8200+3000-32997.55</f>
        <v>218902.45</v>
      </c>
      <c r="J266" s="36">
        <f>43900-18759.7-820-3475.3</f>
        <v>20845</v>
      </c>
      <c r="K266" s="36">
        <f>43600-681.6</f>
        <v>42918.400000000001</v>
      </c>
      <c r="L266" s="36">
        <f>41500-40-5231.51+5260</f>
        <v>41488.49</v>
      </c>
      <c r="M266" s="48">
        <f t="shared" ref="M266:M268" si="42">SUM(D266:L266)</f>
        <v>324154.34000000003</v>
      </c>
      <c r="N266" s="21">
        <f>ROUND(M266/10000,2)</f>
        <v>32.42</v>
      </c>
      <c r="O266" s="21"/>
      <c r="P266" s="21"/>
      <c r="Q266" s="21"/>
      <c r="R266" s="21">
        <f>(M266-M267-M268-M269-M270-M271)/10000</f>
        <v>25.018805</v>
      </c>
      <c r="S266" s="15"/>
      <c r="T266" s="18"/>
      <c r="U266" s="67"/>
      <c r="V266" s="70" t="s">
        <v>156</v>
      </c>
      <c r="W266" s="63"/>
    </row>
    <row r="267" spans="1:23" s="6" customFormat="1" ht="21" customHeight="1" x14ac:dyDescent="0.15">
      <c r="A267" s="77"/>
      <c r="B267" s="13" t="s">
        <v>115</v>
      </c>
      <c r="C267" s="23" t="s">
        <v>22</v>
      </c>
      <c r="D267" s="22"/>
      <c r="E267" s="22"/>
      <c r="F267" s="22"/>
      <c r="G267" s="22"/>
      <c r="H267" s="34"/>
      <c r="I267" s="22">
        <v>0</v>
      </c>
      <c r="J267" s="22">
        <v>0</v>
      </c>
      <c r="K267" s="22">
        <v>0</v>
      </c>
      <c r="L267" s="22">
        <v>0</v>
      </c>
      <c r="M267" s="48">
        <f t="shared" si="42"/>
        <v>0</v>
      </c>
      <c r="N267" s="15">
        <f>M267/M266</f>
        <v>0</v>
      </c>
      <c r="O267" s="15"/>
      <c r="P267" s="15"/>
      <c r="Q267" s="18"/>
      <c r="R267" s="15"/>
      <c r="S267" s="15"/>
      <c r="T267" s="18"/>
      <c r="U267" s="67"/>
      <c r="V267" s="71"/>
      <c r="W267" s="63"/>
    </row>
    <row r="268" spans="1:23" s="6" customFormat="1" ht="21" customHeight="1" x14ac:dyDescent="0.15">
      <c r="A268" s="77"/>
      <c r="B268" s="13" t="s">
        <v>115</v>
      </c>
      <c r="C268" s="23" t="s">
        <v>23</v>
      </c>
      <c r="D268" s="22"/>
      <c r="E268" s="22"/>
      <c r="F268" s="22"/>
      <c r="G268" s="22"/>
      <c r="H268" s="32"/>
      <c r="I268" s="36">
        <v>9344</v>
      </c>
      <c r="J268" s="36">
        <v>0</v>
      </c>
      <c r="K268" s="36">
        <v>0</v>
      </c>
      <c r="L268" s="36">
        <v>35355</v>
      </c>
      <c r="M268" s="48">
        <f t="shared" si="42"/>
        <v>44699</v>
      </c>
      <c r="N268" s="15">
        <f>M268/M266</f>
        <v>0.13789418953946442</v>
      </c>
      <c r="O268" s="15"/>
      <c r="P268" s="15"/>
      <c r="Q268" s="18" t="s">
        <v>119</v>
      </c>
      <c r="R268" s="15"/>
      <c r="S268" s="15"/>
      <c r="T268" s="18"/>
      <c r="U268" s="67"/>
      <c r="V268" s="71"/>
      <c r="W268" s="63"/>
    </row>
    <row r="269" spans="1:23" s="12" customFormat="1" ht="20.100000000000001" customHeight="1" x14ac:dyDescent="0.15">
      <c r="A269" s="77"/>
      <c r="B269" s="13" t="s">
        <v>115</v>
      </c>
      <c r="C269" s="23" t="s">
        <v>68</v>
      </c>
      <c r="D269" s="22"/>
      <c r="E269" s="22"/>
      <c r="F269" s="22"/>
      <c r="G269" s="22"/>
      <c r="H269" s="34"/>
      <c r="I269" s="24">
        <v>6989.75</v>
      </c>
      <c r="J269" s="24">
        <v>16058.04</v>
      </c>
      <c r="K269" s="24">
        <v>1529.95</v>
      </c>
      <c r="L269" s="24">
        <v>4689.55</v>
      </c>
      <c r="M269" s="36">
        <f t="shared" ref="M269:M271" si="43">D269+E269+F269+G269+H269+I269+J269+K269+L269</f>
        <v>29267.29</v>
      </c>
      <c r="N269" s="15">
        <f>M269/M266</f>
        <v>9.0288132498858406E-2</v>
      </c>
      <c r="O269" s="15"/>
      <c r="P269" s="15"/>
      <c r="Q269" s="18"/>
      <c r="R269" s="15"/>
      <c r="S269" s="15"/>
      <c r="T269" s="18"/>
      <c r="U269" s="67"/>
      <c r="V269" s="71"/>
      <c r="W269" s="62"/>
    </row>
    <row r="270" spans="1:23" s="12" customFormat="1" ht="20.100000000000001" customHeight="1" x14ac:dyDescent="0.15">
      <c r="A270" s="77"/>
      <c r="B270" s="13" t="s">
        <v>115</v>
      </c>
      <c r="C270" s="23" t="s">
        <v>69</v>
      </c>
      <c r="D270" s="22"/>
      <c r="E270" s="22"/>
      <c r="F270" s="22"/>
      <c r="G270" s="22"/>
      <c r="H270" s="34"/>
      <c r="I270" s="22"/>
      <c r="J270" s="22"/>
      <c r="K270" s="22"/>
      <c r="L270" s="22"/>
      <c r="M270" s="48">
        <f t="shared" si="43"/>
        <v>0</v>
      </c>
      <c r="N270" s="15">
        <f>M270/M266</f>
        <v>0</v>
      </c>
      <c r="O270" s="15"/>
      <c r="P270" s="15"/>
      <c r="Q270" s="18"/>
      <c r="R270" s="15"/>
      <c r="S270" s="15"/>
      <c r="T270" s="18"/>
      <c r="U270" s="67"/>
      <c r="V270" s="71"/>
      <c r="W270" s="62"/>
    </row>
    <row r="271" spans="1:23" s="12" customFormat="1" ht="20.100000000000001" customHeight="1" x14ac:dyDescent="0.15">
      <c r="A271" s="77"/>
      <c r="B271" s="13" t="s">
        <v>115</v>
      </c>
      <c r="C271" s="23" t="s">
        <v>70</v>
      </c>
      <c r="D271" s="22"/>
      <c r="E271" s="22"/>
      <c r="F271" s="22"/>
      <c r="G271" s="22"/>
      <c r="H271" s="34"/>
      <c r="I271" s="22"/>
      <c r="J271" s="22"/>
      <c r="K271" s="22"/>
      <c r="L271" s="22"/>
      <c r="M271" s="48">
        <f t="shared" si="43"/>
        <v>0</v>
      </c>
      <c r="N271" s="15">
        <f>M271/M266</f>
        <v>0</v>
      </c>
      <c r="O271" s="15"/>
      <c r="P271" s="15"/>
      <c r="Q271" s="18"/>
      <c r="R271" s="15"/>
      <c r="S271" s="15"/>
      <c r="T271" s="18"/>
      <c r="U271" s="67"/>
      <c r="V271" s="72"/>
      <c r="W271" s="62"/>
    </row>
    <row r="272" spans="1:23" s="6" customFormat="1" ht="21" customHeight="1" x14ac:dyDescent="0.15">
      <c r="A272" s="77"/>
      <c r="B272" s="13" t="s">
        <v>116</v>
      </c>
      <c r="C272" s="23" t="s">
        <v>21</v>
      </c>
      <c r="D272" s="22"/>
      <c r="E272" s="22"/>
      <c r="F272" s="22"/>
      <c r="G272" s="22"/>
      <c r="H272" s="32"/>
      <c r="I272" s="36">
        <v>23761.06</v>
      </c>
      <c r="J272" s="36">
        <v>0</v>
      </c>
      <c r="K272" s="36">
        <v>59782.16</v>
      </c>
      <c r="L272" s="48">
        <v>29135.69</v>
      </c>
      <c r="M272" s="48">
        <f t="shared" ref="M272:M274" si="44">SUM(D272:L272)</f>
        <v>112678.91</v>
      </c>
      <c r="N272" s="21">
        <f>ROUND(M272/10000,2)</f>
        <v>11.27</v>
      </c>
      <c r="O272" s="21"/>
      <c r="P272" s="21"/>
      <c r="Q272" s="21"/>
      <c r="R272" s="21">
        <f>(M272-M273-M274-M275-M276-M277)/10000</f>
        <v>2.2177030000000006</v>
      </c>
      <c r="S272" s="15"/>
      <c r="T272" s="18"/>
      <c r="U272" s="67"/>
      <c r="V272" s="30"/>
      <c r="W272" s="63"/>
    </row>
    <row r="273" spans="1:24" s="6" customFormat="1" ht="21" customHeight="1" x14ac:dyDescent="0.15">
      <c r="A273" s="77"/>
      <c r="B273" s="13" t="s">
        <v>116</v>
      </c>
      <c r="C273" s="23" t="s">
        <v>22</v>
      </c>
      <c r="D273" s="22"/>
      <c r="E273" s="22"/>
      <c r="F273" s="22"/>
      <c r="G273" s="22"/>
      <c r="H273" s="37"/>
      <c r="I273" s="36">
        <f>118.8</f>
        <v>118.8</v>
      </c>
      <c r="J273" s="36">
        <v>0</v>
      </c>
      <c r="K273" s="36">
        <v>298.91000000000003</v>
      </c>
      <c r="L273" s="48">
        <v>145.66999999999999</v>
      </c>
      <c r="M273" s="48">
        <f t="shared" si="44"/>
        <v>563.38</v>
      </c>
      <c r="N273" s="15">
        <f>M273/M272</f>
        <v>4.9998708720203275E-3</v>
      </c>
      <c r="O273" s="15"/>
      <c r="P273" s="15"/>
      <c r="Q273" s="18"/>
      <c r="R273" s="15"/>
      <c r="S273" s="15"/>
      <c r="T273" s="18"/>
      <c r="U273" s="67"/>
      <c r="V273" s="30"/>
      <c r="W273" s="63"/>
    </row>
    <row r="274" spans="1:24" s="6" customFormat="1" ht="21" customHeight="1" x14ac:dyDescent="0.15">
      <c r="A274" s="77"/>
      <c r="B274" s="13" t="s">
        <v>116</v>
      </c>
      <c r="C274" s="23" t="s">
        <v>23</v>
      </c>
      <c r="D274" s="22"/>
      <c r="E274" s="22"/>
      <c r="F274" s="22"/>
      <c r="G274" s="22"/>
      <c r="H274" s="32"/>
      <c r="I274" s="36">
        <v>7397.25</v>
      </c>
      <c r="J274" s="36">
        <v>0</v>
      </c>
      <c r="K274" s="36">
        <v>22658.7</v>
      </c>
      <c r="L274" s="48">
        <v>14326.95</v>
      </c>
      <c r="M274" s="48">
        <f t="shared" si="44"/>
        <v>44382.9</v>
      </c>
      <c r="N274" s="15">
        <f>M274/M272</f>
        <v>0.39388826178740993</v>
      </c>
      <c r="O274" s="15"/>
      <c r="P274" s="15"/>
      <c r="Q274" s="18"/>
      <c r="R274" s="15"/>
      <c r="S274" s="15"/>
      <c r="T274" s="18"/>
      <c r="U274" s="67"/>
      <c r="V274" s="30"/>
      <c r="W274" s="63"/>
    </row>
    <row r="275" spans="1:24" s="12" customFormat="1" ht="20.100000000000001" customHeight="1" x14ac:dyDescent="0.15">
      <c r="A275" s="77"/>
      <c r="B275" s="13" t="s">
        <v>116</v>
      </c>
      <c r="C275" s="23" t="s">
        <v>68</v>
      </c>
      <c r="D275" s="22"/>
      <c r="E275" s="22"/>
      <c r="F275" s="22"/>
      <c r="G275" s="22"/>
      <c r="H275" s="37"/>
      <c r="I275" s="24"/>
      <c r="J275" s="22">
        <v>399</v>
      </c>
      <c r="K275" s="24">
        <v>2032.28</v>
      </c>
      <c r="L275" s="22">
        <v>599.32000000000005</v>
      </c>
      <c r="M275" s="36">
        <f t="shared" ref="M275:M277" si="45">D275+E275+F275+G275+H275+I275+J275+K275+L275</f>
        <v>3030.6</v>
      </c>
      <c r="N275" s="15">
        <f>M275/M272</f>
        <v>2.6895893827868941E-2</v>
      </c>
      <c r="O275" s="15"/>
      <c r="P275" s="15"/>
      <c r="Q275" s="18"/>
      <c r="R275" s="15"/>
      <c r="S275" s="15"/>
      <c r="T275" s="18"/>
      <c r="U275" s="67"/>
      <c r="V275" s="45"/>
      <c r="W275" s="62"/>
    </row>
    <row r="276" spans="1:24" s="12" customFormat="1" ht="20.100000000000001" customHeight="1" x14ac:dyDescent="0.15">
      <c r="A276" s="77"/>
      <c r="B276" s="13" t="s">
        <v>116</v>
      </c>
      <c r="C276" s="23" t="s">
        <v>69</v>
      </c>
      <c r="D276" s="22"/>
      <c r="E276" s="22"/>
      <c r="F276" s="22"/>
      <c r="G276" s="22"/>
      <c r="H276" s="37"/>
      <c r="I276" s="22"/>
      <c r="J276" s="22"/>
      <c r="K276" s="22"/>
      <c r="L276" s="22"/>
      <c r="M276" s="48">
        <f t="shared" si="45"/>
        <v>0</v>
      </c>
      <c r="N276" s="15">
        <f>M276/M272</f>
        <v>0</v>
      </c>
      <c r="O276" s="15"/>
      <c r="P276" s="15"/>
      <c r="Q276" s="18"/>
      <c r="R276" s="15"/>
      <c r="S276" s="15"/>
      <c r="T276" s="18"/>
      <c r="U276" s="67"/>
      <c r="V276" s="45"/>
      <c r="W276" s="62"/>
    </row>
    <row r="277" spans="1:24" s="12" customFormat="1" ht="20.100000000000001" customHeight="1" x14ac:dyDescent="0.15">
      <c r="A277" s="77"/>
      <c r="B277" s="13" t="s">
        <v>116</v>
      </c>
      <c r="C277" s="23" t="s">
        <v>70</v>
      </c>
      <c r="D277" s="22"/>
      <c r="E277" s="22"/>
      <c r="F277" s="22"/>
      <c r="G277" s="22"/>
      <c r="H277" s="37"/>
      <c r="I277" s="22"/>
      <c r="J277" s="22">
        <v>42525</v>
      </c>
      <c r="K277" s="22"/>
      <c r="L277" s="22"/>
      <c r="M277" s="48">
        <f t="shared" si="45"/>
        <v>42525</v>
      </c>
      <c r="N277" s="15">
        <f>M277/M272</f>
        <v>0.37739981687788776</v>
      </c>
      <c r="O277" s="15"/>
      <c r="P277" s="15"/>
      <c r="Q277" s="18"/>
      <c r="R277" s="15"/>
      <c r="S277" s="15"/>
      <c r="T277" s="18"/>
      <c r="U277" s="67"/>
      <c r="V277" s="45"/>
      <c r="W277" s="62"/>
    </row>
    <row r="278" spans="1:24" s="6" customFormat="1" ht="21" customHeight="1" x14ac:dyDescent="0.15">
      <c r="A278" s="77"/>
      <c r="B278" s="13" t="s">
        <v>117</v>
      </c>
      <c r="C278" s="23" t="s">
        <v>21</v>
      </c>
      <c r="D278" s="22"/>
      <c r="E278" s="22"/>
      <c r="F278" s="22"/>
      <c r="G278" s="22"/>
      <c r="H278" s="32"/>
      <c r="I278" s="22"/>
      <c r="J278" s="36">
        <v>11037</v>
      </c>
      <c r="K278" s="36">
        <v>20030</v>
      </c>
      <c r="L278" s="36">
        <v>23785</v>
      </c>
      <c r="M278" s="48">
        <f t="shared" ref="M278:M280" si="46">SUM(D278:L278)</f>
        <v>54852</v>
      </c>
      <c r="N278" s="21">
        <f>ROUND(M278/10000,2)</f>
        <v>5.49</v>
      </c>
      <c r="O278" s="21"/>
      <c r="P278" s="21"/>
      <c r="Q278" s="21"/>
      <c r="R278" s="21">
        <f>(M278-M279-M280-M281-M282-M283)/10000</f>
        <v>4.114776</v>
      </c>
      <c r="S278" s="15"/>
      <c r="T278" s="18"/>
      <c r="U278" s="67"/>
      <c r="V278" s="30"/>
      <c r="W278" s="63"/>
    </row>
    <row r="279" spans="1:24" s="6" customFormat="1" ht="21" customHeight="1" x14ac:dyDescent="0.15">
      <c r="A279" s="77"/>
      <c r="B279" s="13" t="s">
        <v>117</v>
      </c>
      <c r="C279" s="23" t="s">
        <v>22</v>
      </c>
      <c r="D279" s="22"/>
      <c r="E279" s="22"/>
      <c r="F279" s="22"/>
      <c r="G279" s="22"/>
      <c r="H279" s="37"/>
      <c r="I279" s="22"/>
      <c r="J279" s="36">
        <v>515.79999999999995</v>
      </c>
      <c r="K279" s="36">
        <v>887.73</v>
      </c>
      <c r="L279" s="36">
        <v>1005.03</v>
      </c>
      <c r="M279" s="48">
        <f t="shared" si="46"/>
        <v>2408.56</v>
      </c>
      <c r="N279" s="15">
        <f>M279/M278</f>
        <v>4.3910158244002039E-2</v>
      </c>
      <c r="O279" s="15"/>
      <c r="P279" s="15"/>
      <c r="Q279" s="18"/>
      <c r="R279" s="15"/>
      <c r="S279" s="15"/>
      <c r="T279" s="18"/>
      <c r="U279" s="67"/>
      <c r="V279" s="30"/>
      <c r="W279" s="63"/>
    </row>
    <row r="280" spans="1:24" s="6" customFormat="1" ht="21" customHeight="1" x14ac:dyDescent="0.15">
      <c r="A280" s="77"/>
      <c r="B280" s="13" t="s">
        <v>117</v>
      </c>
      <c r="C280" s="23" t="s">
        <v>23</v>
      </c>
      <c r="D280" s="22"/>
      <c r="E280" s="22"/>
      <c r="F280" s="22"/>
      <c r="G280" s="22"/>
      <c r="H280" s="32"/>
      <c r="I280" s="22"/>
      <c r="J280" s="36">
        <v>720.9</v>
      </c>
      <c r="K280" s="36">
        <v>2275.38</v>
      </c>
      <c r="L280" s="36">
        <v>3684.48</v>
      </c>
      <c r="M280" s="48">
        <f t="shared" si="46"/>
        <v>6680.76</v>
      </c>
      <c r="N280" s="15">
        <f>M280/M278</f>
        <v>0.12179610588492672</v>
      </c>
      <c r="O280" s="15"/>
      <c r="P280" s="15"/>
      <c r="Q280" s="18"/>
      <c r="R280" s="15"/>
      <c r="S280" s="15"/>
      <c r="T280" s="18"/>
      <c r="U280" s="67"/>
      <c r="V280" s="30"/>
      <c r="W280" s="63"/>
    </row>
    <row r="281" spans="1:24" s="12" customFormat="1" ht="20.100000000000001" customHeight="1" x14ac:dyDescent="0.15">
      <c r="A281" s="77"/>
      <c r="B281" s="13" t="s">
        <v>117</v>
      </c>
      <c r="C281" s="23" t="s">
        <v>68</v>
      </c>
      <c r="D281" s="22"/>
      <c r="E281" s="22"/>
      <c r="F281" s="22"/>
      <c r="G281" s="22"/>
      <c r="H281" s="37"/>
      <c r="I281" s="24"/>
      <c r="J281" s="24">
        <v>2129.6799999999998</v>
      </c>
      <c r="K281" s="22">
        <v>639.99</v>
      </c>
      <c r="L281" s="24">
        <v>1845.25</v>
      </c>
      <c r="M281" s="36">
        <f t="shared" ref="M281" si="47">D281+E281+F281+G281+H281+I281+J281+K281+L281</f>
        <v>4614.92</v>
      </c>
      <c r="N281" s="15">
        <f>M281/M278</f>
        <v>8.4134033398964483E-2</v>
      </c>
      <c r="O281" s="15"/>
      <c r="P281" s="15"/>
      <c r="Q281" s="18"/>
      <c r="R281" s="15"/>
      <c r="S281" s="15"/>
      <c r="T281" s="18"/>
      <c r="U281" s="67"/>
      <c r="V281" s="45"/>
      <c r="W281" s="62"/>
    </row>
    <row r="282" spans="1:24" s="12" customFormat="1" ht="20.100000000000001" customHeight="1" x14ac:dyDescent="0.15">
      <c r="A282" s="77"/>
      <c r="B282" s="13" t="s">
        <v>117</v>
      </c>
      <c r="C282" s="23" t="s">
        <v>69</v>
      </c>
      <c r="D282" s="22"/>
      <c r="E282" s="22"/>
      <c r="F282" s="22"/>
      <c r="G282" s="22"/>
      <c r="H282" s="37"/>
      <c r="I282" s="22"/>
      <c r="J282" s="22"/>
      <c r="K282" s="22"/>
      <c r="L282" s="22"/>
      <c r="M282" s="48">
        <f>D282+E282+F282+G282+H282+I282+J282+K282+L282</f>
        <v>0</v>
      </c>
      <c r="N282" s="15">
        <f>M282/M278</f>
        <v>0</v>
      </c>
      <c r="O282" s="15"/>
      <c r="P282" s="15"/>
      <c r="Q282" s="18"/>
      <c r="R282" s="15"/>
      <c r="S282" s="15"/>
      <c r="T282" s="18"/>
      <c r="U282" s="67"/>
      <c r="V282" s="45"/>
      <c r="W282" s="62"/>
    </row>
    <row r="283" spans="1:24" s="12" customFormat="1" ht="20.100000000000001" customHeight="1" x14ac:dyDescent="0.15">
      <c r="A283" s="78"/>
      <c r="B283" s="13" t="s">
        <v>117</v>
      </c>
      <c r="C283" s="23" t="s">
        <v>70</v>
      </c>
      <c r="D283" s="22"/>
      <c r="E283" s="22"/>
      <c r="F283" s="22"/>
      <c r="G283" s="22"/>
      <c r="H283" s="37"/>
      <c r="I283" s="22"/>
      <c r="J283" s="22"/>
      <c r="K283" s="22"/>
      <c r="L283" s="22"/>
      <c r="M283" s="48">
        <f>D283+E283+F283+G283+H283+I283+J283+K283+L283</f>
        <v>0</v>
      </c>
      <c r="N283" s="15">
        <f>M283/M278</f>
        <v>0</v>
      </c>
      <c r="O283" s="15"/>
      <c r="P283" s="15"/>
      <c r="Q283" s="18"/>
      <c r="R283" s="15"/>
      <c r="S283" s="15"/>
      <c r="T283" s="18"/>
      <c r="U283" s="67"/>
      <c r="V283" s="45"/>
      <c r="W283" s="62"/>
    </row>
    <row r="284" spans="1:24" s="12" customFormat="1" ht="20.100000000000001" customHeight="1" x14ac:dyDescent="0.15">
      <c r="A284" s="57" t="s">
        <v>176</v>
      </c>
      <c r="B284" s="13" t="s">
        <v>173</v>
      </c>
      <c r="C284" s="23"/>
      <c r="D284" s="22"/>
      <c r="E284" s="22"/>
      <c r="F284" s="22"/>
      <c r="G284" s="22"/>
      <c r="H284" s="56"/>
      <c r="I284" s="22"/>
      <c r="J284" s="22"/>
      <c r="K284" s="22"/>
      <c r="L284" s="22"/>
      <c r="M284" s="56"/>
      <c r="N284" s="50"/>
      <c r="O284" s="50"/>
      <c r="P284" s="50"/>
      <c r="Q284" s="18">
        <f>Q260+Q254+Q248+Q242+Q236+Q230+Q224+Q218+Q212+Q206+Q200+Q194+Q188</f>
        <v>1587</v>
      </c>
      <c r="R284" s="18">
        <f>R260+R254+R248+R242+R236+R230+R224+R218+R212+R206+R200+R194+R188</f>
        <v>1572.0332939999998</v>
      </c>
      <c r="S284" s="50">
        <f>R284/Q284</f>
        <v>0.99056918336483923</v>
      </c>
      <c r="T284" s="18">
        <f>R284-Q284</f>
        <v>-14.966706000000158</v>
      </c>
      <c r="U284" s="67">
        <f>IF((T284)&gt;0,2000+(T284)*0.05*10000,0)</f>
        <v>0</v>
      </c>
      <c r="V284" s="19" t="s">
        <v>177</v>
      </c>
      <c r="W284" s="62"/>
    </row>
    <row r="285" spans="1:24" ht="20.100000000000001" customHeight="1" x14ac:dyDescent="0.15">
      <c r="A285" s="76" t="s">
        <v>104</v>
      </c>
      <c r="B285" s="2" t="s">
        <v>0</v>
      </c>
      <c r="C285" s="4" t="s">
        <v>98</v>
      </c>
      <c r="D285" s="42">
        <v>141340</v>
      </c>
      <c r="E285" s="42">
        <v>190660</v>
      </c>
      <c r="F285" s="42">
        <v>147360</v>
      </c>
      <c r="G285" s="42">
        <f>170463-55</f>
        <v>170408</v>
      </c>
      <c r="H285" s="42">
        <v>138680</v>
      </c>
      <c r="I285" s="36">
        <f>271720-40</f>
        <v>271680</v>
      </c>
      <c r="J285" s="36">
        <f>160900-74</f>
        <v>160826</v>
      </c>
      <c r="K285" s="36">
        <f>183240-40</f>
        <v>183200</v>
      </c>
      <c r="L285" s="36">
        <v>175121</v>
      </c>
      <c r="M285" s="48">
        <f>SUM(D285:L285)</f>
        <v>1579275</v>
      </c>
      <c r="N285" s="21">
        <f>ROUND(M285/10000,2)</f>
        <v>157.93</v>
      </c>
      <c r="O285" s="48">
        <v>1498345</v>
      </c>
      <c r="P285" s="51">
        <f>M285-O285</f>
        <v>80930</v>
      </c>
      <c r="Q285" s="21">
        <f>VLOOKUP(B285,[1]Sheet1!$B$3:$E$53,4,0)</f>
        <v>111</v>
      </c>
      <c r="R285" s="21">
        <f>(M285-M286-M287-M288-M289-M290)/10000</f>
        <v>101.560704</v>
      </c>
      <c r="S285" s="15">
        <f>R285/Q285</f>
        <v>0.91496129729729736</v>
      </c>
      <c r="T285" s="18">
        <f>R285-Q285</f>
        <v>-9.4392959999999988</v>
      </c>
      <c r="U285" s="67">
        <f>IF((T285)&gt;0,2000+(T285)*0.05*10000,0)</f>
        <v>0</v>
      </c>
      <c r="V285" s="70" t="s">
        <v>157</v>
      </c>
      <c r="W285" s="50"/>
      <c r="X285" s="61"/>
    </row>
    <row r="286" spans="1:24" ht="20.100000000000001" customHeight="1" x14ac:dyDescent="0.15">
      <c r="A286" s="77"/>
      <c r="B286" s="2" t="s">
        <v>0</v>
      </c>
      <c r="C286" s="4" t="s">
        <v>99</v>
      </c>
      <c r="D286" s="42">
        <v>8480.4</v>
      </c>
      <c r="E286" s="42">
        <v>11439.6</v>
      </c>
      <c r="F286" s="42">
        <v>8841.6</v>
      </c>
      <c r="G286" s="42">
        <v>10227.780000000001</v>
      </c>
      <c r="H286" s="42">
        <v>8320.7999999999993</v>
      </c>
      <c r="I286" s="42">
        <v>16303.2</v>
      </c>
      <c r="J286" s="42">
        <v>9654</v>
      </c>
      <c r="K286" s="36">
        <v>10994.4</v>
      </c>
      <c r="L286" s="36">
        <v>10507.26</v>
      </c>
      <c r="M286" s="48">
        <f>SUM(D286:L286)</f>
        <v>94769.039999999979</v>
      </c>
      <c r="N286" s="15">
        <f>M286/M285</f>
        <v>6.0007940352376866E-2</v>
      </c>
      <c r="O286" s="48">
        <v>89902.8</v>
      </c>
      <c r="P286" s="50">
        <f>O286/O285</f>
        <v>6.0001401546372832E-2</v>
      </c>
      <c r="Q286" s="18"/>
      <c r="R286" s="15"/>
      <c r="S286" s="15"/>
      <c r="T286" s="18"/>
      <c r="U286" s="67"/>
      <c r="V286" s="71"/>
      <c r="W286" s="50"/>
      <c r="X286" s="61"/>
    </row>
    <row r="287" spans="1:24" ht="20.100000000000001" customHeight="1" x14ac:dyDescent="0.15">
      <c r="A287" s="77"/>
      <c r="B287" s="2" t="s">
        <v>0</v>
      </c>
      <c r="C287" s="4" t="s">
        <v>100</v>
      </c>
      <c r="D287" s="42">
        <v>59352.39</v>
      </c>
      <c r="E287" s="42">
        <v>69468.36</v>
      </c>
      <c r="F287" s="42">
        <v>46676.24</v>
      </c>
      <c r="G287" s="42">
        <v>37593.51</v>
      </c>
      <c r="H287" s="42">
        <v>37417.9</v>
      </c>
      <c r="I287" s="36">
        <v>49010.47</v>
      </c>
      <c r="J287" s="36">
        <v>35289.949999999997</v>
      </c>
      <c r="K287" s="36">
        <v>47132.480000000003</v>
      </c>
      <c r="L287" s="36">
        <v>60091.16</v>
      </c>
      <c r="M287" s="48">
        <f>SUM(D287:L287)</f>
        <v>442032.45999999996</v>
      </c>
      <c r="N287" s="15">
        <f>M287/M285</f>
        <v>0.27989581295214572</v>
      </c>
      <c r="O287" s="48">
        <v>415853.6</v>
      </c>
      <c r="P287" s="50">
        <f>O287/O285</f>
        <v>0.27754195462326764</v>
      </c>
      <c r="Q287" s="18"/>
      <c r="R287" s="15"/>
      <c r="S287" s="15"/>
      <c r="T287" s="18"/>
      <c r="U287" s="67"/>
      <c r="V287" s="71"/>
      <c r="W287" s="50"/>
    </row>
    <row r="288" spans="1:24" s="12" customFormat="1" ht="20.100000000000001" customHeight="1" x14ac:dyDescent="0.15">
      <c r="A288" s="77"/>
      <c r="B288" s="2" t="s">
        <v>0</v>
      </c>
      <c r="C288" s="4" t="s">
        <v>95</v>
      </c>
      <c r="D288" s="24">
        <v>3800.85</v>
      </c>
      <c r="E288" s="22">
        <v>313.63</v>
      </c>
      <c r="F288" s="24">
        <v>2839.49</v>
      </c>
      <c r="G288" s="22">
        <v>289.57</v>
      </c>
      <c r="H288" s="33">
        <v>6640.4</v>
      </c>
      <c r="I288" s="22">
        <v>7251.09</v>
      </c>
      <c r="J288" s="24">
        <v>2417.52</v>
      </c>
      <c r="K288" s="22">
        <v>918.79</v>
      </c>
      <c r="L288" s="24">
        <v>2395.12</v>
      </c>
      <c r="M288" s="36">
        <f t="shared" ref="M288:M290" si="48">D288+E288+F288+G288+H288+I288+J288+K288+L288</f>
        <v>26866.46</v>
      </c>
      <c r="N288" s="15">
        <f>M288/M285</f>
        <v>1.7011894698516723E-2</v>
      </c>
      <c r="O288" s="48">
        <v>14437.95</v>
      </c>
      <c r="P288" s="50">
        <f>O288/O285</f>
        <v>9.6359316445811891E-3</v>
      </c>
      <c r="Q288" s="18"/>
      <c r="R288" s="15"/>
      <c r="S288" s="15"/>
      <c r="T288" s="18"/>
      <c r="U288" s="67"/>
      <c r="V288" s="71"/>
      <c r="W288" s="62"/>
    </row>
    <row r="289" spans="1:23" s="12" customFormat="1" ht="20.100000000000001" customHeight="1" x14ac:dyDescent="0.15">
      <c r="A289" s="77"/>
      <c r="B289" s="2" t="s">
        <v>0</v>
      </c>
      <c r="C289" s="4" t="s">
        <v>69</v>
      </c>
      <c r="D289" s="60"/>
      <c r="E289" s="60"/>
      <c r="F289" s="60"/>
      <c r="G289" s="60"/>
      <c r="H289" s="60"/>
      <c r="I289" s="39"/>
      <c r="J289" s="39"/>
      <c r="K289" s="60"/>
      <c r="L289" s="60"/>
      <c r="M289" s="48">
        <f t="shared" si="48"/>
        <v>0</v>
      </c>
      <c r="N289" s="15">
        <f>M289/M285</f>
        <v>0</v>
      </c>
      <c r="O289" s="48">
        <v>0</v>
      </c>
      <c r="P289" s="50">
        <f>O289/O285</f>
        <v>0</v>
      </c>
      <c r="Q289" s="18"/>
      <c r="R289" s="15"/>
      <c r="S289" s="15"/>
      <c r="T289" s="18"/>
      <c r="U289" s="67"/>
      <c r="V289" s="71"/>
      <c r="W289" s="62"/>
    </row>
    <row r="290" spans="1:23" s="12" customFormat="1" ht="20.100000000000001" customHeight="1" x14ac:dyDescent="0.15">
      <c r="A290" s="77"/>
      <c r="B290" s="2" t="s">
        <v>0</v>
      </c>
      <c r="C290" s="4" t="s">
        <v>97</v>
      </c>
      <c r="D290" s="22"/>
      <c r="E290" s="22"/>
      <c r="F290" s="22"/>
      <c r="G290" s="22"/>
      <c r="H290" s="31"/>
      <c r="I290" s="22"/>
      <c r="J290" s="22"/>
      <c r="K290" s="22"/>
      <c r="L290" s="22"/>
      <c r="M290" s="48">
        <f t="shared" si="48"/>
        <v>0</v>
      </c>
      <c r="N290" s="15">
        <f>M290/M285</f>
        <v>0</v>
      </c>
      <c r="O290" s="48">
        <v>0</v>
      </c>
      <c r="P290" s="50">
        <f>O290/O285</f>
        <v>0</v>
      </c>
      <c r="Q290" s="18"/>
      <c r="R290" s="15"/>
      <c r="S290" s="15"/>
      <c r="T290" s="18"/>
      <c r="U290" s="67"/>
      <c r="V290" s="72"/>
      <c r="W290" s="62"/>
    </row>
    <row r="291" spans="1:23" ht="20.100000000000001" customHeight="1" x14ac:dyDescent="0.15">
      <c r="A291" s="77"/>
      <c r="B291" s="2" t="s">
        <v>1</v>
      </c>
      <c r="C291" s="4" t="s">
        <v>98</v>
      </c>
      <c r="D291" s="36">
        <v>51820</v>
      </c>
      <c r="E291" s="36">
        <v>150988.44</v>
      </c>
      <c r="F291" s="36">
        <v>85196.18</v>
      </c>
      <c r="G291" s="36">
        <v>90498.68</v>
      </c>
      <c r="H291" s="36">
        <v>65453.38</v>
      </c>
      <c r="I291" s="36">
        <f>136615.84-84</f>
        <v>136531.84</v>
      </c>
      <c r="J291" s="36">
        <v>116164.98</v>
      </c>
      <c r="K291" s="36">
        <f>107627.74-9728.3</f>
        <v>97899.44</v>
      </c>
      <c r="L291" s="36">
        <v>125621.39</v>
      </c>
      <c r="M291" s="48">
        <f>SUM(D291:L291)</f>
        <v>920174.33</v>
      </c>
      <c r="N291" s="21">
        <f>ROUND(M291/10000,2)</f>
        <v>92.02</v>
      </c>
      <c r="O291" s="48">
        <v>1026264.13</v>
      </c>
      <c r="P291" s="51">
        <f>M291-O291</f>
        <v>-106089.80000000005</v>
      </c>
      <c r="Q291" s="21">
        <f>VLOOKUP(B291,[1]Sheet1!$B$3:$E$53,4,0)</f>
        <v>87</v>
      </c>
      <c r="R291" s="21">
        <f>(M291-M292-M293-M294-M295-M296)/10000</f>
        <v>65.618967999999995</v>
      </c>
      <c r="S291" s="15">
        <f>R291/Q291</f>
        <v>0.75424101149425282</v>
      </c>
      <c r="T291" s="18">
        <f>R291-Q291</f>
        <v>-21.381032000000005</v>
      </c>
      <c r="U291" s="67">
        <f>IF((T291+T297)&gt;0,2000+(T291+T297)*0.05*10000,0)</f>
        <v>0</v>
      </c>
      <c r="V291" s="70" t="s">
        <v>158</v>
      </c>
      <c r="W291" s="50"/>
    </row>
    <row r="292" spans="1:23" ht="20.100000000000001" customHeight="1" x14ac:dyDescent="0.15">
      <c r="A292" s="77"/>
      <c r="B292" s="2" t="s">
        <v>1</v>
      </c>
      <c r="C292" s="4" t="s">
        <v>44</v>
      </c>
      <c r="D292" s="36">
        <v>3109.2</v>
      </c>
      <c r="E292" s="36">
        <v>9059.31</v>
      </c>
      <c r="F292" s="36">
        <v>5111.7700000000004</v>
      </c>
      <c r="G292" s="36">
        <v>5429.92</v>
      </c>
      <c r="H292" s="36">
        <v>3927.2</v>
      </c>
      <c r="I292" s="36">
        <v>8196.9500000000007</v>
      </c>
      <c r="J292" s="36">
        <v>6969.9</v>
      </c>
      <c r="K292" s="36">
        <v>6457.66</v>
      </c>
      <c r="L292" s="36">
        <v>7537.28</v>
      </c>
      <c r="M292" s="48">
        <f>SUM(D292:L292)</f>
        <v>55799.19</v>
      </c>
      <c r="N292" s="15">
        <f>M292/M291</f>
        <v>6.0639802894740615E-2</v>
      </c>
      <c r="O292" s="48">
        <v>61578.67</v>
      </c>
      <c r="P292" s="50">
        <f>O292/O291</f>
        <v>6.0002749974317038E-2</v>
      </c>
      <c r="Q292" s="18"/>
      <c r="R292" s="15"/>
      <c r="S292" s="15"/>
      <c r="T292" s="18"/>
      <c r="U292" s="67"/>
      <c r="V292" s="71"/>
      <c r="W292" s="50"/>
    </row>
    <row r="293" spans="1:23" ht="20.100000000000001" customHeight="1" x14ac:dyDescent="0.15">
      <c r="A293" s="77"/>
      <c r="B293" s="2" t="s">
        <v>1</v>
      </c>
      <c r="C293" s="4" t="s">
        <v>43</v>
      </c>
      <c r="D293" s="36">
        <v>28164.300000000003</v>
      </c>
      <c r="E293" s="36">
        <v>24027.95</v>
      </c>
      <c r="F293" s="36">
        <v>17630.2</v>
      </c>
      <c r="G293" s="36">
        <v>13983.6</v>
      </c>
      <c r="H293" s="36">
        <v>13321.55</v>
      </c>
      <c r="I293" s="36">
        <v>10625.7</v>
      </c>
      <c r="J293" s="36">
        <v>19052.75</v>
      </c>
      <c r="K293" s="36">
        <v>25731.599999999999</v>
      </c>
      <c r="L293" s="36">
        <v>32792.699999999997</v>
      </c>
      <c r="M293" s="48">
        <f>SUM(D293:L293)</f>
        <v>185330.34999999998</v>
      </c>
      <c r="N293" s="15">
        <f>M293/M291</f>
        <v>0.20140786800692428</v>
      </c>
      <c r="O293" s="48">
        <v>167812</v>
      </c>
      <c r="P293" s="50">
        <f>O293/O291</f>
        <v>0.16351735883042118</v>
      </c>
      <c r="Q293" s="18"/>
      <c r="R293" s="15"/>
      <c r="S293" s="15"/>
      <c r="T293" s="18"/>
      <c r="U293" s="67"/>
      <c r="V293" s="71"/>
      <c r="W293" s="50"/>
    </row>
    <row r="294" spans="1:23" s="12" customFormat="1" ht="20.100000000000001" customHeight="1" x14ac:dyDescent="0.15">
      <c r="A294" s="77"/>
      <c r="B294" s="2" t="s">
        <v>1</v>
      </c>
      <c r="C294" s="4" t="s">
        <v>95</v>
      </c>
      <c r="D294" s="22">
        <v>841.82</v>
      </c>
      <c r="E294" s="22">
        <v>0</v>
      </c>
      <c r="F294" s="24">
        <v>2214.9</v>
      </c>
      <c r="G294" s="22">
        <v>287</v>
      </c>
      <c r="H294" s="31">
        <v>617.91</v>
      </c>
      <c r="I294" s="22">
        <v>806.78</v>
      </c>
      <c r="J294" s="24">
        <v>5055.25</v>
      </c>
      <c r="K294" s="24">
        <v>6770.19</v>
      </c>
      <c r="L294" s="24">
        <v>6261.26</v>
      </c>
      <c r="M294" s="36">
        <f t="shared" ref="M294:M296" si="49">D294+E294+F294+G294+H294+I294+J294+K294+L294</f>
        <v>22855.11</v>
      </c>
      <c r="N294" s="15">
        <f>M294/M291</f>
        <v>2.4837804375612175E-2</v>
      </c>
      <c r="O294" s="48">
        <v>15071.32</v>
      </c>
      <c r="P294" s="50">
        <f>O294/O291</f>
        <v>1.4685615095988983E-2</v>
      </c>
      <c r="Q294" s="18"/>
      <c r="R294" s="15"/>
      <c r="S294" s="15"/>
      <c r="T294" s="18"/>
      <c r="U294" s="67"/>
      <c r="V294" s="71"/>
      <c r="W294" s="62"/>
    </row>
    <row r="295" spans="1:23" s="12" customFormat="1" ht="20.100000000000001" customHeight="1" x14ac:dyDescent="0.15">
      <c r="A295" s="77"/>
      <c r="B295" s="2" t="s">
        <v>1</v>
      </c>
      <c r="C295" s="4" t="s">
        <v>96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48">
        <f t="shared" si="49"/>
        <v>0</v>
      </c>
      <c r="N295" s="15">
        <f>M295/M291</f>
        <v>0</v>
      </c>
      <c r="O295" s="48">
        <v>0</v>
      </c>
      <c r="P295" s="50">
        <f>O295/O291</f>
        <v>0</v>
      </c>
      <c r="Q295" s="18"/>
      <c r="R295" s="15"/>
      <c r="S295" s="15"/>
      <c r="T295" s="18"/>
      <c r="U295" s="67"/>
      <c r="V295" s="71"/>
      <c r="W295" s="62"/>
    </row>
    <row r="296" spans="1:23" s="12" customFormat="1" ht="20.100000000000001" customHeight="1" x14ac:dyDescent="0.15">
      <c r="A296" s="77"/>
      <c r="B296" s="2" t="s">
        <v>1</v>
      </c>
      <c r="C296" s="4" t="s">
        <v>97</v>
      </c>
      <c r="D296" s="22"/>
      <c r="E296" s="22"/>
      <c r="F296" s="22"/>
      <c r="G296" s="22"/>
      <c r="H296" s="31"/>
      <c r="I296" s="22"/>
      <c r="J296" s="22"/>
      <c r="K296" s="22"/>
      <c r="L296" s="22"/>
      <c r="M296" s="48">
        <f t="shared" si="49"/>
        <v>0</v>
      </c>
      <c r="N296" s="15">
        <f>M296/M291</f>
        <v>0</v>
      </c>
      <c r="O296" s="48">
        <v>0</v>
      </c>
      <c r="P296" s="50">
        <f>O296/O291</f>
        <v>0</v>
      </c>
      <c r="Q296" s="18"/>
      <c r="R296" s="15"/>
      <c r="S296" s="15"/>
      <c r="T296" s="18"/>
      <c r="U296" s="67"/>
      <c r="V296" s="71"/>
      <c r="W296" s="62"/>
    </row>
    <row r="297" spans="1:23" ht="20.100000000000001" customHeight="1" x14ac:dyDescent="0.15">
      <c r="A297" s="77"/>
      <c r="B297" s="2" t="s">
        <v>3</v>
      </c>
      <c r="C297" s="4" t="s">
        <v>98</v>
      </c>
      <c r="D297" s="36">
        <v>31968.75</v>
      </c>
      <c r="E297" s="36">
        <v>35891.4</v>
      </c>
      <c r="F297" s="36">
        <v>25569.01</v>
      </c>
      <c r="G297" s="36">
        <v>33230.35</v>
      </c>
      <c r="H297" s="36">
        <v>26319.77</v>
      </c>
      <c r="I297" s="36">
        <v>36985.06</v>
      </c>
      <c r="J297" s="36">
        <v>30530.69</v>
      </c>
      <c r="K297" s="36">
        <v>28626.27</v>
      </c>
      <c r="L297" s="36">
        <v>28016.18</v>
      </c>
      <c r="M297" s="48">
        <f>SUM(D297:L297)</f>
        <v>277137.48</v>
      </c>
      <c r="N297" s="21">
        <f>ROUND(M297/10000,2)</f>
        <v>27.71</v>
      </c>
      <c r="O297" s="48">
        <v>269167.07</v>
      </c>
      <c r="P297" s="51">
        <f>M297-O297</f>
        <v>7970.4099999999744</v>
      </c>
      <c r="Q297" s="21">
        <f>VLOOKUP(B297,[1]Sheet1!$B$3:$E$53,4,0)</f>
        <v>21</v>
      </c>
      <c r="R297" s="21">
        <f>(M297-M298-M299-M300-M301-M302)/10000</f>
        <v>18.939506999999995</v>
      </c>
      <c r="S297" s="15">
        <f>R297/Q297</f>
        <v>0.9018812857142855</v>
      </c>
      <c r="T297" s="18">
        <f>R297-Q297</f>
        <v>-2.0604930000000046</v>
      </c>
      <c r="U297" s="67"/>
      <c r="V297" s="71"/>
      <c r="W297" s="50"/>
    </row>
    <row r="298" spans="1:23" ht="20.100000000000001" customHeight="1" x14ac:dyDescent="0.15">
      <c r="A298" s="77"/>
      <c r="B298" s="2" t="s">
        <v>3</v>
      </c>
      <c r="C298" s="4" t="s">
        <v>99</v>
      </c>
      <c r="D298" s="36">
        <v>1918.13</v>
      </c>
      <c r="E298" s="36">
        <v>2153.4899999999998</v>
      </c>
      <c r="F298" s="36">
        <v>1534.14</v>
      </c>
      <c r="G298" s="36">
        <v>1993.82</v>
      </c>
      <c r="H298" s="36">
        <v>1579.19</v>
      </c>
      <c r="I298" s="36">
        <v>2219.1</v>
      </c>
      <c r="J298" s="36">
        <v>1831.84</v>
      </c>
      <c r="K298" s="36">
        <v>1717.58</v>
      </c>
      <c r="L298" s="36">
        <v>1680.97</v>
      </c>
      <c r="M298" s="48">
        <f>SUM(D298:L298)</f>
        <v>16628.260000000002</v>
      </c>
      <c r="N298" s="15">
        <f>M298/M297</f>
        <v>6.0000040413155244E-2</v>
      </c>
      <c r="O298" s="48">
        <v>16150.02</v>
      </c>
      <c r="P298" s="50">
        <f>O298/O297</f>
        <v>5.9999984396308208E-2</v>
      </c>
      <c r="Q298" s="18"/>
      <c r="R298" s="15"/>
      <c r="S298" s="15"/>
      <c r="T298" s="18"/>
      <c r="U298" s="67"/>
      <c r="V298" s="71"/>
      <c r="W298" s="50"/>
    </row>
    <row r="299" spans="1:23" ht="20.100000000000001" customHeight="1" x14ac:dyDescent="0.15">
      <c r="A299" s="77"/>
      <c r="B299" s="2" t="s">
        <v>3</v>
      </c>
      <c r="C299" s="4" t="s">
        <v>100</v>
      </c>
      <c r="D299" s="36">
        <v>13088.85</v>
      </c>
      <c r="E299" s="36">
        <v>9204.77</v>
      </c>
      <c r="F299" s="36">
        <v>6112.26</v>
      </c>
      <c r="G299" s="36">
        <v>4589.83</v>
      </c>
      <c r="H299" s="36">
        <v>3937.67</v>
      </c>
      <c r="I299" s="36">
        <v>4556.2700000000004</v>
      </c>
      <c r="J299" s="36">
        <v>4932.5200000000004</v>
      </c>
      <c r="K299" s="36">
        <v>5948.72</v>
      </c>
      <c r="L299" s="36">
        <v>8967.5</v>
      </c>
      <c r="M299" s="48">
        <f>SUM(D299:L299)</f>
        <v>61338.390000000014</v>
      </c>
      <c r="N299" s="15">
        <f>M299/M297</f>
        <v>0.22132838185582124</v>
      </c>
      <c r="O299" s="48">
        <v>60805.75</v>
      </c>
      <c r="P299" s="50">
        <f>O299/O297</f>
        <v>0.22590337666490926</v>
      </c>
      <c r="Q299" s="18"/>
      <c r="R299" s="15"/>
      <c r="S299" s="15"/>
      <c r="T299" s="18"/>
      <c r="U299" s="67"/>
      <c r="V299" s="71"/>
      <c r="W299" s="50"/>
    </row>
    <row r="300" spans="1:23" s="12" customFormat="1" ht="20.100000000000001" customHeight="1" x14ac:dyDescent="0.15">
      <c r="A300" s="77"/>
      <c r="B300" s="2" t="s">
        <v>3</v>
      </c>
      <c r="C300" s="4" t="s">
        <v>95</v>
      </c>
      <c r="D300" s="22">
        <v>0</v>
      </c>
      <c r="E300" s="22">
        <v>171</v>
      </c>
      <c r="F300" s="24">
        <v>2161</v>
      </c>
      <c r="G300" s="22">
        <v>0</v>
      </c>
      <c r="H300" s="31">
        <v>64.66</v>
      </c>
      <c r="I300" s="22">
        <v>0</v>
      </c>
      <c r="J300" s="24">
        <v>1926</v>
      </c>
      <c r="K300" s="22">
        <v>0</v>
      </c>
      <c r="L300" s="24">
        <v>5453.1</v>
      </c>
      <c r="M300" s="36">
        <f t="shared" ref="M300:M302" si="50">D300+E300+F300+G300+H300+I300+J300+K300+L300</f>
        <v>9775.76</v>
      </c>
      <c r="N300" s="15">
        <f>M300/M297</f>
        <v>3.5274045213949411E-2</v>
      </c>
      <c r="O300" s="48">
        <v>168</v>
      </c>
      <c r="P300" s="50">
        <f>O300/O297</f>
        <v>6.2414767155581099E-4</v>
      </c>
      <c r="Q300" s="18"/>
      <c r="R300" s="15"/>
      <c r="S300" s="15"/>
      <c r="T300" s="18"/>
      <c r="U300" s="67"/>
      <c r="V300" s="71"/>
      <c r="W300" s="62"/>
    </row>
    <row r="301" spans="1:23" s="12" customFormat="1" ht="20.100000000000001" customHeight="1" x14ac:dyDescent="0.15">
      <c r="A301" s="77"/>
      <c r="B301" s="2" t="s">
        <v>3</v>
      </c>
      <c r="C301" s="4" t="s">
        <v>96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48">
        <f t="shared" si="50"/>
        <v>0</v>
      </c>
      <c r="N301" s="15">
        <f>M301/M297</f>
        <v>0</v>
      </c>
      <c r="O301" s="48">
        <v>12621.36</v>
      </c>
      <c r="P301" s="50">
        <f>O301/O297</f>
        <v>4.6890431284926495E-2</v>
      </c>
      <c r="Q301" s="18"/>
      <c r="R301" s="15"/>
      <c r="S301" s="15"/>
      <c r="T301" s="18"/>
      <c r="U301" s="67"/>
      <c r="V301" s="71"/>
      <c r="W301" s="62"/>
    </row>
    <row r="302" spans="1:23" s="12" customFormat="1" ht="20.100000000000001" customHeight="1" x14ac:dyDescent="0.15">
      <c r="A302" s="77"/>
      <c r="B302" s="2" t="s">
        <v>3</v>
      </c>
      <c r="C302" s="4" t="s">
        <v>97</v>
      </c>
      <c r="D302" s="22"/>
      <c r="E302" s="22"/>
      <c r="F302" s="22"/>
      <c r="G302" s="22"/>
      <c r="H302" s="31"/>
      <c r="I302" s="22"/>
      <c r="J302" s="22"/>
      <c r="K302" s="22"/>
      <c r="L302" s="22"/>
      <c r="M302" s="48">
        <f t="shared" si="50"/>
        <v>0</v>
      </c>
      <c r="N302" s="15">
        <f>M302/M297</f>
        <v>0</v>
      </c>
      <c r="O302" s="48">
        <v>0</v>
      </c>
      <c r="P302" s="50">
        <f>O302/O297</f>
        <v>0</v>
      </c>
      <c r="Q302" s="18"/>
      <c r="R302" s="15"/>
      <c r="S302" s="15"/>
      <c r="T302" s="18"/>
      <c r="U302" s="67"/>
      <c r="V302" s="72"/>
      <c r="W302" s="62"/>
    </row>
    <row r="303" spans="1:23" ht="20.100000000000001" customHeight="1" x14ac:dyDescent="0.15">
      <c r="A303" s="77"/>
      <c r="B303" s="2" t="s">
        <v>2</v>
      </c>
      <c r="C303" s="4" t="s">
        <v>98</v>
      </c>
      <c r="D303" s="36">
        <f>325321.29-86-241</f>
        <v>324994.28999999998</v>
      </c>
      <c r="E303" s="36">
        <v>203830</v>
      </c>
      <c r="F303" s="36">
        <f>252360-57</f>
        <v>252303</v>
      </c>
      <c r="G303" s="36">
        <f>274900-20</f>
        <v>274880</v>
      </c>
      <c r="H303" s="36">
        <f>211406.65+28510-21</f>
        <v>239895.65</v>
      </c>
      <c r="I303" s="36">
        <f>397205.86+81920-14</f>
        <v>479111.86</v>
      </c>
      <c r="J303" s="36">
        <f>254566.9-4862.2</f>
        <v>249704.69999999998</v>
      </c>
      <c r="K303" s="36">
        <f>33160+279335.85-20-88.2</f>
        <v>312387.64999999997</v>
      </c>
      <c r="L303" s="36">
        <f>59760+276815.88</f>
        <v>336575.88</v>
      </c>
      <c r="M303" s="48">
        <f>SUM(D303:L303)</f>
        <v>2673683.0299999998</v>
      </c>
      <c r="N303" s="21">
        <f>ROUND(M303/10000,2)</f>
        <v>267.37</v>
      </c>
      <c r="O303" s="48">
        <v>2516063.9900000002</v>
      </c>
      <c r="P303" s="51">
        <f>M303-O303</f>
        <v>157619.03999999957</v>
      </c>
      <c r="Q303" s="21">
        <f>VLOOKUP(B303,[1]Sheet1!$B$3:$E$53,4,0)</f>
        <v>191</v>
      </c>
      <c r="R303" s="21">
        <f>(M303-M304-M305-M306-M307-M308)/10000</f>
        <v>176.24579199999999</v>
      </c>
      <c r="S303" s="15">
        <f>R303/Q303</f>
        <v>0.92275283769633509</v>
      </c>
      <c r="T303" s="18">
        <f>R303-Q303</f>
        <v>-14.754208000000006</v>
      </c>
      <c r="U303" s="67">
        <f>IF((T303)&gt;0,2000+(T303)*0.05*10000,0)</f>
        <v>0</v>
      </c>
      <c r="V303" s="70" t="s">
        <v>159</v>
      </c>
      <c r="W303" s="50"/>
    </row>
    <row r="304" spans="1:23" ht="20.100000000000001" customHeight="1" x14ac:dyDescent="0.15">
      <c r="A304" s="77"/>
      <c r="B304" s="2" t="s">
        <v>2</v>
      </c>
      <c r="C304" s="4" t="s">
        <v>99</v>
      </c>
      <c r="D304" s="22">
        <v>0</v>
      </c>
      <c r="E304" s="36">
        <v>32872.29</v>
      </c>
      <c r="F304" s="36">
        <v>15806.5</v>
      </c>
      <c r="G304" s="36">
        <v>18053.3</v>
      </c>
      <c r="H304" s="36">
        <v>15467.87</v>
      </c>
      <c r="I304" s="36">
        <v>33156.47</v>
      </c>
      <c r="J304" s="36">
        <v>19855.150000000001</v>
      </c>
      <c r="K304" s="36">
        <v>23300.37</v>
      </c>
      <c r="L304" s="36">
        <v>23117.17</v>
      </c>
      <c r="M304" s="48">
        <f>SUM(D304:L304)</f>
        <v>181629.12</v>
      </c>
      <c r="N304" s="15">
        <f>M304/M303</f>
        <v>6.7932181175567402E-2</v>
      </c>
      <c r="O304" s="48">
        <v>160059.34</v>
      </c>
      <c r="P304" s="50">
        <f>O304/O303</f>
        <v>6.361497189107658E-2</v>
      </c>
      <c r="Q304" s="18"/>
      <c r="R304" s="15"/>
      <c r="S304" s="15"/>
      <c r="T304" s="18"/>
      <c r="U304" s="67"/>
      <c r="V304" s="71"/>
      <c r="W304" s="50"/>
    </row>
    <row r="305" spans="1:23" ht="20.100000000000001" customHeight="1" x14ac:dyDescent="0.15">
      <c r="A305" s="77"/>
      <c r="B305" s="2" t="s">
        <v>2</v>
      </c>
      <c r="C305" s="4" t="s">
        <v>100</v>
      </c>
      <c r="D305" s="36">
        <v>90094.88</v>
      </c>
      <c r="E305" s="36">
        <v>69441.03</v>
      </c>
      <c r="F305" s="36">
        <v>82174.2</v>
      </c>
      <c r="G305" s="36">
        <v>43536.42</v>
      </c>
      <c r="H305" s="36">
        <v>59824.04</v>
      </c>
      <c r="I305" s="36">
        <v>73347.789999999994</v>
      </c>
      <c r="J305" s="36">
        <v>103987.65</v>
      </c>
      <c r="K305" s="36">
        <v>61650.49</v>
      </c>
      <c r="L305" s="36">
        <v>99112.78</v>
      </c>
      <c r="M305" s="48">
        <f>SUM(D305:L305)</f>
        <v>683169.27999999991</v>
      </c>
      <c r="N305" s="15">
        <f>M305/M303</f>
        <v>0.25551618211078669</v>
      </c>
      <c r="O305" s="48">
        <v>614803.25</v>
      </c>
      <c r="P305" s="50">
        <f>O305/O303</f>
        <v>0.2443511979200497</v>
      </c>
      <c r="Q305" s="18"/>
      <c r="R305" s="15"/>
      <c r="S305" s="15"/>
      <c r="T305" s="18"/>
      <c r="U305" s="67"/>
      <c r="V305" s="71"/>
      <c r="W305" s="50"/>
    </row>
    <row r="306" spans="1:23" s="12" customFormat="1" ht="20.100000000000001" customHeight="1" x14ac:dyDescent="0.15">
      <c r="A306" s="77"/>
      <c r="B306" s="2" t="s">
        <v>2</v>
      </c>
      <c r="C306" s="4" t="s">
        <v>95</v>
      </c>
      <c r="D306" s="24">
        <v>2212.89</v>
      </c>
      <c r="E306" s="22">
        <v>936.41</v>
      </c>
      <c r="F306" s="24">
        <v>4226.95</v>
      </c>
      <c r="G306" s="24">
        <v>4777.72</v>
      </c>
      <c r="H306" s="33">
        <v>1096.93</v>
      </c>
      <c r="I306" s="22">
        <v>12848.87</v>
      </c>
      <c r="J306" s="24">
        <v>6536.6</v>
      </c>
      <c r="K306" s="24">
        <v>5287.34</v>
      </c>
      <c r="L306" s="24">
        <v>8503</v>
      </c>
      <c r="M306" s="36">
        <f t="shared" ref="M306:M314" si="51">D306+E306+F306+G306+H306+I306+J306+K306+L306</f>
        <v>46426.710000000006</v>
      </c>
      <c r="N306" s="15">
        <f>M306/M303</f>
        <v>1.7364328336257576E-2</v>
      </c>
      <c r="O306" s="48">
        <v>52893.35</v>
      </c>
      <c r="P306" s="50">
        <f>O306/O303</f>
        <v>2.1022259453743065E-2</v>
      </c>
      <c r="Q306" s="18"/>
      <c r="R306" s="15"/>
      <c r="S306" s="15"/>
      <c r="T306" s="18"/>
      <c r="U306" s="67"/>
      <c r="V306" s="71"/>
      <c r="W306" s="62"/>
    </row>
    <row r="307" spans="1:23" s="12" customFormat="1" ht="20.100000000000001" customHeight="1" x14ac:dyDescent="0.15">
      <c r="A307" s="77"/>
      <c r="B307" s="2" t="s">
        <v>2</v>
      </c>
      <c r="C307" s="4" t="s">
        <v>96</v>
      </c>
      <c r="D307" s="22"/>
      <c r="E307" s="22"/>
      <c r="F307" s="22"/>
      <c r="G307" s="22"/>
      <c r="H307" s="31"/>
      <c r="I307" s="22"/>
      <c r="J307" s="22"/>
      <c r="K307" s="22"/>
      <c r="L307" s="22"/>
      <c r="M307" s="48">
        <f t="shared" si="51"/>
        <v>0</v>
      </c>
      <c r="N307" s="15">
        <f>M307/M303</f>
        <v>0</v>
      </c>
      <c r="O307" s="48">
        <v>1709.4</v>
      </c>
      <c r="P307" s="50">
        <f>O307/O303</f>
        <v>6.7939448551147536E-4</v>
      </c>
      <c r="Q307" s="18"/>
      <c r="R307" s="15"/>
      <c r="S307" s="15"/>
      <c r="T307" s="18"/>
      <c r="U307" s="67"/>
      <c r="V307" s="71"/>
      <c r="W307" s="62"/>
    </row>
    <row r="308" spans="1:23" s="12" customFormat="1" ht="20.100000000000001" customHeight="1" x14ac:dyDescent="0.15">
      <c r="A308" s="77"/>
      <c r="B308" s="2" t="s">
        <v>2</v>
      </c>
      <c r="C308" s="4" t="s">
        <v>97</v>
      </c>
      <c r="D308" s="22"/>
      <c r="E308" s="22"/>
      <c r="F308" s="22"/>
      <c r="G308" s="22"/>
      <c r="H308" s="31"/>
      <c r="I308" s="22"/>
      <c r="J308" s="22"/>
      <c r="K308" s="22"/>
      <c r="L308" s="22"/>
      <c r="M308" s="48">
        <f t="shared" si="51"/>
        <v>0</v>
      </c>
      <c r="N308" s="15">
        <f>M308/M303</f>
        <v>0</v>
      </c>
      <c r="O308" s="48">
        <v>4616.5</v>
      </c>
      <c r="P308" s="50">
        <f>O308/O303</f>
        <v>1.8348102505930304E-3</v>
      </c>
      <c r="Q308" s="18"/>
      <c r="R308" s="15"/>
      <c r="S308" s="15"/>
      <c r="T308" s="18"/>
      <c r="U308" s="67"/>
      <c r="V308" s="72"/>
      <c r="W308" s="62"/>
    </row>
    <row r="309" spans="1:23" s="12" customFormat="1" ht="20.100000000000001" customHeight="1" x14ac:dyDescent="0.15">
      <c r="A309" s="77"/>
      <c r="B309" s="13" t="s">
        <v>118</v>
      </c>
      <c r="C309" s="23" t="s">
        <v>98</v>
      </c>
      <c r="D309" s="22"/>
      <c r="E309" s="22"/>
      <c r="F309" s="22"/>
      <c r="G309" s="22"/>
      <c r="H309" s="38"/>
      <c r="I309" s="22"/>
      <c r="J309" s="36">
        <v>524908.65</v>
      </c>
      <c r="K309" s="36">
        <v>325190.34999999998</v>
      </c>
      <c r="L309" s="36">
        <v>306807.3</v>
      </c>
      <c r="M309" s="48">
        <f t="shared" si="51"/>
        <v>1156906.3</v>
      </c>
      <c r="N309" s="21">
        <f>ROUND(M309/10000,2)</f>
        <v>115.69</v>
      </c>
      <c r="O309" s="48"/>
      <c r="P309" s="21"/>
      <c r="Q309" s="18"/>
      <c r="R309" s="21">
        <f>(M309-M310-M311-M312-M313-M314)/10000</f>
        <v>66.805316000000019</v>
      </c>
      <c r="S309" s="15"/>
      <c r="T309" s="18"/>
      <c r="U309" s="67"/>
      <c r="V309" s="70" t="s">
        <v>160</v>
      </c>
      <c r="W309" s="62"/>
    </row>
    <row r="310" spans="1:23" s="12" customFormat="1" ht="20.100000000000001" customHeight="1" x14ac:dyDescent="0.15">
      <c r="A310" s="77"/>
      <c r="B310" s="13" t="s">
        <v>118</v>
      </c>
      <c r="C310" s="23" t="s">
        <v>99</v>
      </c>
      <c r="D310" s="22"/>
      <c r="E310" s="22"/>
      <c r="F310" s="22"/>
      <c r="G310" s="22"/>
      <c r="H310" s="38"/>
      <c r="I310" s="22"/>
      <c r="J310" s="36">
        <v>40772.89</v>
      </c>
      <c r="K310" s="36">
        <v>25092.23</v>
      </c>
      <c r="L310" s="36">
        <v>23559.279999999999</v>
      </c>
      <c r="M310" s="48">
        <f t="shared" si="51"/>
        <v>89424.4</v>
      </c>
      <c r="N310" s="15">
        <f>M310/M309</f>
        <v>7.7296147492670747E-2</v>
      </c>
      <c r="O310" s="48"/>
      <c r="P310" s="15"/>
      <c r="Q310" s="18"/>
      <c r="R310" s="15"/>
      <c r="S310" s="15"/>
      <c r="T310" s="18"/>
      <c r="U310" s="67"/>
      <c r="V310" s="71"/>
      <c r="W310" s="62"/>
    </row>
    <row r="311" spans="1:23" s="12" customFormat="1" ht="20.100000000000001" customHeight="1" x14ac:dyDescent="0.15">
      <c r="A311" s="77"/>
      <c r="B311" s="13" t="s">
        <v>118</v>
      </c>
      <c r="C311" s="23" t="s">
        <v>100</v>
      </c>
      <c r="D311" s="22"/>
      <c r="E311" s="22"/>
      <c r="F311" s="22"/>
      <c r="G311" s="22"/>
      <c r="H311" s="38"/>
      <c r="I311" s="22"/>
      <c r="J311" s="36">
        <v>181205.84</v>
      </c>
      <c r="K311" s="36">
        <v>74035.34</v>
      </c>
      <c r="L311" s="36">
        <v>120589.08</v>
      </c>
      <c r="M311" s="48">
        <f t="shared" si="51"/>
        <v>375830.26</v>
      </c>
      <c r="N311" s="15">
        <f>M311/M309</f>
        <v>0.32485799411758759</v>
      </c>
      <c r="O311" s="48"/>
      <c r="P311" s="15"/>
      <c r="Q311" s="18"/>
      <c r="R311" s="15"/>
      <c r="S311" s="15"/>
      <c r="T311" s="18"/>
      <c r="U311" s="67"/>
      <c r="V311" s="71"/>
      <c r="W311" s="62"/>
    </row>
    <row r="312" spans="1:23" s="12" customFormat="1" ht="20.100000000000001" customHeight="1" x14ac:dyDescent="0.15">
      <c r="A312" s="77"/>
      <c r="B312" s="13" t="s">
        <v>118</v>
      </c>
      <c r="C312" s="23" t="s">
        <v>95</v>
      </c>
      <c r="D312" s="22"/>
      <c r="E312" s="22"/>
      <c r="F312" s="22"/>
      <c r="G312" s="22"/>
      <c r="H312" s="38"/>
      <c r="I312" s="22"/>
      <c r="J312" s="24">
        <v>8212.91</v>
      </c>
      <c r="K312" s="24">
        <v>13938.01</v>
      </c>
      <c r="L312" s="24">
        <v>1447.56</v>
      </c>
      <c r="M312" s="36">
        <f t="shared" si="51"/>
        <v>23598.48</v>
      </c>
      <c r="N312" s="15">
        <f>M312/M309</f>
        <v>2.0397918137363413E-2</v>
      </c>
      <c r="O312" s="48"/>
      <c r="P312" s="15"/>
      <c r="Q312" s="18"/>
      <c r="R312" s="15"/>
      <c r="S312" s="15"/>
      <c r="T312" s="18"/>
      <c r="U312" s="67"/>
      <c r="V312" s="71"/>
      <c r="W312" s="62"/>
    </row>
    <row r="313" spans="1:23" s="12" customFormat="1" ht="20.100000000000001" customHeight="1" x14ac:dyDescent="0.15">
      <c r="A313" s="77"/>
      <c r="B313" s="13" t="s">
        <v>118</v>
      </c>
      <c r="C313" s="23" t="s">
        <v>96</v>
      </c>
      <c r="D313" s="22"/>
      <c r="E313" s="22"/>
      <c r="F313" s="22"/>
      <c r="G313" s="22"/>
      <c r="H313" s="38"/>
      <c r="I313" s="22"/>
      <c r="J313" s="22"/>
      <c r="K313" s="22"/>
      <c r="L313" s="22"/>
      <c r="M313" s="48">
        <f t="shared" si="51"/>
        <v>0</v>
      </c>
      <c r="N313" s="15">
        <f>M313/M309</f>
        <v>0</v>
      </c>
      <c r="O313" s="48"/>
      <c r="P313" s="15"/>
      <c r="Q313" s="18"/>
      <c r="R313" s="15"/>
      <c r="S313" s="15"/>
      <c r="T313" s="18"/>
      <c r="U313" s="67"/>
      <c r="V313" s="71"/>
      <c r="W313" s="62"/>
    </row>
    <row r="314" spans="1:23" s="12" customFormat="1" ht="20.100000000000001" customHeight="1" x14ac:dyDescent="0.15">
      <c r="A314" s="77"/>
      <c r="B314" s="13" t="s">
        <v>118</v>
      </c>
      <c r="C314" s="23" t="s">
        <v>97</v>
      </c>
      <c r="D314" s="22"/>
      <c r="E314" s="22"/>
      <c r="F314" s="22"/>
      <c r="G314" s="22"/>
      <c r="H314" s="38"/>
      <c r="I314" s="22"/>
      <c r="J314" s="22"/>
      <c r="K314" s="22"/>
      <c r="L314" s="22"/>
      <c r="M314" s="48">
        <f t="shared" si="51"/>
        <v>0</v>
      </c>
      <c r="N314" s="15">
        <f>M314/M309</f>
        <v>0</v>
      </c>
      <c r="O314" s="48"/>
      <c r="P314" s="15"/>
      <c r="Q314" s="18"/>
      <c r="R314" s="15"/>
      <c r="S314" s="15"/>
      <c r="T314" s="18"/>
      <c r="U314" s="67"/>
      <c r="V314" s="72"/>
      <c r="W314" s="62"/>
    </row>
    <row r="315" spans="1:23" ht="20.100000000000001" customHeight="1" x14ac:dyDescent="0.15">
      <c r="A315" s="77"/>
      <c r="B315" s="2" t="s">
        <v>13</v>
      </c>
      <c r="C315" s="4" t="s">
        <v>21</v>
      </c>
      <c r="D315" s="36">
        <v>353214.9</v>
      </c>
      <c r="E315" s="36">
        <v>287024.45</v>
      </c>
      <c r="F315" s="36">
        <v>375216.71</v>
      </c>
      <c r="G315" s="36">
        <v>293317.55</v>
      </c>
      <c r="H315" s="36">
        <v>338063.62</v>
      </c>
      <c r="I315" s="36">
        <v>328136.44</v>
      </c>
      <c r="J315" s="36">
        <v>306314.46999999997</v>
      </c>
      <c r="K315" s="36">
        <v>394377.62</v>
      </c>
      <c r="L315" s="36">
        <v>477063.14</v>
      </c>
      <c r="M315" s="48">
        <f>SUM(D315:L315)</f>
        <v>3152728.9</v>
      </c>
      <c r="N315" s="21">
        <f>ROUND(M315/10000,2)</f>
        <v>315.27</v>
      </c>
      <c r="O315" s="48">
        <v>2532515.34</v>
      </c>
      <c r="P315" s="51">
        <f>M315-O315</f>
        <v>620213.56000000006</v>
      </c>
      <c r="Q315" s="21">
        <f>VLOOKUP(B315,[1]Sheet1!$B$3:$E$53,4,0)</f>
        <v>221</v>
      </c>
      <c r="R315" s="21">
        <f>(M315-M316-M317-M318-M319-M320)/10000</f>
        <v>205.52667999999997</v>
      </c>
      <c r="S315" s="15">
        <f>R315/Q315</f>
        <v>0.92998497737556551</v>
      </c>
      <c r="T315" s="18">
        <f>R315-Q315</f>
        <v>-15.473320000000029</v>
      </c>
      <c r="U315" s="67">
        <f>IF((T315)&gt;0,2000+(T315)*0.05*10000,0)</f>
        <v>0</v>
      </c>
      <c r="V315" s="70" t="s">
        <v>161</v>
      </c>
      <c r="W315" s="50"/>
    </row>
    <row r="316" spans="1:23" ht="20.100000000000001" customHeight="1" x14ac:dyDescent="0.15">
      <c r="A316" s="77"/>
      <c r="B316" s="2" t="s">
        <v>13</v>
      </c>
      <c r="C316" s="4" t="s">
        <v>22</v>
      </c>
      <c r="D316" s="36">
        <v>23035.75</v>
      </c>
      <c r="E316" s="36">
        <v>18718.990000000002</v>
      </c>
      <c r="F316" s="36">
        <v>24470.66</v>
      </c>
      <c r="G316" s="36">
        <v>19129.41</v>
      </c>
      <c r="H316" s="36">
        <v>22047.63</v>
      </c>
      <c r="I316" s="36">
        <v>21400.2</v>
      </c>
      <c r="J316" s="36">
        <v>19977.03</v>
      </c>
      <c r="K316" s="36">
        <v>25720.28</v>
      </c>
      <c r="L316" s="36">
        <v>31112.81</v>
      </c>
      <c r="M316" s="48">
        <f>SUM(D316:L316)</f>
        <v>205612.76</v>
      </c>
      <c r="N316" s="15">
        <f>M316/M315</f>
        <v>6.5217393097135631E-2</v>
      </c>
      <c r="O316" s="48">
        <v>166552.56</v>
      </c>
      <c r="P316" s="50">
        <f>O316/O315</f>
        <v>6.5765666793552377E-2</v>
      </c>
      <c r="Q316" s="18"/>
      <c r="R316" s="15"/>
      <c r="S316" s="15"/>
      <c r="T316" s="18"/>
      <c r="U316" s="67"/>
      <c r="V316" s="71"/>
      <c r="W316" s="50"/>
    </row>
    <row r="317" spans="1:23" ht="20.100000000000001" customHeight="1" x14ac:dyDescent="0.15">
      <c r="A317" s="77"/>
      <c r="B317" s="2" t="s">
        <v>13</v>
      </c>
      <c r="C317" s="4" t="s">
        <v>23</v>
      </c>
      <c r="D317" s="36">
        <v>0</v>
      </c>
      <c r="E317" s="36">
        <v>168609.23</v>
      </c>
      <c r="F317" s="36">
        <v>92661.33</v>
      </c>
      <c r="G317" s="36">
        <v>110170.75</v>
      </c>
      <c r="H317" s="36">
        <v>60920.78</v>
      </c>
      <c r="I317" s="36">
        <v>103898.81</v>
      </c>
      <c r="J317" s="36">
        <v>76400.22</v>
      </c>
      <c r="K317" s="36">
        <v>100356.35</v>
      </c>
      <c r="L317" s="36">
        <v>135166.26999999999</v>
      </c>
      <c r="M317" s="48">
        <f>SUM(D317:L317)</f>
        <v>848183.73999999987</v>
      </c>
      <c r="N317" s="15">
        <f>M317/M315</f>
        <v>0.26903161258172242</v>
      </c>
      <c r="O317" s="48">
        <v>697148.77599999995</v>
      </c>
      <c r="P317" s="50">
        <f>O317/O315</f>
        <v>0.27527919179356286</v>
      </c>
      <c r="Q317" s="18"/>
      <c r="R317" s="15"/>
      <c r="S317" s="15"/>
      <c r="T317" s="18"/>
      <c r="U317" s="67"/>
      <c r="V317" s="71"/>
      <c r="W317" s="50"/>
    </row>
    <row r="318" spans="1:23" s="12" customFormat="1" ht="20.100000000000001" customHeight="1" x14ac:dyDescent="0.15">
      <c r="A318" s="77"/>
      <c r="B318" s="2" t="s">
        <v>13</v>
      </c>
      <c r="C318" s="4" t="s">
        <v>68</v>
      </c>
      <c r="D318" s="24">
        <v>2892.48</v>
      </c>
      <c r="E318" s="22">
        <v>170.58</v>
      </c>
      <c r="F318" s="24">
        <v>1017</v>
      </c>
      <c r="G318" s="24">
        <v>24629.66</v>
      </c>
      <c r="H318" s="33">
        <v>2130.5700000000002</v>
      </c>
      <c r="I318" s="22">
        <v>-7214.04</v>
      </c>
      <c r="J318" s="22">
        <v>659.94</v>
      </c>
      <c r="K318" s="24">
        <v>4446.76</v>
      </c>
      <c r="L318" s="24">
        <v>14932.65</v>
      </c>
      <c r="M318" s="36">
        <f t="shared" ref="M318:M320" si="52">D318+E318+F318+G318+H318+I318+J318+K318+L318</f>
        <v>43665.599999999999</v>
      </c>
      <c r="N318" s="15">
        <f>M318/M315</f>
        <v>1.3850096657533732E-2</v>
      </c>
      <c r="O318" s="48">
        <v>35567.629999999997</v>
      </c>
      <c r="P318" s="50">
        <f>O318/O315</f>
        <v>1.4044388769625379E-2</v>
      </c>
      <c r="Q318" s="18"/>
      <c r="R318" s="15"/>
      <c r="S318" s="15"/>
      <c r="T318" s="18"/>
      <c r="U318" s="67"/>
      <c r="V318" s="71"/>
      <c r="W318" s="62"/>
    </row>
    <row r="319" spans="1:23" s="12" customFormat="1" ht="20.100000000000001" customHeight="1" x14ac:dyDescent="0.15">
      <c r="A319" s="77"/>
      <c r="B319" s="2" t="s">
        <v>13</v>
      </c>
      <c r="C319" s="4" t="s">
        <v>69</v>
      </c>
      <c r="D319" s="22"/>
      <c r="E319" s="22"/>
      <c r="F319" s="22"/>
      <c r="G319" s="22"/>
      <c r="H319" s="31"/>
      <c r="I319" s="22"/>
      <c r="J319" s="22"/>
      <c r="K319" s="22"/>
      <c r="L319" s="22"/>
      <c r="M319" s="48">
        <f t="shared" si="52"/>
        <v>0</v>
      </c>
      <c r="N319" s="15">
        <f>M319/M315</f>
        <v>0</v>
      </c>
      <c r="O319" s="48">
        <v>0</v>
      </c>
      <c r="P319" s="50">
        <f>O319/O315</f>
        <v>0</v>
      </c>
      <c r="Q319" s="18"/>
      <c r="R319" s="15"/>
      <c r="S319" s="15"/>
      <c r="T319" s="18"/>
      <c r="U319" s="67"/>
      <c r="V319" s="71"/>
      <c r="W319" s="62"/>
    </row>
    <row r="320" spans="1:23" s="12" customFormat="1" ht="20.100000000000001" customHeight="1" x14ac:dyDescent="0.15">
      <c r="A320" s="77"/>
      <c r="B320" s="2" t="s">
        <v>13</v>
      </c>
      <c r="C320" s="4" t="s">
        <v>70</v>
      </c>
      <c r="D320" s="22"/>
      <c r="E320" s="22"/>
      <c r="F320" s="22"/>
      <c r="G320" s="22"/>
      <c r="H320" s="31"/>
      <c r="I320" s="22"/>
      <c r="J320" s="22"/>
      <c r="K320" s="22"/>
      <c r="L320" s="22"/>
      <c r="M320" s="48">
        <f t="shared" si="52"/>
        <v>0</v>
      </c>
      <c r="N320" s="15">
        <f>M320/M315</f>
        <v>0</v>
      </c>
      <c r="O320" s="48">
        <v>0</v>
      </c>
      <c r="P320" s="50">
        <f>O320/O315</f>
        <v>0</v>
      </c>
      <c r="Q320" s="18"/>
      <c r="R320" s="15"/>
      <c r="S320" s="15"/>
      <c r="T320" s="18"/>
      <c r="U320" s="67"/>
      <c r="V320" s="72"/>
      <c r="W320" s="62"/>
    </row>
    <row r="321" spans="1:23" s="6" customFormat="1" ht="20.100000000000001" customHeight="1" x14ac:dyDescent="0.15">
      <c r="A321" s="77"/>
      <c r="B321" s="2" t="s">
        <v>55</v>
      </c>
      <c r="C321" s="4" t="s">
        <v>21</v>
      </c>
      <c r="D321" s="36">
        <v>230038.64</v>
      </c>
      <c r="E321" s="36">
        <v>359056.3</v>
      </c>
      <c r="F321" s="36">
        <f>301796.65-185.5</f>
        <v>301611.15000000002</v>
      </c>
      <c r="G321" s="36">
        <v>343647.68</v>
      </c>
      <c r="H321" s="36">
        <v>274783.67</v>
      </c>
      <c r="I321" s="36">
        <v>419573.38</v>
      </c>
      <c r="J321" s="36">
        <v>336543.31</v>
      </c>
      <c r="K321" s="36">
        <v>366554.35</v>
      </c>
      <c r="L321" s="36">
        <f>373695.61+7300</f>
        <v>380995.61</v>
      </c>
      <c r="M321" s="48">
        <f>SUM(D321:L321)</f>
        <v>3012804.09</v>
      </c>
      <c r="N321" s="21">
        <f>ROUND((M321)/10000,2)</f>
        <v>301.27999999999997</v>
      </c>
      <c r="O321" s="48">
        <v>2978018.98</v>
      </c>
      <c r="P321" s="51">
        <f>M321-O321</f>
        <v>34785.10999999987</v>
      </c>
      <c r="Q321" s="21">
        <f>VLOOKUP(B321,[1]Sheet1!$B$3:$E$53,4,0)</f>
        <v>231</v>
      </c>
      <c r="R321" s="21">
        <f>(M321-M322-M323-M324-M325-M326)/10000</f>
        <v>203.96695200000002</v>
      </c>
      <c r="S321" s="15">
        <f>R321/Q321</f>
        <v>0.8829738181818183</v>
      </c>
      <c r="T321" s="18">
        <f>R321-Q321</f>
        <v>-27.03304799999998</v>
      </c>
      <c r="U321" s="67">
        <f>IF((T321+T327)&gt;0,2000+(T321+T327)*0.05*10000,0)</f>
        <v>0</v>
      </c>
      <c r="V321" s="70" t="s">
        <v>162</v>
      </c>
      <c r="W321" s="63"/>
    </row>
    <row r="322" spans="1:23" s="6" customFormat="1" ht="20.100000000000001" customHeight="1" x14ac:dyDescent="0.15">
      <c r="A322" s="77"/>
      <c r="B322" s="2" t="s">
        <v>55</v>
      </c>
      <c r="C322" s="4" t="s">
        <v>22</v>
      </c>
      <c r="D322" s="36">
        <v>9201.5499999999993</v>
      </c>
      <c r="E322" s="36">
        <v>14362.25</v>
      </c>
      <c r="F322" s="36">
        <v>12071.87</v>
      </c>
      <c r="G322" s="36">
        <v>13745.91</v>
      </c>
      <c r="H322" s="36">
        <v>10991.35</v>
      </c>
      <c r="I322" s="36">
        <v>16782.939999999999</v>
      </c>
      <c r="J322" s="36">
        <v>13461.73</v>
      </c>
      <c r="K322" s="36">
        <v>14662.17</v>
      </c>
      <c r="L322" s="36">
        <v>14947.82</v>
      </c>
      <c r="M322" s="48">
        <f>SUM(D322:L322)</f>
        <v>120227.59</v>
      </c>
      <c r="N322" s="15">
        <f>M322/M321</f>
        <v>3.9905545268959057E-2</v>
      </c>
      <c r="O322" s="48">
        <v>118614.28</v>
      </c>
      <c r="P322" s="50">
        <f>O322/O321</f>
        <v>3.9829927477493782E-2</v>
      </c>
      <c r="Q322" s="18"/>
      <c r="R322" s="15"/>
      <c r="S322" s="15"/>
      <c r="T322" s="18"/>
      <c r="U322" s="67"/>
      <c r="V322" s="71"/>
      <c r="W322" s="63"/>
    </row>
    <row r="323" spans="1:23" s="6" customFormat="1" ht="20.100000000000001" customHeight="1" x14ac:dyDescent="0.15">
      <c r="A323" s="77"/>
      <c r="B323" s="2" t="s">
        <v>55</v>
      </c>
      <c r="C323" s="4" t="s">
        <v>23</v>
      </c>
      <c r="D323" s="36">
        <v>106549.87</v>
      </c>
      <c r="E323" s="36">
        <v>10694.400000000001</v>
      </c>
      <c r="F323" s="36">
        <v>91404.840000000011</v>
      </c>
      <c r="G323" s="36">
        <v>99015.05</v>
      </c>
      <c r="H323" s="36">
        <v>100347.68</v>
      </c>
      <c r="I323" s="36">
        <f>127513.6-7443.2-15633.42</f>
        <v>104436.98000000001</v>
      </c>
      <c r="J323" s="36">
        <f>129408-9209.6-26792.38</f>
        <v>93406.01999999999</v>
      </c>
      <c r="K323" s="36">
        <f>128441.6-9936-30827.94</f>
        <v>87677.66</v>
      </c>
      <c r="L323" s="36">
        <f>128460.8-9686.4-40598.56</f>
        <v>78175.840000000011</v>
      </c>
      <c r="M323" s="48">
        <f>SUM(D323:L323)</f>
        <v>771708.34</v>
      </c>
      <c r="N323" s="15">
        <f>M323/M321</f>
        <v>0.25614288780389965</v>
      </c>
      <c r="O323" s="48">
        <f>1021036.8-74359.2-235448.44</f>
        <v>711229.16000000015</v>
      </c>
      <c r="P323" s="50">
        <f>O323/O321</f>
        <v>0.23882626832687284</v>
      </c>
      <c r="Q323" s="18"/>
      <c r="R323" s="15"/>
      <c r="S323" s="15"/>
      <c r="T323" s="18"/>
      <c r="U323" s="67"/>
      <c r="V323" s="71"/>
      <c r="W323" s="63"/>
    </row>
    <row r="324" spans="1:23" s="12" customFormat="1" ht="20.100000000000001" customHeight="1" x14ac:dyDescent="0.15">
      <c r="A324" s="77"/>
      <c r="B324" s="2" t="s">
        <v>80</v>
      </c>
      <c r="C324" s="4" t="s">
        <v>68</v>
      </c>
      <c r="D324" s="24">
        <v>13801.77</v>
      </c>
      <c r="E324" s="24">
        <v>4432.95</v>
      </c>
      <c r="F324" s="24">
        <v>7274.54</v>
      </c>
      <c r="G324" s="24">
        <v>2483.0700000000002</v>
      </c>
      <c r="H324" s="31">
        <v>785.85</v>
      </c>
      <c r="I324" s="22">
        <v>16682.25</v>
      </c>
      <c r="J324" s="24">
        <v>2774.1</v>
      </c>
      <c r="K324" s="24">
        <v>5198.1400000000003</v>
      </c>
      <c r="L324" s="24">
        <v>17577.29</v>
      </c>
      <c r="M324" s="36">
        <f t="shared" ref="M324:M326" si="53">D324+E324+F324+G324+H324+I324+J324+K324+L324</f>
        <v>71009.959999999992</v>
      </c>
      <c r="N324" s="15">
        <f>M324/M321</f>
        <v>2.3569391795402135E-2</v>
      </c>
      <c r="O324" s="48">
        <v>90843.26</v>
      </c>
      <c r="P324" s="50">
        <f>O324/O321</f>
        <v>3.0504594030492039E-2</v>
      </c>
      <c r="Q324" s="18"/>
      <c r="R324" s="15"/>
      <c r="S324" s="15"/>
      <c r="T324" s="18"/>
      <c r="U324" s="67"/>
      <c r="V324" s="71"/>
      <c r="W324" s="62"/>
    </row>
    <row r="325" spans="1:23" s="12" customFormat="1" ht="20.100000000000001" customHeight="1" x14ac:dyDescent="0.15">
      <c r="A325" s="77"/>
      <c r="B325" s="2" t="s">
        <v>80</v>
      </c>
      <c r="C325" s="4" t="s">
        <v>69</v>
      </c>
      <c r="D325" s="22"/>
      <c r="E325" s="22"/>
      <c r="F325" s="22"/>
      <c r="G325" s="22"/>
      <c r="H325" s="31"/>
      <c r="I325" s="22"/>
      <c r="J325" s="22"/>
      <c r="K325" s="22"/>
      <c r="L325" s="22"/>
      <c r="M325" s="48">
        <f t="shared" si="53"/>
        <v>0</v>
      </c>
      <c r="N325" s="15">
        <f>M325/M321</f>
        <v>0</v>
      </c>
      <c r="O325" s="48">
        <v>10299.15</v>
      </c>
      <c r="P325" s="50">
        <f>O325/O321</f>
        <v>3.4583896439773529E-3</v>
      </c>
      <c r="Q325" s="18"/>
      <c r="R325" s="15"/>
      <c r="S325" s="15"/>
      <c r="T325" s="18"/>
      <c r="U325" s="67"/>
      <c r="V325" s="71"/>
      <c r="W325" s="62"/>
    </row>
    <row r="326" spans="1:23" s="12" customFormat="1" ht="20.100000000000001" customHeight="1" x14ac:dyDescent="0.15">
      <c r="A326" s="77"/>
      <c r="B326" s="2" t="s">
        <v>80</v>
      </c>
      <c r="C326" s="4" t="s">
        <v>70</v>
      </c>
      <c r="D326" s="22"/>
      <c r="E326" s="22"/>
      <c r="F326" s="22"/>
      <c r="G326" s="22"/>
      <c r="H326" s="31"/>
      <c r="I326" s="24">
        <v>10188.68</v>
      </c>
      <c r="J326" s="22"/>
      <c r="K326" s="22"/>
      <c r="L326" s="22"/>
      <c r="M326" s="48">
        <f t="shared" si="53"/>
        <v>10188.68</v>
      </c>
      <c r="N326" s="15">
        <f>M326/M321</f>
        <v>3.3817930723799572E-3</v>
      </c>
      <c r="O326" s="48">
        <v>10188.68</v>
      </c>
      <c r="P326" s="50">
        <f>O326/O321</f>
        <v>3.4212945143821749E-3</v>
      </c>
      <c r="Q326" s="18"/>
      <c r="R326" s="15"/>
      <c r="S326" s="15"/>
      <c r="T326" s="18"/>
      <c r="U326" s="67"/>
      <c r="V326" s="71"/>
      <c r="W326" s="62"/>
    </row>
    <row r="327" spans="1:23" s="6" customFormat="1" ht="20.100000000000001" customHeight="1" x14ac:dyDescent="0.15">
      <c r="A327" s="77"/>
      <c r="B327" s="2" t="s">
        <v>28</v>
      </c>
      <c r="C327" s="4" t="s">
        <v>21</v>
      </c>
      <c r="D327" s="36">
        <f>99262.1-20-639.7+950</f>
        <v>99552.400000000009</v>
      </c>
      <c r="E327" s="36">
        <v>328427.99</v>
      </c>
      <c r="F327" s="36">
        <f>202895.79-991-1811.85+6000</f>
        <v>206092.94</v>
      </c>
      <c r="G327" s="36">
        <v>213221.6</v>
      </c>
      <c r="H327" s="36">
        <f>156017.6-20360.3</f>
        <v>135657.30000000002</v>
      </c>
      <c r="I327" s="36">
        <f>1287.05+10402.2+120+62700+78800+200566.8+153800-1879.95-2036.75-460</f>
        <v>503299.35</v>
      </c>
      <c r="J327" s="36">
        <f>191662+2891.55</f>
        <v>194553.55</v>
      </c>
      <c r="K327" s="36">
        <f>267144.85-301-94</f>
        <v>266749.84999999998</v>
      </c>
      <c r="L327" s="36">
        <f>7800+256755.05</f>
        <v>264555.05</v>
      </c>
      <c r="M327" s="48">
        <f>SUM(D327:L327)</f>
        <v>2212110.0299999998</v>
      </c>
      <c r="N327" s="51">
        <f>ROUND((M327)/10000,2)</f>
        <v>221.21</v>
      </c>
      <c r="O327" s="48">
        <v>2181209.23</v>
      </c>
      <c r="P327" s="51">
        <f>M327-O327</f>
        <v>30900.799999999814</v>
      </c>
      <c r="Q327" s="21">
        <f>VLOOKUP(B327,[1]Sheet1!$B$3:$E$53,4,0)</f>
        <v>169</v>
      </c>
      <c r="R327" s="21">
        <f>(M327-M328-M329-M330-M331-M332)/10000</f>
        <v>155.133129</v>
      </c>
      <c r="S327" s="15">
        <f>R327/Q327</f>
        <v>0.91794750887573962</v>
      </c>
      <c r="T327" s="18">
        <f>R327-Q327</f>
        <v>-13.866871000000003</v>
      </c>
      <c r="U327" s="67"/>
      <c r="V327" s="71"/>
      <c r="W327" s="63"/>
    </row>
    <row r="328" spans="1:23" s="6" customFormat="1" ht="20.100000000000001" customHeight="1" x14ac:dyDescent="0.15">
      <c r="A328" s="77"/>
      <c r="B328" s="2" t="s">
        <v>28</v>
      </c>
      <c r="C328" s="4" t="s">
        <v>22</v>
      </c>
      <c r="D328" s="22">
        <v>3970.48</v>
      </c>
      <c r="E328" s="22">
        <v>13137.12</v>
      </c>
      <c r="F328" s="22">
        <v>8115.83</v>
      </c>
      <c r="G328" s="22">
        <v>8528.86</v>
      </c>
      <c r="H328" s="31">
        <v>6240.7</v>
      </c>
      <c r="I328" s="22">
        <v>20144.77</v>
      </c>
      <c r="J328" s="22">
        <v>7666.48</v>
      </c>
      <c r="K328" s="22">
        <v>10385.790000000001</v>
      </c>
      <c r="L328" s="22">
        <v>10270.200000000001</v>
      </c>
      <c r="M328" s="48">
        <f>SUM(D328:L328)</f>
        <v>88460.23</v>
      </c>
      <c r="N328" s="15">
        <f>M328/M327</f>
        <v>3.9989073237916652E-2</v>
      </c>
      <c r="O328" s="48">
        <v>77374.67</v>
      </c>
      <c r="P328" s="50">
        <f>O328/O327</f>
        <v>3.5473291115680816E-2</v>
      </c>
      <c r="Q328" s="18"/>
      <c r="R328" s="15"/>
      <c r="S328" s="15"/>
      <c r="T328" s="18"/>
      <c r="U328" s="67"/>
      <c r="V328" s="71"/>
      <c r="W328" s="63"/>
    </row>
    <row r="329" spans="1:23" s="6" customFormat="1" ht="21" customHeight="1" x14ac:dyDescent="0.15">
      <c r="A329" s="77"/>
      <c r="B329" s="2" t="s">
        <v>28</v>
      </c>
      <c r="C329" s="4" t="s">
        <v>23</v>
      </c>
      <c r="D329" s="36">
        <v>97696.26999999999</v>
      </c>
      <c r="E329" s="36">
        <v>39577.68</v>
      </c>
      <c r="F329" s="36">
        <v>61056.42</v>
      </c>
      <c r="G329" s="36">
        <v>42070.41</v>
      </c>
      <c r="H329" s="36">
        <v>39869.64</v>
      </c>
      <c r="I329" s="36">
        <f>13118.58+7443.2+15633.42</f>
        <v>36195.199999999997</v>
      </c>
      <c r="J329" s="36">
        <f>25894.32+9209.6+26792.38</f>
        <v>61896.3</v>
      </c>
      <c r="K329" s="36">
        <f>27318.54+9936+30827.94</f>
        <v>68082.48</v>
      </c>
      <c r="L329" s="36">
        <f>34152.98+9686.4+40598.56</f>
        <v>84437.94</v>
      </c>
      <c r="M329" s="48">
        <f>SUM(D329:L329)</f>
        <v>530882.34</v>
      </c>
      <c r="N329" s="15">
        <f>M329/M327</f>
        <v>0.23998912025185293</v>
      </c>
      <c r="O329" s="48">
        <f>230615.44+74359.2+235448.44</f>
        <v>540423.08000000007</v>
      </c>
      <c r="P329" s="50">
        <f>O329/O327</f>
        <v>0.24776306306020907</v>
      </c>
      <c r="Q329" s="18"/>
      <c r="R329" s="15"/>
      <c r="S329" s="15"/>
      <c r="T329" s="18"/>
      <c r="U329" s="67"/>
      <c r="V329" s="71"/>
      <c r="W329" s="63"/>
    </row>
    <row r="330" spans="1:23" s="12" customFormat="1" ht="20.100000000000001" customHeight="1" x14ac:dyDescent="0.15">
      <c r="A330" s="77"/>
      <c r="B330" s="2" t="s">
        <v>28</v>
      </c>
      <c r="C330" s="4" t="s">
        <v>68</v>
      </c>
      <c r="D330" s="22">
        <v>200</v>
      </c>
      <c r="E330" s="22"/>
      <c r="F330" s="22"/>
      <c r="G330" s="22"/>
      <c r="H330" s="31"/>
      <c r="I330" s="22">
        <v>567</v>
      </c>
      <c r="J330" s="22">
        <v>76</v>
      </c>
      <c r="K330" s="22">
        <v>0</v>
      </c>
      <c r="L330" s="24">
        <v>16238.48</v>
      </c>
      <c r="M330" s="36">
        <f t="shared" ref="M330:M331" si="54">D330+E330+F330+G330+H330+I330+J330+K330+L330</f>
        <v>17081.48</v>
      </c>
      <c r="N330" s="15">
        <f>M330/M327</f>
        <v>7.7218039646970004E-3</v>
      </c>
      <c r="O330" s="48">
        <v>38532.97</v>
      </c>
      <c r="P330" s="50">
        <f>O330/O327</f>
        <v>1.7665875180621717E-2</v>
      </c>
      <c r="Q330" s="18"/>
      <c r="R330" s="15"/>
      <c r="S330" s="15"/>
      <c r="T330" s="18"/>
      <c r="U330" s="67"/>
      <c r="V330" s="71"/>
      <c r="W330" s="62"/>
    </row>
    <row r="331" spans="1:23" s="12" customFormat="1" ht="20.100000000000001" customHeight="1" x14ac:dyDescent="0.15">
      <c r="A331" s="77"/>
      <c r="B331" s="2" t="s">
        <v>28</v>
      </c>
      <c r="C331" s="4" t="s">
        <v>69</v>
      </c>
      <c r="D331" s="22"/>
      <c r="E331" s="22"/>
      <c r="F331" s="22"/>
      <c r="G331" s="22"/>
      <c r="H331" s="31"/>
      <c r="I331" s="22"/>
      <c r="J331" s="22"/>
      <c r="K331" s="22"/>
      <c r="L331" s="22"/>
      <c r="M331" s="48">
        <f t="shared" si="54"/>
        <v>0</v>
      </c>
      <c r="N331" s="15">
        <f>M331/M327</f>
        <v>0</v>
      </c>
      <c r="O331" s="48">
        <v>0</v>
      </c>
      <c r="P331" s="50">
        <f>O331/O327</f>
        <v>0</v>
      </c>
      <c r="Q331" s="18"/>
      <c r="R331" s="15"/>
      <c r="S331" s="15"/>
      <c r="T331" s="18"/>
      <c r="U331" s="67"/>
      <c r="V331" s="71"/>
      <c r="W331" s="62"/>
    </row>
    <row r="332" spans="1:23" s="12" customFormat="1" ht="20.100000000000001" customHeight="1" x14ac:dyDescent="0.15">
      <c r="A332" s="77"/>
      <c r="B332" s="2" t="s">
        <v>28</v>
      </c>
      <c r="C332" s="4" t="s">
        <v>70</v>
      </c>
      <c r="D332" s="22"/>
      <c r="E332" s="22"/>
      <c r="F332" s="22"/>
      <c r="G332" s="22"/>
      <c r="H332" s="31"/>
      <c r="I332" s="22">
        <v>14068.98</v>
      </c>
      <c r="J332" s="22"/>
      <c r="K332" s="22"/>
      <c r="L332" s="24">
        <v>10285.709999999999</v>
      </c>
      <c r="M332" s="48">
        <f>D332+E332+F332+G332+H332+I332+J332+K332+L332</f>
        <v>24354.69</v>
      </c>
      <c r="N332" s="15">
        <f>M332/M327</f>
        <v>1.1009710036891791E-2</v>
      </c>
      <c r="O332" s="48">
        <v>0</v>
      </c>
      <c r="P332" s="50">
        <f>O332/O327</f>
        <v>0</v>
      </c>
      <c r="Q332" s="18"/>
      <c r="R332" s="15"/>
      <c r="S332" s="15"/>
      <c r="T332" s="18"/>
      <c r="U332" s="67"/>
      <c r="V332" s="72"/>
      <c r="W332" s="62"/>
    </row>
    <row r="333" spans="1:23" ht="20.100000000000001" customHeight="1" x14ac:dyDescent="0.15">
      <c r="A333" s="77"/>
      <c r="B333" s="2" t="s">
        <v>16</v>
      </c>
      <c r="C333" s="4" t="s">
        <v>21</v>
      </c>
      <c r="D333" s="22">
        <v>0</v>
      </c>
      <c r="E333" s="36">
        <f>247259.63-822</f>
        <v>246437.63</v>
      </c>
      <c r="F333" s="36">
        <f>109022.06-424</f>
        <v>108598.06</v>
      </c>
      <c r="G333" s="36">
        <v>963678</v>
      </c>
      <c r="H333" s="36">
        <v>316605.75</v>
      </c>
      <c r="I333" s="36">
        <f>439479-499.8</f>
        <v>438979.2</v>
      </c>
      <c r="J333" s="36">
        <v>278193.18</v>
      </c>
      <c r="K333" s="36">
        <f>304802.09-1159-399</f>
        <v>303244.09000000003</v>
      </c>
      <c r="L333" s="36">
        <f>490700.73-799</f>
        <v>489901.73</v>
      </c>
      <c r="M333" s="48">
        <f t="shared" si="26"/>
        <v>3145637.6399999997</v>
      </c>
      <c r="N333" s="21">
        <f>ROUND(M333/10000,2)</f>
        <v>314.56</v>
      </c>
      <c r="O333" s="48">
        <v>2383318.85</v>
      </c>
      <c r="P333" s="51">
        <f>M333-O333</f>
        <v>762318.78999999957</v>
      </c>
      <c r="Q333" s="21">
        <f>VLOOKUP(B333,[1]Sheet1!$B$3:$E$53,4,0)</f>
        <v>207</v>
      </c>
      <c r="R333" s="21">
        <f>(M333-M334-M335-M336-M337-M338)/10000</f>
        <v>221.195413</v>
      </c>
      <c r="S333" s="15">
        <f>R333/Q333</f>
        <v>1.0685768743961352</v>
      </c>
      <c r="T333" s="18">
        <f>R333-Q333</f>
        <v>14.195413000000002</v>
      </c>
      <c r="U333" s="67">
        <f>IF((T333)&gt;0,2000+(T333)*0.05*10000,0)</f>
        <v>9097.7065000000021</v>
      </c>
      <c r="V333" s="70" t="s">
        <v>163</v>
      </c>
      <c r="W333" s="50"/>
    </row>
    <row r="334" spans="1:23" ht="20.100000000000001" customHeight="1" x14ac:dyDescent="0.15">
      <c r="A334" s="77"/>
      <c r="B334" s="2" t="s">
        <v>16</v>
      </c>
      <c r="C334" s="4" t="s">
        <v>22</v>
      </c>
      <c r="D334" s="22">
        <v>0</v>
      </c>
      <c r="E334" s="59">
        <f>22232.89</f>
        <v>22232.89</v>
      </c>
      <c r="F334" s="36">
        <v>6541.32</v>
      </c>
      <c r="G334" s="36">
        <v>57820.68</v>
      </c>
      <c r="H334" s="36">
        <v>19010.28</v>
      </c>
      <c r="I334" s="36">
        <v>26368.74</v>
      </c>
      <c r="J334" s="36">
        <v>16691.59</v>
      </c>
      <c r="K334" s="36">
        <v>18288.23</v>
      </c>
      <c r="L334" s="36">
        <v>29442.05</v>
      </c>
      <c r="M334" s="48">
        <f t="shared" si="26"/>
        <v>196395.78</v>
      </c>
      <c r="N334" s="15">
        <f>M334/M333</f>
        <v>6.2434330484422873E-2</v>
      </c>
      <c r="O334" s="48">
        <v>144574.32</v>
      </c>
      <c r="P334" s="50">
        <f>O334/O333</f>
        <v>6.066092247791352E-2</v>
      </c>
      <c r="Q334" s="18"/>
      <c r="R334" s="15"/>
      <c r="S334" s="15"/>
      <c r="T334" s="18"/>
      <c r="U334" s="67"/>
      <c r="V334" s="71"/>
      <c r="W334" s="50"/>
    </row>
    <row r="335" spans="1:23" ht="20.100000000000001" customHeight="1" x14ac:dyDescent="0.15">
      <c r="A335" s="77"/>
      <c r="B335" s="2" t="s">
        <v>16</v>
      </c>
      <c r="C335" s="4" t="s">
        <v>23</v>
      </c>
      <c r="D335" s="22">
        <v>0</v>
      </c>
      <c r="E335" s="36">
        <v>152975.64000000001</v>
      </c>
      <c r="F335" s="36">
        <v>65496.26</v>
      </c>
      <c r="G335" s="36">
        <v>55658.51</v>
      </c>
      <c r="H335" s="36">
        <v>51984.74</v>
      </c>
      <c r="I335" s="36">
        <v>59326.06</v>
      </c>
      <c r="J335" s="36">
        <v>50548.13</v>
      </c>
      <c r="K335" s="36">
        <v>76345.52</v>
      </c>
      <c r="L335" s="36">
        <v>92138.8</v>
      </c>
      <c r="M335" s="48">
        <f t="shared" si="26"/>
        <v>604473.66</v>
      </c>
      <c r="N335" s="15">
        <f>M335/M333</f>
        <v>0.19216252130045089</v>
      </c>
      <c r="O335" s="48">
        <v>496711.55</v>
      </c>
      <c r="P335" s="50">
        <f>O335/O333</f>
        <v>0.2084117070613527</v>
      </c>
      <c r="Q335" s="18"/>
      <c r="R335" s="15"/>
      <c r="S335" s="15"/>
      <c r="T335" s="18"/>
      <c r="U335" s="67"/>
      <c r="V335" s="71"/>
      <c r="W335" s="50"/>
    </row>
    <row r="336" spans="1:23" s="12" customFormat="1" ht="20.100000000000001" customHeight="1" x14ac:dyDescent="0.15">
      <c r="A336" s="77"/>
      <c r="B336" s="2" t="s">
        <v>16</v>
      </c>
      <c r="C336" s="4" t="s">
        <v>68</v>
      </c>
      <c r="D336" s="24">
        <v>21094.49</v>
      </c>
      <c r="E336" s="24">
        <v>4357.2700000000004</v>
      </c>
      <c r="F336" s="24">
        <v>4686.28</v>
      </c>
      <c r="G336" s="24">
        <v>14010.51</v>
      </c>
      <c r="H336" s="33">
        <v>18416.169999999998</v>
      </c>
      <c r="I336" s="22">
        <v>7420.23</v>
      </c>
      <c r="J336" s="24">
        <v>52466.16</v>
      </c>
      <c r="K336" s="24">
        <v>3395.17</v>
      </c>
      <c r="L336" s="24">
        <v>2567.79</v>
      </c>
      <c r="M336" s="36">
        <f t="shared" ref="M336:M338" si="55">D336+E336+F336+G336+H336+I336+J336+K336+L336</f>
        <v>128414.06999999999</v>
      </c>
      <c r="N336" s="15">
        <f>M336/M333</f>
        <v>4.0822906099254333E-2</v>
      </c>
      <c r="O336" s="48">
        <v>42248.9</v>
      </c>
      <c r="P336" s="50">
        <f>O336/O333</f>
        <v>1.7726918913933819E-2</v>
      </c>
      <c r="Q336" s="18"/>
      <c r="R336" s="15"/>
      <c r="S336" s="15"/>
      <c r="T336" s="18"/>
      <c r="U336" s="67"/>
      <c r="V336" s="71"/>
      <c r="W336" s="62"/>
    </row>
    <row r="337" spans="1:23" s="12" customFormat="1" ht="20.100000000000001" customHeight="1" x14ac:dyDescent="0.15">
      <c r="A337" s="77"/>
      <c r="B337" s="2" t="s">
        <v>16</v>
      </c>
      <c r="C337" s="4" t="s">
        <v>69</v>
      </c>
      <c r="D337" s="22"/>
      <c r="E337" s="22"/>
      <c r="F337" s="22"/>
      <c r="G337" s="22"/>
      <c r="H337" s="22"/>
      <c r="I337" s="22"/>
      <c r="J337" s="22"/>
      <c r="K337" s="22"/>
      <c r="L337" s="22"/>
      <c r="M337" s="48">
        <f t="shared" si="55"/>
        <v>0</v>
      </c>
      <c r="N337" s="15">
        <f>M337/M333</f>
        <v>0</v>
      </c>
      <c r="O337" s="48">
        <v>0</v>
      </c>
      <c r="P337" s="50">
        <f>O337/O333</f>
        <v>0</v>
      </c>
      <c r="Q337" s="18"/>
      <c r="R337" s="15"/>
      <c r="S337" s="15"/>
      <c r="T337" s="18"/>
      <c r="U337" s="67"/>
      <c r="V337" s="71"/>
      <c r="W337" s="62"/>
    </row>
    <row r="338" spans="1:23" s="12" customFormat="1" ht="20.100000000000001" customHeight="1" x14ac:dyDescent="0.15">
      <c r="A338" s="77"/>
      <c r="B338" s="2" t="s">
        <v>16</v>
      </c>
      <c r="C338" s="4" t="s">
        <v>70</v>
      </c>
      <c r="D338" s="22"/>
      <c r="E338" s="22"/>
      <c r="F338" s="22"/>
      <c r="G338" s="22"/>
      <c r="H338" s="33">
        <v>4400</v>
      </c>
      <c r="I338" s="22"/>
      <c r="J338" s="22"/>
      <c r="K338" s="22"/>
      <c r="L338" s="22"/>
      <c r="M338" s="48">
        <f t="shared" si="55"/>
        <v>4400</v>
      </c>
      <c r="N338" s="15">
        <f>M338/M333</f>
        <v>1.3987625097212407E-3</v>
      </c>
      <c r="O338" s="48">
        <v>0</v>
      </c>
      <c r="P338" s="50">
        <f>O338/O333</f>
        <v>0</v>
      </c>
      <c r="Q338" s="18"/>
      <c r="R338" s="15"/>
      <c r="S338" s="15"/>
      <c r="T338" s="18"/>
      <c r="U338" s="67"/>
      <c r="V338" s="72"/>
      <c r="W338" s="62"/>
    </row>
    <row r="339" spans="1:23" ht="20.100000000000001" customHeight="1" x14ac:dyDescent="0.15">
      <c r="A339" s="77"/>
      <c r="B339" s="2" t="s">
        <v>49</v>
      </c>
      <c r="C339" s="4" t="s">
        <v>21</v>
      </c>
      <c r="D339" s="36">
        <f>451180-39.5</f>
        <v>451140.5</v>
      </c>
      <c r="E339" s="36">
        <f>546380+3000</f>
        <v>549380</v>
      </c>
      <c r="F339" s="36">
        <f>470720-20</f>
        <v>470700</v>
      </c>
      <c r="G339" s="36">
        <v>542580</v>
      </c>
      <c r="H339" s="36">
        <f>449690-996.4</f>
        <v>448693.6</v>
      </c>
      <c r="I339" s="36">
        <f>469250.7-1954.9</f>
        <v>467295.8</v>
      </c>
      <c r="J339" s="36">
        <f>638450+2470</f>
        <v>640920</v>
      </c>
      <c r="K339" s="36">
        <v>474780</v>
      </c>
      <c r="L339" s="36">
        <f>534010+2100</f>
        <v>536110</v>
      </c>
      <c r="M339" s="48">
        <f t="shared" ref="M339:M341" si="56">SUM(D339:L339)</f>
        <v>4581599.9000000004</v>
      </c>
      <c r="N339" s="21">
        <f>ROUND(M339/10000,2)</f>
        <v>458.16</v>
      </c>
      <c r="O339" s="48">
        <v>3981047.68</v>
      </c>
      <c r="P339" s="51">
        <f>M339-O339</f>
        <v>600552.2200000002</v>
      </c>
      <c r="Q339" s="21">
        <f>VLOOKUP(B339,[1]Sheet1!$B$3:$E$53,4,0)</f>
        <v>310</v>
      </c>
      <c r="R339" s="21">
        <f>(M339-M340-M341-M342-M343-M344)/10000</f>
        <v>328.89379300000002</v>
      </c>
      <c r="S339" s="15">
        <f>R339/Q339</f>
        <v>1.0609477193548387</v>
      </c>
      <c r="T339" s="18">
        <f>R339-Q339</f>
        <v>18.893793000000016</v>
      </c>
      <c r="U339" s="67">
        <f>IF((T339)&gt;0,2000+(T339)*0.05*10000,0)</f>
        <v>11446.896500000008</v>
      </c>
      <c r="V339" s="70" t="s">
        <v>164</v>
      </c>
      <c r="W339" s="50"/>
    </row>
    <row r="340" spans="1:23" ht="20.100000000000001" customHeight="1" x14ac:dyDescent="0.15">
      <c r="A340" s="77"/>
      <c r="B340" s="2" t="s">
        <v>49</v>
      </c>
      <c r="C340" s="4" t="s">
        <v>22</v>
      </c>
      <c r="D340" s="36">
        <v>12023.6</v>
      </c>
      <c r="E340" s="36">
        <v>10927.6</v>
      </c>
      <c r="F340" s="36">
        <v>9414.4</v>
      </c>
      <c r="G340" s="36">
        <v>11851.6</v>
      </c>
      <c r="H340" s="36">
        <v>8993.7999999999993</v>
      </c>
      <c r="I340" s="36">
        <v>59259.61</v>
      </c>
      <c r="J340" s="36">
        <v>12769</v>
      </c>
      <c r="K340" s="36">
        <v>9422.6</v>
      </c>
      <c r="L340" s="36">
        <v>11598.4</v>
      </c>
      <c r="M340" s="48">
        <f t="shared" si="56"/>
        <v>146260.60999999999</v>
      </c>
      <c r="N340" s="15">
        <f>M340/M339</f>
        <v>3.1923479394174066E-2</v>
      </c>
      <c r="O340" s="48">
        <v>130588.14</v>
      </c>
      <c r="P340" s="50">
        <f>O340/O339</f>
        <v>3.280245565910931E-2</v>
      </c>
      <c r="Q340" s="18"/>
      <c r="R340" s="15"/>
      <c r="S340" s="15"/>
      <c r="T340" s="18"/>
      <c r="U340" s="67"/>
      <c r="V340" s="71"/>
      <c r="W340" s="50"/>
    </row>
    <row r="341" spans="1:23" ht="20.100000000000001" customHeight="1" x14ac:dyDescent="0.15">
      <c r="A341" s="77"/>
      <c r="B341" s="2" t="s">
        <v>49</v>
      </c>
      <c r="C341" s="4" t="s">
        <v>23</v>
      </c>
      <c r="D341" s="36">
        <f>229727.9-59200</f>
        <v>170527.9</v>
      </c>
      <c r="E341" s="36">
        <v>165450.96</v>
      </c>
      <c r="F341" s="36">
        <v>100493.02</v>
      </c>
      <c r="G341" s="36">
        <v>109527.11</v>
      </c>
      <c r="H341" s="36">
        <v>80679.37</v>
      </c>
      <c r="I341" s="36">
        <v>101223.82</v>
      </c>
      <c r="J341" s="36">
        <v>134762.38</v>
      </c>
      <c r="K341" s="36">
        <v>109760.49</v>
      </c>
      <c r="L341" s="36">
        <v>123847.39</v>
      </c>
      <c r="M341" s="48">
        <f t="shared" si="56"/>
        <v>1096272.44</v>
      </c>
      <c r="N341" s="15">
        <f>M341/M339</f>
        <v>0.23927720969262284</v>
      </c>
      <c r="O341" s="48">
        <v>1044690.062</v>
      </c>
      <c r="P341" s="50">
        <f>O341/O339</f>
        <v>0.26241586285145924</v>
      </c>
      <c r="Q341" s="18"/>
      <c r="R341" s="15"/>
      <c r="S341" s="15"/>
      <c r="T341" s="18"/>
      <c r="U341" s="67"/>
      <c r="V341" s="71"/>
      <c r="W341" s="50"/>
    </row>
    <row r="342" spans="1:23" s="12" customFormat="1" ht="20.100000000000001" customHeight="1" x14ac:dyDescent="0.15">
      <c r="A342" s="77"/>
      <c r="B342" s="2" t="s">
        <v>67</v>
      </c>
      <c r="C342" s="4" t="s">
        <v>68</v>
      </c>
      <c r="D342" s="24">
        <v>2546.16</v>
      </c>
      <c r="E342" s="24">
        <v>1594.75</v>
      </c>
      <c r="F342" s="24">
        <v>7259.16</v>
      </c>
      <c r="G342" s="24">
        <v>3576.37</v>
      </c>
      <c r="H342" s="33">
        <v>6463.11</v>
      </c>
      <c r="I342" s="22">
        <f>-56580.13+65086.5</f>
        <v>8506.3700000000026</v>
      </c>
      <c r="J342" s="24">
        <v>2012.03</v>
      </c>
      <c r="K342" s="24">
        <v>5861.38</v>
      </c>
      <c r="L342" s="24">
        <v>12309.59</v>
      </c>
      <c r="M342" s="36">
        <f>D342+E342+F342+G342+H342+I342+J342+K342+L342</f>
        <v>50128.92</v>
      </c>
      <c r="N342" s="15">
        <f>M342/M339</f>
        <v>1.0941356970083745E-2</v>
      </c>
      <c r="O342" s="48">
        <v>52938.38</v>
      </c>
      <c r="P342" s="50">
        <f>O342/O339</f>
        <v>1.3297600093048872E-2</v>
      </c>
      <c r="Q342" s="18"/>
      <c r="R342" s="15"/>
      <c r="S342" s="15"/>
      <c r="T342" s="18"/>
      <c r="U342" s="67"/>
      <c r="V342" s="71"/>
      <c r="W342" s="62"/>
    </row>
    <row r="343" spans="1:23" s="12" customFormat="1" ht="20.100000000000001" customHeight="1" x14ac:dyDescent="0.15">
      <c r="A343" s="77"/>
      <c r="B343" s="2" t="s">
        <v>67</v>
      </c>
      <c r="C343" s="4" t="s">
        <v>69</v>
      </c>
      <c r="D343" s="22"/>
      <c r="E343" s="22"/>
      <c r="F343" s="22"/>
      <c r="G343" s="22"/>
      <c r="H343" s="22"/>
      <c r="I343" s="22"/>
      <c r="J343" s="22"/>
      <c r="K343" s="22"/>
      <c r="L343" s="22"/>
      <c r="M343" s="48">
        <f t="shared" ref="M343:M344" si="57">D343+E343+F343+G343+H343+I343+J343+K343+L343</f>
        <v>0</v>
      </c>
      <c r="N343" s="15">
        <f>M343/M339</f>
        <v>0</v>
      </c>
      <c r="O343" s="48">
        <v>0</v>
      </c>
      <c r="P343" s="50">
        <f>O343/O339</f>
        <v>0</v>
      </c>
      <c r="Q343" s="18"/>
      <c r="R343" s="15"/>
      <c r="S343" s="15"/>
      <c r="T343" s="18"/>
      <c r="U343" s="67"/>
      <c r="V343" s="71"/>
      <c r="W343" s="62"/>
    </row>
    <row r="344" spans="1:23" s="12" customFormat="1" ht="20.100000000000001" customHeight="1" x14ac:dyDescent="0.15">
      <c r="A344" s="77"/>
      <c r="B344" s="2" t="s">
        <v>67</v>
      </c>
      <c r="C344" s="4" t="s">
        <v>70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48">
        <f t="shared" si="57"/>
        <v>0</v>
      </c>
      <c r="N344" s="15">
        <f>M344/M339</f>
        <v>0</v>
      </c>
      <c r="O344" s="48">
        <v>2640</v>
      </c>
      <c r="P344" s="50">
        <f>O344/O339</f>
        <v>6.6314201994184605E-4</v>
      </c>
      <c r="Q344" s="18"/>
      <c r="R344" s="15"/>
      <c r="S344" s="15"/>
      <c r="T344" s="18"/>
      <c r="U344" s="67"/>
      <c r="V344" s="72"/>
      <c r="W344" s="62"/>
    </row>
    <row r="345" spans="1:23" s="6" customFormat="1" ht="27.75" customHeight="1" x14ac:dyDescent="0.15">
      <c r="A345" s="77"/>
      <c r="B345" s="2" t="s">
        <v>30</v>
      </c>
      <c r="C345" s="4" t="s">
        <v>21</v>
      </c>
      <c r="D345" s="36">
        <v>14250</v>
      </c>
      <c r="E345" s="36">
        <v>50640</v>
      </c>
      <c r="F345" s="36">
        <v>39340</v>
      </c>
      <c r="G345" s="36">
        <v>35640</v>
      </c>
      <c r="H345" s="36">
        <v>28090</v>
      </c>
      <c r="I345" s="36">
        <v>57960</v>
      </c>
      <c r="J345" s="36">
        <v>36910</v>
      </c>
      <c r="K345" s="36">
        <v>34670</v>
      </c>
      <c r="L345" s="22">
        <v>36470</v>
      </c>
      <c r="M345" s="48">
        <f>SUM(D345:L345)</f>
        <v>333970</v>
      </c>
      <c r="N345" s="21">
        <f>ROUND(M345/10000,2)</f>
        <v>33.4</v>
      </c>
      <c r="O345" s="48">
        <v>348583</v>
      </c>
      <c r="P345" s="51">
        <f>M345-O345</f>
        <v>-14613</v>
      </c>
      <c r="Q345" s="21">
        <f>VLOOKUP(B345,[1]Sheet1!$B$3:$E$53,4,0)</f>
        <v>34</v>
      </c>
      <c r="R345" s="21">
        <f>(M345-M346-M347-M348-M349-M350)/10000</f>
        <v>16.392153999999998</v>
      </c>
      <c r="S345" s="15">
        <f>R345/Q345</f>
        <v>0.48212217647058819</v>
      </c>
      <c r="T345" s="18">
        <f>R345-Q345</f>
        <v>-17.607846000000002</v>
      </c>
      <c r="U345" s="67">
        <f>IF((T345)&gt;0,2000+(T345)*0.05*10000,0)</f>
        <v>0</v>
      </c>
      <c r="V345" s="30"/>
      <c r="W345" s="63"/>
    </row>
    <row r="346" spans="1:23" s="6" customFormat="1" ht="21" customHeight="1" x14ac:dyDescent="0.15">
      <c r="A346" s="77"/>
      <c r="B346" s="2" t="s">
        <v>30</v>
      </c>
      <c r="C346" s="4" t="s">
        <v>22</v>
      </c>
      <c r="D346" s="36">
        <f>855+2051.4</f>
        <v>2906.4</v>
      </c>
      <c r="E346" s="36">
        <f>3038.4+2581.8</f>
        <v>5620.2000000000007</v>
      </c>
      <c r="F346" s="36">
        <f>2360.4+2500</f>
        <v>4860.3999999999996</v>
      </c>
      <c r="G346" s="36">
        <v>4638.3999999999996</v>
      </c>
      <c r="H346" s="36">
        <f>1685.4+2500</f>
        <v>4185.3999999999996</v>
      </c>
      <c r="I346" s="36">
        <f>3477.6+4290.3</f>
        <v>7767.9</v>
      </c>
      <c r="J346" s="36">
        <f>2214.6+3000</f>
        <v>5214.6000000000004</v>
      </c>
      <c r="K346" s="36">
        <f>2080.2+3000</f>
        <v>5080.2</v>
      </c>
      <c r="L346" s="22">
        <v>5188.2</v>
      </c>
      <c r="M346" s="48">
        <f>SUM(D346:L346)</f>
        <v>45461.7</v>
      </c>
      <c r="N346" s="15">
        <f>M346/M345</f>
        <v>0.13612510105698117</v>
      </c>
      <c r="O346" s="48">
        <v>40655.97</v>
      </c>
      <c r="P346" s="50">
        <f>O346/O345</f>
        <v>0.11663210770462129</v>
      </c>
      <c r="Q346" s="18"/>
      <c r="R346" s="15"/>
      <c r="S346" s="15"/>
      <c r="T346" s="18"/>
      <c r="U346" s="67"/>
      <c r="V346" s="30"/>
      <c r="W346" s="63"/>
    </row>
    <row r="347" spans="1:23" s="6" customFormat="1" ht="21" customHeight="1" x14ac:dyDescent="0.15">
      <c r="A347" s="77"/>
      <c r="B347" s="2" t="s">
        <v>30</v>
      </c>
      <c r="C347" s="4" t="s">
        <v>23</v>
      </c>
      <c r="D347" s="36">
        <v>11241.1</v>
      </c>
      <c r="E347" s="36">
        <v>14151.2</v>
      </c>
      <c r="F347" s="36">
        <v>14618.5</v>
      </c>
      <c r="G347" s="36">
        <v>11632.8</v>
      </c>
      <c r="H347" s="36">
        <v>6708.7</v>
      </c>
      <c r="I347" s="36">
        <v>12995</v>
      </c>
      <c r="J347" s="36">
        <v>8666.7000000000007</v>
      </c>
      <c r="K347" s="36">
        <v>13493.7</v>
      </c>
      <c r="L347" s="48">
        <v>9690.5</v>
      </c>
      <c r="M347" s="48">
        <f>SUM(D347:L347)</f>
        <v>103198.2</v>
      </c>
      <c r="N347" s="15">
        <f>M347/M345</f>
        <v>0.30900440159295745</v>
      </c>
      <c r="O347" s="48">
        <v>85161.3</v>
      </c>
      <c r="P347" s="50">
        <f>O347/O345</f>
        <v>0.24430709472349485</v>
      </c>
      <c r="Q347" s="18"/>
      <c r="R347" s="15"/>
      <c r="S347" s="15"/>
      <c r="T347" s="18"/>
      <c r="U347" s="67"/>
      <c r="V347" s="30"/>
      <c r="W347" s="63"/>
    </row>
    <row r="348" spans="1:23" s="12" customFormat="1" ht="20.100000000000001" customHeight="1" x14ac:dyDescent="0.15">
      <c r="A348" s="77"/>
      <c r="B348" s="2" t="s">
        <v>30</v>
      </c>
      <c r="C348" s="4" t="s">
        <v>68</v>
      </c>
      <c r="D348" s="24">
        <v>4985.53</v>
      </c>
      <c r="E348" s="22">
        <v>0</v>
      </c>
      <c r="F348" s="22">
        <v>400</v>
      </c>
      <c r="G348" s="24">
        <v>6599.88</v>
      </c>
      <c r="H348" s="33">
        <v>0</v>
      </c>
      <c r="I348" s="22">
        <f>527.24+17.4</f>
        <v>544.64</v>
      </c>
      <c r="J348" s="22">
        <v>0</v>
      </c>
      <c r="K348" s="24">
        <v>1758.69</v>
      </c>
      <c r="L348" s="33">
        <v>5099.82</v>
      </c>
      <c r="M348" s="36">
        <f t="shared" ref="M348:M350" si="58">D348+E348+F348+G348+H348+I348+J348+K348+L348</f>
        <v>19388.559999999998</v>
      </c>
      <c r="N348" s="15">
        <f>M348/M345</f>
        <v>5.8054795340898878E-2</v>
      </c>
      <c r="O348" s="48">
        <v>5655.59</v>
      </c>
      <c r="P348" s="50">
        <f>O348/O345</f>
        <v>1.6224514677996345E-2</v>
      </c>
      <c r="Q348" s="18"/>
      <c r="R348" s="15"/>
      <c r="S348" s="15"/>
      <c r="T348" s="18"/>
      <c r="U348" s="67"/>
      <c r="V348" s="45"/>
      <c r="W348" s="62"/>
    </row>
    <row r="349" spans="1:23" s="12" customFormat="1" ht="20.100000000000001" customHeight="1" x14ac:dyDescent="0.15">
      <c r="A349" s="77"/>
      <c r="B349" s="2" t="s">
        <v>30</v>
      </c>
      <c r="C349" s="4" t="s">
        <v>69</v>
      </c>
      <c r="D349" s="22"/>
      <c r="E349" s="22"/>
      <c r="F349" s="22"/>
      <c r="G349" s="22"/>
      <c r="H349" s="22"/>
      <c r="I349" s="22"/>
      <c r="J349" s="22"/>
      <c r="K349" s="22"/>
      <c r="L349" s="22"/>
      <c r="M349" s="48">
        <f t="shared" si="58"/>
        <v>0</v>
      </c>
      <c r="N349" s="15">
        <f>M349/M345</f>
        <v>0</v>
      </c>
      <c r="O349" s="48">
        <v>11375.71</v>
      </c>
      <c r="P349" s="50">
        <f>O349/O345</f>
        <v>3.2634150259765966E-2</v>
      </c>
      <c r="Q349" s="18"/>
      <c r="R349" s="15"/>
      <c r="S349" s="15"/>
      <c r="T349" s="18"/>
      <c r="U349" s="67"/>
      <c r="V349" s="45"/>
      <c r="W349" s="62"/>
    </row>
    <row r="350" spans="1:23" s="12" customFormat="1" ht="20.100000000000001" customHeight="1" x14ac:dyDescent="0.15">
      <c r="A350" s="78"/>
      <c r="B350" s="2" t="s">
        <v>30</v>
      </c>
      <c r="C350" s="4" t="s">
        <v>70</v>
      </c>
      <c r="D350" s="22"/>
      <c r="E350" s="22"/>
      <c r="F350" s="22"/>
      <c r="G350" s="22"/>
      <c r="H350" s="31">
        <v>2000</v>
      </c>
      <c r="I350" s="22"/>
      <c r="J350" s="22"/>
      <c r="K350" s="22"/>
      <c r="L350" s="22"/>
      <c r="M350" s="48">
        <f t="shared" si="58"/>
        <v>2000</v>
      </c>
      <c r="N350" s="15">
        <f>M350/M345</f>
        <v>5.9885618468724739E-3</v>
      </c>
      <c r="O350" s="48">
        <v>0</v>
      </c>
      <c r="P350" s="50">
        <f>O350/O345</f>
        <v>0</v>
      </c>
      <c r="Q350" s="18"/>
      <c r="R350" s="15"/>
      <c r="S350" s="15"/>
      <c r="T350" s="18"/>
      <c r="U350" s="67"/>
      <c r="V350" s="45"/>
      <c r="W350" s="62"/>
    </row>
    <row r="351" spans="1:23" s="12" customFormat="1" ht="20.100000000000001" customHeight="1" x14ac:dyDescent="0.15">
      <c r="A351" s="58" t="s">
        <v>178</v>
      </c>
      <c r="B351" s="13" t="s">
        <v>173</v>
      </c>
      <c r="C351" s="23"/>
      <c r="D351" s="22"/>
      <c r="E351" s="22"/>
      <c r="F351" s="22"/>
      <c r="G351" s="22"/>
      <c r="H351" s="56"/>
      <c r="I351" s="22"/>
      <c r="J351" s="22"/>
      <c r="K351" s="22"/>
      <c r="L351" s="22"/>
      <c r="M351" s="56"/>
      <c r="N351" s="50"/>
      <c r="O351" s="56"/>
      <c r="P351" s="50"/>
      <c r="Q351" s="18">
        <f>Q345+Q339+Q333+Q327+Q321+Q315+Q303+Q297+Q291+Q285</f>
        <v>1582</v>
      </c>
      <c r="R351" s="18">
        <f>R345+R339+R333+R327+R321+R315+R303+R297+R291+R285</f>
        <v>1493.473092</v>
      </c>
      <c r="S351" s="50">
        <f>R351/Q351</f>
        <v>0.94404114538558781</v>
      </c>
      <c r="T351" s="18">
        <f>R351-Q351</f>
        <v>-88.526908000000049</v>
      </c>
      <c r="U351" s="67">
        <f>IF((T351)&gt;0,2000+(T351)*0.05*10000,0)</f>
        <v>0</v>
      </c>
      <c r="V351" s="45"/>
      <c r="W351" s="62"/>
    </row>
    <row r="352" spans="1:23" s="6" customFormat="1" ht="20.100000000000001" customHeight="1" x14ac:dyDescent="0.15">
      <c r="A352" s="73"/>
      <c r="B352" s="5" t="s">
        <v>179</v>
      </c>
      <c r="C352" s="4" t="s">
        <v>21</v>
      </c>
      <c r="D352" s="49">
        <f t="shared" ref="D352:L352" si="59">D52+D212+D285+D291+D303+D297+D4+D10+D188+D194+D200+D114+D120+D132+D206+D22+D138+D315+D150+D333+D224+D230+D236+D144+D339+D157+D218+D28+D16+D34+D76+D40+D248+D321+D327+D163+D46+D169+D58+D82+D345+D175+D242+D88+D70+D64+D260+D254+D94+D126+D181+D278+D272+D266+D107+D100+D309</f>
        <v>5278348.7899999991</v>
      </c>
      <c r="E352" s="49">
        <f t="shared" si="59"/>
        <v>9425831.4800000004</v>
      </c>
      <c r="F352" s="49">
        <f t="shared" si="59"/>
        <v>8623153.1100000013</v>
      </c>
      <c r="G352" s="49">
        <f t="shared" si="59"/>
        <v>9966096.2799999956</v>
      </c>
      <c r="H352" s="49">
        <f t="shared" si="59"/>
        <v>8204271.7899999991</v>
      </c>
      <c r="I352" s="49">
        <f t="shared" si="59"/>
        <v>14642324.18</v>
      </c>
      <c r="J352" s="49">
        <f t="shared" si="59"/>
        <v>10441953</v>
      </c>
      <c r="K352" s="49">
        <f t="shared" si="59"/>
        <v>11285736.750000002</v>
      </c>
      <c r="L352" s="49">
        <f t="shared" si="59"/>
        <v>11321546.170000004</v>
      </c>
      <c r="M352" s="49">
        <f>M52+M212+M285+M291+M303+M297+M4+M10+M188+M194+M200+M114+M120+M132+M206+M22+M138+M315+M150+M333+M224+M230+M236+M144+M339+M157+M218+M28+M16+M34+M76+M40+M248+M321+M327+M163+M46+M169+M58+M82+M345+M175+M242+M88+M70+M64+M260+M254+M94+M126+M181+M278+M272+M266+M107+M100+M309</f>
        <v>88956420.749999985</v>
      </c>
      <c r="N352" s="20">
        <f>N52+N212+N285+N291+N303+N297+N4+N10+N188+N194+N200+N114+N120+N132+N206+N22+N138+N315+N150+N333+N224+N230+N236+N144+N339+N157+N218+N28+N16+N34+N76+N40+N248+N321+N327+N163+N46+N169+N58+N82+N345+N175+N242+N88+N70+N64+N260+N254+N94+N126+N181+N278+N272+N266+N107+N100</f>
        <v>8779.9600000000009</v>
      </c>
      <c r="O352" s="49">
        <f>O52+O212+O285+O291+O303+O297+O4+O10+O188+O194+O200+O114+O120+O132+O206+O22+O138+O315+O150+O333+O224+O230+O236+O144+O339+O157+O218+O28+O16+O34+O76+O40+O248+O321+O327+O163+O46+O169+O58+O82+O345+O175+O242+O88+O70+O64+O260+O254+O94+O126+O181+O278+O272+O266+O107+O100</f>
        <v>69707519.870000005</v>
      </c>
      <c r="P352" s="20"/>
      <c r="Q352" s="20">
        <f>Q52+Q212+Q285+Q291+Q303+Q297+Q4+Q10+Q188+Q194+Q200+Q114+Q120+Q132+Q206+Q22+Q138+Q315+Q150+Q333+Q224+Q230+Q236+Q144+Q339+Q157+Q218+Q28+Q16+Q34+Q76+Q40+Q248+Q321+Q327+Q163+Q46+Q169+Q58+Q82+Q345+Q175+Q242+Q88+Q70+Q64+Q260+Q254+Q94+Q126+Q181+Q100</f>
        <v>6260</v>
      </c>
      <c r="R352" s="20">
        <f>R52+R212+R285+R291+R303+R297+R4+R10+R188+R194+R200+R114+R120+R132+R206+R22+R138+R315+R150+R333+R224+R230+R236+R144+R339+R157+R218+R28+R16+R34+R76+R40+R248+R321+R327+R163+R46+R169+R58+R82+R345+R175+R242+R88+R70+R64+R260+R254+R94+R126+R181+R100+R278+R272+R266+R107</f>
        <v>6299.157999</v>
      </c>
      <c r="S352" s="15">
        <f>R352/Q352</f>
        <v>1.0062552714057509</v>
      </c>
      <c r="T352" s="18"/>
      <c r="U352" s="67">
        <f>U4+U22+U28+U34+U40+U46+U52+U58+U64+U70+U76+U82+U88+U94+U100+U107+U113+U114+U126+U132+U138+U150+U157+U163+U169+U175+U181+U187+U188+U200+U206+U212+U224+U230+U236+U242+U248+U254+U260+U266+U272+U278+U284+U285+U291+U303+U309+U315+U321+U333+U339+U345+U351</f>
        <v>146408.71700000003</v>
      </c>
      <c r="V352" s="30"/>
      <c r="W352" s="63"/>
    </row>
    <row r="353" spans="1:23" s="6" customFormat="1" ht="20.100000000000001" customHeight="1" x14ac:dyDescent="0.15">
      <c r="A353" s="73"/>
      <c r="B353" s="5" t="s">
        <v>18</v>
      </c>
      <c r="C353" s="4" t="s">
        <v>22</v>
      </c>
      <c r="D353" s="39">
        <f t="shared" ref="D353:K353" si="60">D5+D11+D17+D23+D29+D35+D41+D47+D53+D59+D65+D71+D77+D83+D89+D95+D102+D108+D115+D121+D127+D133+D139+D145+D151+D158+D164+D170+D176+D182+D189+D195+D201+D207+D213+D219+D225+D231+D237+D243+D249+D255+D261+D267+D273+D279+D286+D292+D298+D304+D310+D316+D322+D328+D334+D340+D346</f>
        <v>261649.30000000002</v>
      </c>
      <c r="E353" s="39">
        <f t="shared" si="60"/>
        <v>486104.84999999992</v>
      </c>
      <c r="F353" s="39">
        <f t="shared" si="60"/>
        <v>414406.78000000009</v>
      </c>
      <c r="G353" s="39">
        <f t="shared" si="60"/>
        <v>494711.93999999983</v>
      </c>
      <c r="H353" s="39">
        <f t="shared" si="60"/>
        <v>438126.06</v>
      </c>
      <c r="I353" s="39">
        <f t="shared" si="60"/>
        <v>737654.03999999992</v>
      </c>
      <c r="J353" s="39">
        <f t="shared" si="60"/>
        <v>526549.64000000013</v>
      </c>
      <c r="K353" s="39">
        <f t="shared" si="60"/>
        <v>587647.65999999992</v>
      </c>
      <c r="L353" s="39">
        <f>L5+L11+L17+L23+L29+L35+L41+L47+L53+L59+L65+L71+L77+L83+L89+L95+L102+L108+L115+L121+L127+L133+L139+L145+L151+L158+L164+L170+L176+L182+L189+L195+L201+L207+L213+L219+L225+L231+L237+L243+L249+L255+L261+L267+L273+L279+L286+L292+L298+L304+L310+L316+L322+L328+L334+L340+L346</f>
        <v>549212.79</v>
      </c>
      <c r="M353" s="48">
        <f t="shared" ref="M353:M354" si="61">SUM(D353:L353)</f>
        <v>4496063.0599999996</v>
      </c>
      <c r="N353" s="15">
        <f>M353/M352</f>
        <v>5.0542310741521157E-2</v>
      </c>
      <c r="O353" s="39">
        <f>O5+O11+O17+O23+O29+O35+O41+O47+O53+O59+O65+O71+O77+O83+O89+O95+O102+O108+O115+O121+O127+O133+O139+O145+O151+O158+O164+O170+O176+O182+O189+O195+O201+O207+O213+O219+O225+O231+O237+O243+O249+O255+O261+O267+O273+O279+O286+O292+O298+O304+O310+O316+O322+O328+O334+O340+O346</f>
        <v>3469105.0999999996</v>
      </c>
      <c r="P353" s="15"/>
      <c r="Q353" s="18"/>
      <c r="R353" s="15"/>
      <c r="S353" s="15"/>
      <c r="T353" s="18"/>
      <c r="U353" s="67"/>
      <c r="V353" s="30"/>
      <c r="W353" s="63"/>
    </row>
    <row r="354" spans="1:23" ht="20.100000000000001" customHeight="1" x14ac:dyDescent="0.15">
      <c r="A354" s="73"/>
      <c r="B354" s="5" t="s">
        <v>18</v>
      </c>
      <c r="C354" s="4" t="s">
        <v>23</v>
      </c>
      <c r="D354" s="47">
        <f t="shared" ref="D354:K354" si="62">D287+D293+D305+D299+D24+D317+D323+D329+D78+D84+D90+D96+D116+D122+D128+D134+D140+D153+D146+D159+D165+D171+D177+D183+D190+D196+D202+D208+D214+D226+D232+D238+D220+D244+D250+D256+D262+D6+D12+D335+D341+D30+D18+D36+D42+D48+D54+D60+D347+D66+D72+D311+D280+D274+D268+D109+D103</f>
        <v>1585062.145</v>
      </c>
      <c r="E354" s="47">
        <f t="shared" si="62"/>
        <v>2759376.5400000005</v>
      </c>
      <c r="F354" s="47">
        <f t="shared" si="62"/>
        <v>1707777.4849999996</v>
      </c>
      <c r="G354" s="47">
        <f t="shared" si="62"/>
        <v>1493012.3299999998</v>
      </c>
      <c r="H354" s="47">
        <f t="shared" si="62"/>
        <v>1532813.5800000003</v>
      </c>
      <c r="I354" s="47">
        <f t="shared" si="62"/>
        <v>1746820.0300000003</v>
      </c>
      <c r="J354" s="47">
        <f t="shared" si="62"/>
        <v>1878281.9200000002</v>
      </c>
      <c r="K354" s="47">
        <f t="shared" si="62"/>
        <v>2223343.4300000006</v>
      </c>
      <c r="L354" s="47">
        <f>L287+L293+L305+L299+L24+L317+L323+L329+L78+L84+L90+L96+L116+L122+L128+L134+L140+L153+L146+L159+L165+L171+L177+L183+L190+L196+L202+L208+L214+L226+L232+L238+L220+L244+L250+L256+L262+L6+L12+L335+L341+L30+L18+L36+L42+L48+L54+L60+L347+L66+L72+L311+L280+L274+L268+L109+L103</f>
        <v>3388877.0399999996</v>
      </c>
      <c r="M354" s="48">
        <f t="shared" si="61"/>
        <v>18315364.5</v>
      </c>
      <c r="N354" s="15">
        <f>M354/M352</f>
        <v>0.2058914280226366</v>
      </c>
      <c r="O354" s="47">
        <f>O287+O293+O305+O299+O24+O317+O323+O329+O78+O84+O90+O96+O116+O122+O128+O134+O140+O153+O146+O159+O165+O171+O177+O183+O190+O196+O202+O208+O214+O226+O232+O238+O220+O244+O250+O256+O262+O6+O12+O335+O341+O30+O18+O36+O42+O48+O54+O60+O347+O66+O72+O311+O280+O274+O268+O109+O103</f>
        <v>14855602.686000003</v>
      </c>
      <c r="P354" s="15"/>
      <c r="Q354" s="18"/>
      <c r="R354" s="15"/>
      <c r="S354" s="15"/>
      <c r="T354" s="18"/>
      <c r="U354" s="67"/>
      <c r="V354" s="30"/>
      <c r="W354" s="50"/>
    </row>
    <row r="355" spans="1:23" s="12" customFormat="1" ht="20.100000000000001" customHeight="1" x14ac:dyDescent="0.15">
      <c r="A355" s="73"/>
      <c r="B355" s="5" t="s">
        <v>18</v>
      </c>
      <c r="C355" s="4" t="s">
        <v>68</v>
      </c>
      <c r="D355" s="41">
        <f t="shared" ref="D355:L355" si="63">D263++D257+D97+D184+D73+D67+D91+D245+D178+D348+D85+D61+D55+D172+D49+D330+D166+D324+D251+D43+D79+D37+D19+D31+D221+D160+D342+D147+D239+D233+D227+D336+D215+D154+D318+D141+D25+D209+D135+D129+D123+D117+D203+D197+D191+D13+D7+D300+D306+D294+D288+D281+D275+D269+D110+D104+D312</f>
        <v>213526.72999999992</v>
      </c>
      <c r="E355" s="41">
        <f t="shared" si="63"/>
        <v>58474.6</v>
      </c>
      <c r="F355" s="41">
        <f t="shared" si="63"/>
        <v>187241.0499999999</v>
      </c>
      <c r="G355" s="41">
        <f t="shared" si="63"/>
        <v>242882.59000000003</v>
      </c>
      <c r="H355" s="41">
        <f t="shared" si="63"/>
        <v>207467.75999999998</v>
      </c>
      <c r="I355" s="41">
        <f t="shared" si="63"/>
        <v>215149.20000000007</v>
      </c>
      <c r="J355" s="41">
        <f t="shared" si="63"/>
        <v>188797.68000000002</v>
      </c>
      <c r="K355" s="41">
        <f t="shared" si="63"/>
        <v>162318.82999999999</v>
      </c>
      <c r="L355" s="41">
        <f t="shared" si="63"/>
        <v>409560.80000000005</v>
      </c>
      <c r="M355" s="48">
        <f>D355+E355+F355+G355+H355+I355+J355+K355+L355</f>
        <v>1885419.2399999998</v>
      </c>
      <c r="N355" s="15">
        <f>M355/M352</f>
        <v>2.1194864003113569E-2</v>
      </c>
      <c r="O355" s="41">
        <f>O263++O257+O97+O184+O73+O67+O91+O245+O178+O348+O85+O61+O55+O172+O49+O330+O166+O324+O251+O43+O79+O37+O19+O31+O221+O160+O342+O147+O239+O233+O227+O336+O215+O154+O318+O141+O25+O209+O135+O129+O123+O117+O203+O197+O191+O13+O7+O300+O306+O294+O288+O281+O275+O269+O110+O104+O312</f>
        <v>1255145.0900000003</v>
      </c>
      <c r="P355" s="15"/>
      <c r="Q355" s="18"/>
      <c r="R355" s="15"/>
      <c r="S355" s="15"/>
      <c r="T355" s="18"/>
      <c r="U355" s="67"/>
      <c r="V355" s="45"/>
      <c r="W355" s="62"/>
    </row>
    <row r="356" spans="1:23" s="12" customFormat="1" ht="20.100000000000001" customHeight="1" x14ac:dyDescent="0.15">
      <c r="A356" s="73"/>
      <c r="B356" s="5" t="s">
        <v>18</v>
      </c>
      <c r="C356" s="4" t="s">
        <v>69</v>
      </c>
      <c r="D356" s="41">
        <f t="shared" ref="D356:K356" si="64">D264+D258+D98+D185+D74+D68+D92+D246+D179+D349+D86+D62+D56+D173+D50+D331+D167+D325+D252+D44+D80+D38+D20+D32+D222+D161+D343+D148+D240+D234+D228+D337+D216+D155+D319+D142+D26+D210+D136+D130+D124+D118+D204+D198+D192+D14+D8+D301+D307+D295+D289+D282+D276+D270+D111+D105+D313</f>
        <v>0</v>
      </c>
      <c r="E356" s="41">
        <f t="shared" si="64"/>
        <v>2241</v>
      </c>
      <c r="F356" s="41">
        <f t="shared" si="64"/>
        <v>0</v>
      </c>
      <c r="G356" s="41">
        <f t="shared" si="64"/>
        <v>0</v>
      </c>
      <c r="H356" s="41">
        <f t="shared" si="64"/>
        <v>0</v>
      </c>
      <c r="I356" s="41">
        <f t="shared" si="64"/>
        <v>0</v>
      </c>
      <c r="J356" s="41">
        <f>J264+J258+J98+J185+J74+J68+J92+J246+J179+J349+J86+J62+J56+J173+J50+J331+J167+J325+J252+J44+J80+J38+J20+J32+J222+J161+J343+J148+J240+J234+J228+J337+J216+J155+J319+J142+J26+J210+J136+J130+J124+J118+J204+J198+J192+J14+J8+J301+J307+J295+J289+J282+J276+J270+J111+J105+J313</f>
        <v>4870.68</v>
      </c>
      <c r="K356" s="41">
        <f t="shared" si="64"/>
        <v>0</v>
      </c>
      <c r="L356" s="41">
        <f>L264+L258+L98+L185+L74+L68+L92+L246+L179+L349+L86+L62+L56+L173+L50+L331+L167+L325+L252+L44+L80+L38+L20+L32+L222+L161+L343+L148+L240+L234+L228+L337+L216+L155+L319+L142+L26+L210+L136+L130+L124+L118+L204+L198+L192+L14+L8+L301+L307+L295+L289+L282+L276+L270+L111+L105+L313</f>
        <v>0</v>
      </c>
      <c r="M356" s="48">
        <f>D356+E356+F356+G356+H356+I356+J356+K356+L356</f>
        <v>7111.68</v>
      </c>
      <c r="N356" s="15">
        <f>M356/M352</f>
        <v>7.994566260693443E-5</v>
      </c>
      <c r="O356" s="41">
        <f>O264+O258+O98+O185+O74+O68+O92+O246+O179+O349+O86+O62+O56+O173+O50+O331+O167+O325+O252+O44+O80+O38+O20+O32+O222+O161+O343+O148+O240+O234+O228+O337+O216+O155+O319+O142+O26+O210+O136+O130+O124+O118+O204+O198+O192+O14+O8+O301+O307+O295+O289+O282+O276+O270+O111+O105+O313</f>
        <v>300965.03999999998</v>
      </c>
      <c r="P356" s="15"/>
      <c r="Q356" s="18"/>
      <c r="R356" s="15"/>
      <c r="S356" s="15"/>
      <c r="T356" s="18"/>
      <c r="U356" s="67"/>
      <c r="V356" s="45"/>
      <c r="W356" s="62"/>
    </row>
    <row r="357" spans="1:23" s="12" customFormat="1" ht="20.100000000000001" customHeight="1" x14ac:dyDescent="0.15">
      <c r="A357" s="73"/>
      <c r="B357" s="5" t="s">
        <v>18</v>
      </c>
      <c r="C357" s="4" t="s">
        <v>70</v>
      </c>
      <c r="D357" s="41">
        <f t="shared" ref="D357:J357" si="65">D265+D259+D99+D186+D75+D69+D93+D247+D180+D350+D87+D63+D57+D174+D51+D332+D168+D326+D253+D45+D81+D39+D21+D33+D223+D162+D344+D149+D241+D235+D229+D338+D217+D156+D320+D143+D27+D211+D137+D131+D125+D119+D205+D199+D193+D15+D9+D302+D308+D296+D290+D283+D277+D271+D112+D106+D314</f>
        <v>52210</v>
      </c>
      <c r="E357" s="41">
        <f t="shared" si="65"/>
        <v>0</v>
      </c>
      <c r="F357" s="41">
        <f t="shared" si="65"/>
        <v>0</v>
      </c>
      <c r="G357" s="41">
        <f t="shared" si="65"/>
        <v>5000</v>
      </c>
      <c r="H357" s="41">
        <f t="shared" si="65"/>
        <v>70816.72</v>
      </c>
      <c r="I357" s="41">
        <f t="shared" si="65"/>
        <v>91333.55</v>
      </c>
      <c r="J357" s="41">
        <f t="shared" si="65"/>
        <v>44525</v>
      </c>
      <c r="K357" s="41">
        <f>K265+K259+K99+K186+K75+K69+K93+K247+K180+K350+K87+K63+K57+K174+K51+K332+K168+K326+K253+K45+K81+K39+K21+K33+K223+K162+K344+K149+K241+K235+K229+K338+K217+K156+K320+K143+K27+K211+K137+K131+K125+K119+K205+K199+K193+K15+K9+K302+K308+K296+K290+K283+K277+K271+K112+K106+K314</f>
        <v>5200</v>
      </c>
      <c r="L357" s="41">
        <f>L265+L259+L99+L186+L75+L69+L93+L247+L180+L350+L87+L63+L57+L174+L51+L332+L168+L326+L253+L45+L81+L39+L21+L33+L223+L162+L344+L149+L241+L235+L229+L338+L217+L156+L320+L143+L27+L211+L137+L131+L125+L119+L205+L199+L193+L15+L9+L302+L308+L296+L290+L283+L277+L271+L112+L106+L314</f>
        <v>26077.769999999997</v>
      </c>
      <c r="M357" s="48">
        <f>D357+E357+F357+G357+H357+I357+J357+K357+L357</f>
        <v>295163.04000000004</v>
      </c>
      <c r="N357" s="15">
        <f>M357/M352</f>
        <v>3.318063356320461E-3</v>
      </c>
      <c r="O357" s="41">
        <f>O265+O259+O99+O186+O75+O69+O93+O247+O180+O350+O87+O63+O57+O174+O51+O332+O168+O326+O253+O45+O81+O39+O21+O33+O223+O162+O344+O149+O241+O235+O229+O338+O217+O156+O320+O143+O27+O211+O137+O131+O125+O119+O205+O199+O193+O15+O9+O302+O308+O296+O290+O283+O277+O271+O112+O106+O314</f>
        <v>131984.03</v>
      </c>
      <c r="P357" s="15"/>
      <c r="Q357" s="18"/>
      <c r="R357" s="15"/>
      <c r="S357" s="15"/>
      <c r="T357" s="18"/>
      <c r="U357" s="67"/>
      <c r="V357" s="45"/>
      <c r="W357" s="62"/>
    </row>
    <row r="358" spans="1:23" x14ac:dyDescent="0.15">
      <c r="D358" s="10"/>
      <c r="E358" s="10"/>
      <c r="F358" s="10"/>
      <c r="G358" s="10"/>
      <c r="H358" s="10"/>
    </row>
  </sheetData>
  <autoFilter ref="A3:V357"/>
  <mergeCells count="49">
    <mergeCell ref="A352:A357"/>
    <mergeCell ref="A1:S2"/>
    <mergeCell ref="A114:A186"/>
    <mergeCell ref="A4:A112"/>
    <mergeCell ref="A188:A283"/>
    <mergeCell ref="A285:A350"/>
    <mergeCell ref="V4:V21"/>
    <mergeCell ref="V114:V125"/>
    <mergeCell ref="V126:V131"/>
    <mergeCell ref="V138:V149"/>
    <mergeCell ref="V150:V156"/>
    <mergeCell ref="V22:V27"/>
    <mergeCell ref="V28:V33"/>
    <mergeCell ref="V34:V39"/>
    <mergeCell ref="V40:V45"/>
    <mergeCell ref="V46:V51"/>
    <mergeCell ref="V52:V57"/>
    <mergeCell ref="V58:V63"/>
    <mergeCell ref="V64:V69"/>
    <mergeCell ref="V76:V81"/>
    <mergeCell ref="V82:V87"/>
    <mergeCell ref="V88:V93"/>
    <mergeCell ref="V212:V223"/>
    <mergeCell ref="V291:V302"/>
    <mergeCell ref="V321:V332"/>
    <mergeCell ref="V175:V180"/>
    <mergeCell ref="V181:V186"/>
    <mergeCell ref="V188:V199"/>
    <mergeCell ref="V224:V229"/>
    <mergeCell ref="V230:V235"/>
    <mergeCell ref="V236:V241"/>
    <mergeCell ref="V242:V247"/>
    <mergeCell ref="V248:V253"/>
    <mergeCell ref="V254:V259"/>
    <mergeCell ref="V260:V265"/>
    <mergeCell ref="V266:V271"/>
    <mergeCell ref="V94:V99"/>
    <mergeCell ref="V100:V106"/>
    <mergeCell ref="V107:V112"/>
    <mergeCell ref="V132:V137"/>
    <mergeCell ref="V169:V174"/>
    <mergeCell ref="V157:V162"/>
    <mergeCell ref="V163:V168"/>
    <mergeCell ref="V339:V344"/>
    <mergeCell ref="V285:V290"/>
    <mergeCell ref="V303:V308"/>
    <mergeCell ref="V309:V314"/>
    <mergeCell ref="V315:V320"/>
    <mergeCell ref="V333:V338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8"/>
  <sheetViews>
    <sheetView workbookViewId="0">
      <selection activeCell="D10" sqref="D10"/>
    </sheetView>
  </sheetViews>
  <sheetFormatPr defaultRowHeight="13.5" x14ac:dyDescent="0.15"/>
  <sheetData>
    <row r="2" spans="2:4" x14ac:dyDescent="0.15">
      <c r="B2">
        <v>234343.7</v>
      </c>
      <c r="C2">
        <v>234343.7</v>
      </c>
      <c r="D2">
        <f>B2-C2</f>
        <v>0</v>
      </c>
    </row>
    <row r="3" spans="2:4" x14ac:dyDescent="0.15">
      <c r="B3">
        <v>9969.2999999999975</v>
      </c>
      <c r="C3">
        <v>9969.2999999999993</v>
      </c>
      <c r="D3">
        <f t="shared" ref="D3:D58" si="0">B3-C3</f>
        <v>0</v>
      </c>
    </row>
    <row r="4" spans="2:4" x14ac:dyDescent="0.15">
      <c r="B4">
        <v>0</v>
      </c>
      <c r="C4">
        <v>0</v>
      </c>
      <c r="D4">
        <f t="shared" si="0"/>
        <v>0</v>
      </c>
    </row>
    <row r="5" spans="2:4" x14ac:dyDescent="0.15">
      <c r="B5">
        <v>106953.63999999998</v>
      </c>
      <c r="C5">
        <v>106953.64</v>
      </c>
      <c r="D5">
        <f t="shared" si="0"/>
        <v>0</v>
      </c>
    </row>
    <row r="6" spans="2:4" x14ac:dyDescent="0.15">
      <c r="B6">
        <v>188308.06</v>
      </c>
      <c r="C6">
        <v>188308.06</v>
      </c>
      <c r="D6">
        <f t="shared" si="0"/>
        <v>0</v>
      </c>
    </row>
    <row r="7" spans="2:4" x14ac:dyDescent="0.15">
      <c r="B7">
        <v>82725.08</v>
      </c>
      <c r="C7">
        <v>82725.08</v>
      </c>
      <c r="D7">
        <f t="shared" si="0"/>
        <v>0</v>
      </c>
    </row>
    <row r="8" spans="2:4" x14ac:dyDescent="0.15">
      <c r="B8">
        <v>376542.05</v>
      </c>
      <c r="C8">
        <v>376542.05</v>
      </c>
      <c r="D8">
        <f t="shared" si="0"/>
        <v>0</v>
      </c>
    </row>
    <row r="9" spans="2:4" x14ac:dyDescent="0.15">
      <c r="B9">
        <v>432261.92</v>
      </c>
      <c r="C9">
        <v>432261.92</v>
      </c>
      <c r="D9">
        <f t="shared" si="0"/>
        <v>0</v>
      </c>
    </row>
    <row r="10" spans="2:4" x14ac:dyDescent="0.15">
      <c r="B10">
        <v>210560.99999999997</v>
      </c>
      <c r="C10">
        <v>208375.8</v>
      </c>
      <c r="D10">
        <f t="shared" si="0"/>
        <v>2185.1999999999825</v>
      </c>
    </row>
    <row r="11" spans="2:4" x14ac:dyDescent="0.15">
      <c r="B11">
        <v>518372.60000000003</v>
      </c>
      <c r="C11">
        <v>518372.6</v>
      </c>
      <c r="D11">
        <f t="shared" si="0"/>
        <v>0</v>
      </c>
    </row>
    <row r="12" spans="2:4" x14ac:dyDescent="0.15">
      <c r="B12">
        <v>130181.40000000001</v>
      </c>
      <c r="C12">
        <v>130181.4</v>
      </c>
      <c r="D12">
        <f t="shared" si="0"/>
        <v>0</v>
      </c>
    </row>
    <row r="13" spans="2:4" x14ac:dyDescent="0.15">
      <c r="B13">
        <v>45729.31</v>
      </c>
      <c r="C13">
        <v>45729.31</v>
      </c>
      <c r="D13">
        <f t="shared" si="0"/>
        <v>0</v>
      </c>
    </row>
    <row r="14" spans="2:4" x14ac:dyDescent="0.15">
      <c r="B14">
        <v>443786.29000000004</v>
      </c>
      <c r="C14">
        <v>443786.29</v>
      </c>
      <c r="D14">
        <f t="shared" si="0"/>
        <v>0</v>
      </c>
    </row>
    <row r="15" spans="2:4" x14ac:dyDescent="0.15">
      <c r="B15">
        <v>16713.599999999999</v>
      </c>
      <c r="C15">
        <v>16713.599999999999</v>
      </c>
      <c r="D15">
        <f t="shared" si="0"/>
        <v>0</v>
      </c>
    </row>
    <row r="16" spans="2:4" x14ac:dyDescent="0.15">
      <c r="B16">
        <v>61944.43</v>
      </c>
      <c r="C16">
        <v>61944.43</v>
      </c>
      <c r="D16">
        <f t="shared" si="0"/>
        <v>0</v>
      </c>
    </row>
    <row r="17" spans="2:4" x14ac:dyDescent="0.15">
      <c r="B17">
        <v>439336.67000000004</v>
      </c>
      <c r="C17">
        <v>439336.67</v>
      </c>
      <c r="D17">
        <f t="shared" si="0"/>
        <v>0</v>
      </c>
    </row>
    <row r="18" spans="2:4" x14ac:dyDescent="0.15">
      <c r="B18">
        <v>273642.14</v>
      </c>
      <c r="C18">
        <v>273642.14</v>
      </c>
      <c r="D18">
        <f t="shared" si="0"/>
        <v>0</v>
      </c>
    </row>
    <row r="19" spans="2:4" x14ac:dyDescent="0.15">
      <c r="B19">
        <v>98280.159999999989</v>
      </c>
      <c r="C19">
        <v>98280.16</v>
      </c>
      <c r="D19">
        <f t="shared" si="0"/>
        <v>0</v>
      </c>
    </row>
    <row r="20" spans="2:4" x14ac:dyDescent="0.15">
      <c r="B20">
        <v>127174.23</v>
      </c>
      <c r="C20">
        <v>127174.23</v>
      </c>
      <c r="D20">
        <f t="shared" si="0"/>
        <v>0</v>
      </c>
    </row>
    <row r="21" spans="2:4" x14ac:dyDescent="0.15">
      <c r="B21">
        <v>250675.93000000002</v>
      </c>
      <c r="C21">
        <v>250675.93</v>
      </c>
      <c r="D21">
        <f t="shared" si="0"/>
        <v>0</v>
      </c>
    </row>
    <row r="22" spans="2:4" x14ac:dyDescent="0.15">
      <c r="B22">
        <v>576864.95000000007</v>
      </c>
      <c r="C22">
        <v>663730</v>
      </c>
      <c r="D22">
        <f t="shared" si="0"/>
        <v>-86865.04999999993</v>
      </c>
    </row>
    <row r="23" spans="2:4" x14ac:dyDescent="0.15">
      <c r="B23">
        <v>164823.74</v>
      </c>
      <c r="C23">
        <v>164823.74</v>
      </c>
      <c r="D23">
        <f t="shared" si="0"/>
        <v>0</v>
      </c>
    </row>
    <row r="24" spans="2:4" x14ac:dyDescent="0.15">
      <c r="B24">
        <v>321512.95999999996</v>
      </c>
      <c r="C24">
        <v>321512.96000000002</v>
      </c>
      <c r="D24">
        <f t="shared" si="0"/>
        <v>0</v>
      </c>
    </row>
    <row r="25" spans="2:4" x14ac:dyDescent="0.15">
      <c r="B25">
        <v>113497.82</v>
      </c>
      <c r="C25">
        <v>113497.82</v>
      </c>
      <c r="D25">
        <f t="shared" si="0"/>
        <v>0</v>
      </c>
    </row>
    <row r="26" spans="2:4" x14ac:dyDescent="0.15">
      <c r="B26">
        <v>383230.66000000003</v>
      </c>
      <c r="C26">
        <v>383230.66</v>
      </c>
      <c r="D26">
        <f t="shared" si="0"/>
        <v>0</v>
      </c>
    </row>
    <row r="27" spans="2:4" x14ac:dyDescent="0.15">
      <c r="B27">
        <v>209688.47999999998</v>
      </c>
      <c r="C27">
        <v>209688.48</v>
      </c>
      <c r="D27">
        <f t="shared" si="0"/>
        <v>0</v>
      </c>
    </row>
    <row r="28" spans="2:4" x14ac:dyDescent="0.15">
      <c r="B28">
        <v>421191.58000000007</v>
      </c>
      <c r="C28">
        <v>421191.58</v>
      </c>
      <c r="D28">
        <f t="shared" si="0"/>
        <v>0</v>
      </c>
    </row>
    <row r="29" spans="2:4" x14ac:dyDescent="0.15">
      <c r="B29">
        <v>552475.08000000007</v>
      </c>
      <c r="C29">
        <v>552475.07999999996</v>
      </c>
      <c r="D29">
        <f t="shared" si="0"/>
        <v>0</v>
      </c>
    </row>
    <row r="30" spans="2:4" x14ac:dyDescent="0.15">
      <c r="B30">
        <v>349382.19999999995</v>
      </c>
      <c r="C30">
        <v>335578.22</v>
      </c>
      <c r="D30">
        <f t="shared" si="0"/>
        <v>13803.979999999981</v>
      </c>
    </row>
    <row r="31" spans="2:4" x14ac:dyDescent="0.15">
      <c r="B31">
        <v>1020038.3300000001</v>
      </c>
      <c r="C31">
        <v>1020038.33</v>
      </c>
      <c r="D31">
        <f t="shared" si="0"/>
        <v>0</v>
      </c>
    </row>
    <row r="32" spans="2:4" x14ac:dyDescent="0.15">
      <c r="B32">
        <v>339014.88</v>
      </c>
      <c r="C32">
        <v>339014.88</v>
      </c>
      <c r="D32">
        <f t="shared" si="0"/>
        <v>0</v>
      </c>
    </row>
    <row r="33" spans="2:4" x14ac:dyDescent="0.15">
      <c r="B33">
        <v>207712.21000000002</v>
      </c>
      <c r="C33">
        <v>207712.21</v>
      </c>
      <c r="D33">
        <f t="shared" si="0"/>
        <v>0</v>
      </c>
    </row>
    <row r="34" spans="2:4" x14ac:dyDescent="0.15">
      <c r="B34">
        <v>34455.53</v>
      </c>
      <c r="C34">
        <v>34455.53</v>
      </c>
      <c r="D34">
        <f t="shared" si="0"/>
        <v>0</v>
      </c>
    </row>
    <row r="35" spans="2:4" x14ac:dyDescent="0.15">
      <c r="B35">
        <v>51506.600000000006</v>
      </c>
      <c r="C35">
        <v>51506.6</v>
      </c>
      <c r="D35">
        <f t="shared" si="0"/>
        <v>0</v>
      </c>
    </row>
    <row r="36" spans="2:4" x14ac:dyDescent="0.15">
      <c r="B36">
        <v>381059.94999999995</v>
      </c>
      <c r="C36">
        <v>381059.95</v>
      </c>
      <c r="D36">
        <f t="shared" si="0"/>
        <v>0</v>
      </c>
    </row>
    <row r="37" spans="2:4" x14ac:dyDescent="0.15">
      <c r="B37">
        <v>141700.81</v>
      </c>
      <c r="C37">
        <v>141700.81</v>
      </c>
      <c r="D37">
        <f t="shared" si="0"/>
        <v>0</v>
      </c>
    </row>
    <row r="38" spans="2:4" x14ac:dyDescent="0.15">
      <c r="B38">
        <v>326106.08</v>
      </c>
      <c r="C38">
        <v>326106.08</v>
      </c>
      <c r="D38">
        <f t="shared" si="0"/>
        <v>0</v>
      </c>
    </row>
    <row r="39" spans="2:4" x14ac:dyDescent="0.15">
      <c r="B39">
        <v>380779.28</v>
      </c>
      <c r="C39">
        <v>380779.28</v>
      </c>
      <c r="D39">
        <f t="shared" si="0"/>
        <v>0</v>
      </c>
    </row>
    <row r="40" spans="2:4" x14ac:dyDescent="0.15">
      <c r="B40">
        <v>293296.53000000003</v>
      </c>
      <c r="C40">
        <v>293296.53000000003</v>
      </c>
      <c r="D40">
        <f t="shared" si="0"/>
        <v>0</v>
      </c>
    </row>
    <row r="41" spans="2:4" x14ac:dyDescent="0.15">
      <c r="B41">
        <v>698877.62000000011</v>
      </c>
      <c r="C41">
        <v>698877.62</v>
      </c>
      <c r="D41">
        <f t="shared" si="0"/>
        <v>0</v>
      </c>
    </row>
    <row r="42" spans="2:4" x14ac:dyDescent="0.15">
      <c r="B42">
        <v>873616.25</v>
      </c>
      <c r="C42">
        <v>873616.25</v>
      </c>
      <c r="D42">
        <f t="shared" si="0"/>
        <v>0</v>
      </c>
    </row>
    <row r="43" spans="2:4" x14ac:dyDescent="0.15">
      <c r="B43">
        <v>302145.66000000003</v>
      </c>
      <c r="C43">
        <v>302145.65999999997</v>
      </c>
      <c r="D43">
        <f t="shared" si="0"/>
        <v>0</v>
      </c>
    </row>
    <row r="44" spans="2:4" x14ac:dyDescent="0.15">
      <c r="B44">
        <v>143405.51</v>
      </c>
      <c r="C44">
        <v>143405.51</v>
      </c>
      <c r="D44">
        <f t="shared" si="0"/>
        <v>0</v>
      </c>
    </row>
    <row r="45" spans="2:4" x14ac:dyDescent="0.15">
      <c r="B45">
        <v>44699</v>
      </c>
      <c r="C45">
        <v>44699</v>
      </c>
      <c r="D45">
        <f t="shared" si="0"/>
        <v>0</v>
      </c>
    </row>
    <row r="46" spans="2:4" x14ac:dyDescent="0.15">
      <c r="B46">
        <v>44382.9</v>
      </c>
      <c r="C46">
        <v>44382.9</v>
      </c>
      <c r="D46">
        <f t="shared" si="0"/>
        <v>0</v>
      </c>
    </row>
    <row r="47" spans="2:4" x14ac:dyDescent="0.15">
      <c r="B47">
        <v>6680.76</v>
      </c>
      <c r="C47">
        <v>6680.76</v>
      </c>
      <c r="D47">
        <f t="shared" si="0"/>
        <v>0</v>
      </c>
    </row>
    <row r="48" spans="2:4" x14ac:dyDescent="0.15">
      <c r="B48">
        <v>442032.45999999996</v>
      </c>
      <c r="C48">
        <v>442032.46</v>
      </c>
      <c r="D48">
        <f t="shared" si="0"/>
        <v>0</v>
      </c>
    </row>
    <row r="49" spans="2:4" x14ac:dyDescent="0.15">
      <c r="B49">
        <v>185330.34999999998</v>
      </c>
      <c r="C49">
        <v>185330.35</v>
      </c>
      <c r="D49">
        <f t="shared" si="0"/>
        <v>0</v>
      </c>
    </row>
    <row r="50" spans="2:4" x14ac:dyDescent="0.15">
      <c r="B50">
        <v>61338.390000000014</v>
      </c>
      <c r="C50">
        <v>61338.39</v>
      </c>
      <c r="D50">
        <f t="shared" si="0"/>
        <v>0</v>
      </c>
    </row>
    <row r="51" spans="2:4" x14ac:dyDescent="0.15">
      <c r="B51">
        <v>683169.27999999991</v>
      </c>
      <c r="C51">
        <v>683169.28000000003</v>
      </c>
      <c r="D51">
        <f t="shared" si="0"/>
        <v>0</v>
      </c>
    </row>
    <row r="52" spans="2:4" x14ac:dyDescent="0.15">
      <c r="B52">
        <v>375830.26</v>
      </c>
      <c r="C52">
        <v>375830.26</v>
      </c>
      <c r="D52">
        <f t="shared" si="0"/>
        <v>0</v>
      </c>
    </row>
    <row r="53" spans="2:4" x14ac:dyDescent="0.15">
      <c r="B53">
        <v>848183.73999999987</v>
      </c>
      <c r="C53">
        <v>848183.74</v>
      </c>
      <c r="D53">
        <f t="shared" si="0"/>
        <v>0</v>
      </c>
    </row>
    <row r="54" spans="2:4" x14ac:dyDescent="0.15">
      <c r="B54">
        <v>771708.34</v>
      </c>
      <c r="C54">
        <v>771708.34</v>
      </c>
      <c r="D54">
        <f t="shared" si="0"/>
        <v>0</v>
      </c>
    </row>
    <row r="55" spans="2:4" x14ac:dyDescent="0.15">
      <c r="B55">
        <v>530882.34</v>
      </c>
      <c r="C55">
        <v>530882.34</v>
      </c>
      <c r="D55">
        <f t="shared" si="0"/>
        <v>0</v>
      </c>
    </row>
    <row r="56" spans="2:4" x14ac:dyDescent="0.15">
      <c r="B56">
        <v>604473.66</v>
      </c>
      <c r="C56">
        <v>604473.66</v>
      </c>
      <c r="D56">
        <f t="shared" si="0"/>
        <v>0</v>
      </c>
    </row>
    <row r="57" spans="2:4" x14ac:dyDescent="0.15">
      <c r="B57">
        <v>1096272.44</v>
      </c>
      <c r="C57">
        <v>1096272.44</v>
      </c>
      <c r="D57">
        <f t="shared" si="0"/>
        <v>0</v>
      </c>
    </row>
    <row r="58" spans="2:4" x14ac:dyDescent="0.15">
      <c r="B58">
        <v>103198.2</v>
      </c>
      <c r="C58">
        <v>103198.2</v>
      </c>
      <c r="D58">
        <f t="shared" si="0"/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2018年收入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Sandyyuan</dc:creator>
  <cp:lastModifiedBy>Microsoft</cp:lastModifiedBy>
  <cp:lastPrinted>2018-10-19T09:11:55Z</cp:lastPrinted>
  <dcterms:created xsi:type="dcterms:W3CDTF">2015-08-06T17:33:03Z</dcterms:created>
  <dcterms:modified xsi:type="dcterms:W3CDTF">2019-02-19T06:14:30Z</dcterms:modified>
</cp:coreProperties>
</file>